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esterncape-my.sharepoint.com/personal/linde_govender_westerncape_gov_za/Documents/Documents/2021/WCLA/TPA 2021-22/FIRST DRAFT WITH SUPPORTING DOCS/"/>
    </mc:Choice>
  </mc:AlternateContent>
  <xr:revisionPtr revIDLastSave="5" documentId="13_ncr:1_{643BF362-AA18-43DA-9699-6567519550A6}" xr6:coauthVersionLast="46" xr6:coauthVersionMax="46" xr10:uidLastSave="{5918779B-2AA4-4FA5-A2DE-BA42296267A6}"/>
  <bookViews>
    <workbookView xWindow="-108" yWindow="-108" windowWidth="23256" windowHeight="12576" firstSheet="13" activeTab="13" xr2:uid="{00000000-000D-0000-FFFF-FFFF00000000}"/>
  </bookViews>
  <sheets>
    <sheet name="IS Flex" sheetId="41" state="hidden" r:id="rId1"/>
    <sheet name="CEO info" sheetId="55" state="hidden" r:id="rId2"/>
    <sheet name="WCLA Report" sheetId="54" state="hidden" r:id="rId3"/>
    <sheet name="Summary per Component" sheetId="74" state="hidden" r:id="rId4"/>
    <sheet name="Summary per Component (2)" sheetId="75" state="hidden" r:id="rId5"/>
    <sheet name="Financial Performance" sheetId="72" state="hidden" r:id="rId6"/>
    <sheet name="Monthly Operating Exp" sheetId="73" state="hidden" r:id="rId7"/>
    <sheet name="Budget Report DOCs" sheetId="45" state="hidden" r:id="rId8"/>
    <sheet name="Variance vs Component summary" sheetId="69" state="hidden" r:id="rId9"/>
    <sheet name="Sheet10" sheetId="65" state="hidden" r:id="rId10"/>
    <sheet name="WCLA Consolidated MTEF Budg (4)" sheetId="79" state="hidden" r:id="rId11"/>
    <sheet name="WCLA Consolidated MTEF Budg (3)" sheetId="78" state="hidden" r:id="rId12"/>
    <sheet name="WCLA Consolidated MTEF Budget" sheetId="51" state="hidden" r:id="rId13"/>
    <sheet name="WCLA Consolidated MTEF Budg (2)" sheetId="77" r:id="rId14"/>
    <sheet name="Cost centre consolidation" sheetId="56" state="hidden" r:id="rId15"/>
    <sheet name="CC summary" sheetId="66" state="hidden" r:id="rId16"/>
    <sheet name="Summary per department" sheetId="76" state="hidden" r:id="rId17"/>
    <sheet name="CEO" sheetId="57" r:id="rId18"/>
    <sheet name="CS" sheetId="58" r:id="rId19"/>
    <sheet name="CFO" sheetId="59" r:id="rId20"/>
    <sheet name="LLA" sheetId="60" r:id="rId21"/>
    <sheet name="C&amp;E" sheetId="61" r:id="rId22"/>
    <sheet name="CES" sheetId="62" r:id="rId23"/>
    <sheet name="LLT" sheetId="63" r:id="rId24"/>
    <sheet name="GB" sheetId="64" r:id="rId25"/>
    <sheet name="Governing Board Schedule" sheetId="68" state="hidden" r:id="rId26"/>
    <sheet name="LLT Summary" sheetId="70" state="hidden" r:id="rId27"/>
    <sheet name="Salary schedule" sheetId="71" state="hidden" r:id="rId28"/>
    <sheet name="CEO " sheetId="52" state="hidden" r:id="rId29"/>
    <sheet name="CEO  (2)" sheetId="53" state="hidden" r:id="rId30"/>
  </sheets>
  <externalReferences>
    <externalReference r:id="rId31"/>
    <externalReference r:id="rId32"/>
    <externalReference r:id="rId33"/>
  </externalReferences>
  <definedNames>
    <definedName name="\b">#N/A</definedName>
    <definedName name="\c">#N/A</definedName>
    <definedName name="\f" localSheetId="15">'[1]VARIANCE REPORT'!#REF!</definedName>
    <definedName name="\f" localSheetId="28">'[1]VARIANCE REPORT'!#REF!</definedName>
    <definedName name="\f" localSheetId="29">'[1]VARIANCE REPORT'!#REF!</definedName>
    <definedName name="\f" localSheetId="0">'[1]VARIANCE REPORT'!#REF!</definedName>
    <definedName name="\f" localSheetId="4">'[1]VARIANCE REPORT'!#REF!</definedName>
    <definedName name="\f" localSheetId="8">'[1]VARIANCE REPORT'!#REF!</definedName>
    <definedName name="\f" localSheetId="13">'[1]VARIANCE REPORT'!#REF!</definedName>
    <definedName name="\f" localSheetId="11">'[1]VARIANCE REPORT'!#REF!</definedName>
    <definedName name="\f" localSheetId="10">'[1]VARIANCE REPORT'!#REF!</definedName>
    <definedName name="\f" localSheetId="12">'[1]VARIANCE REPORT'!#REF!</definedName>
    <definedName name="\f" localSheetId="2">'[1]VARIANCE REPORT'!#REF!</definedName>
    <definedName name="\f">'[1]VARIANCE REPORT'!#REF!</definedName>
    <definedName name="\z">#N/A</definedName>
    <definedName name="_Key1" localSheetId="15" hidden="1">[2]OpsComData!#REF!</definedName>
    <definedName name="_Key1" localSheetId="28" hidden="1">[2]OpsComData!#REF!</definedName>
    <definedName name="_Key1" localSheetId="29" hidden="1">[2]OpsComData!#REF!</definedName>
    <definedName name="_Key1" localSheetId="0" hidden="1">[2]OpsComData!#REF!</definedName>
    <definedName name="_Key1" localSheetId="4" hidden="1">[2]OpsComData!#REF!</definedName>
    <definedName name="_Key1" localSheetId="8" hidden="1">[2]OpsComData!#REF!</definedName>
    <definedName name="_Key1" localSheetId="13" hidden="1">[2]OpsComData!#REF!</definedName>
    <definedName name="_Key1" localSheetId="11" hidden="1">[2]OpsComData!#REF!</definedName>
    <definedName name="_Key1" localSheetId="10" hidden="1">[2]OpsComData!#REF!</definedName>
    <definedName name="_Key1" localSheetId="12" hidden="1">[2]OpsComData!#REF!</definedName>
    <definedName name="_Key1" localSheetId="2" hidden="1">[2]OpsComData!#REF!</definedName>
    <definedName name="_Key1" hidden="1">[2]OpsComData!#REF!</definedName>
    <definedName name="_LAB1">#N/A</definedName>
    <definedName name="_OCA1">#N/A</definedName>
    <definedName name="_OCA10">#N/A</definedName>
    <definedName name="_OCA11">#N/A</definedName>
    <definedName name="_OCA12">#N/A</definedName>
    <definedName name="_OCA2">#N/A</definedName>
    <definedName name="_OCA3">#N/A</definedName>
    <definedName name="_OCA4">#N/A</definedName>
    <definedName name="_OCA5">#N/A</definedName>
    <definedName name="_OCA6">#N/A</definedName>
    <definedName name="_OCA7">#N/A</definedName>
    <definedName name="_OCA8">#N/A</definedName>
    <definedName name="_OCA9">#N/A</definedName>
    <definedName name="_OIA1">#N/A</definedName>
    <definedName name="_OIA10">#N/A</definedName>
    <definedName name="_OIA11">#N/A</definedName>
    <definedName name="_OIA12">#N/A</definedName>
    <definedName name="_OIA2">#N/A</definedName>
    <definedName name="_OIA3">#N/A</definedName>
    <definedName name="_OIA4">#N/A</definedName>
    <definedName name="_OIA5">#N/A</definedName>
    <definedName name="_OIA6">#N/A</definedName>
    <definedName name="_OIA7">#N/A</definedName>
    <definedName name="_OIA8">#N/A</definedName>
    <definedName name="_OIA9">#N/A</definedName>
    <definedName name="_PA1">#N/A</definedName>
    <definedName name="_PA10">#N/A</definedName>
    <definedName name="_PA11">#N/A</definedName>
    <definedName name="_PA12">#N/A</definedName>
    <definedName name="_PA2">#N/A</definedName>
    <definedName name="_PA3">#N/A</definedName>
    <definedName name="_PA4">#N/A</definedName>
    <definedName name="_PA5">#N/A</definedName>
    <definedName name="_PA6">#N/A</definedName>
    <definedName name="_PA7">#N/A</definedName>
    <definedName name="_PA8">#N/A</definedName>
    <definedName name="_PA9">#N/A</definedName>
    <definedName name="_SCA10">#N/A</definedName>
    <definedName name="_SCA11">#N/A</definedName>
    <definedName name="_SCA12">#N/A</definedName>
    <definedName name="_SCA2">#N/A</definedName>
    <definedName name="_SCA3">#N/A</definedName>
    <definedName name="_SCA4">#N/A</definedName>
    <definedName name="_SCA5">#N/A</definedName>
    <definedName name="_SCA6">#N/A</definedName>
    <definedName name="_SCA7">#N/A</definedName>
    <definedName name="_SCA8">#N/A</definedName>
    <definedName name="_SCA9">#N/A</definedName>
    <definedName name="_SIA1">#N/A</definedName>
    <definedName name="_SIA10">#N/A</definedName>
    <definedName name="_SIA11">#N/A</definedName>
    <definedName name="_SIA12">#N/A</definedName>
    <definedName name="_SIA2">#N/A</definedName>
    <definedName name="_SIA3">#N/A</definedName>
    <definedName name="_SIA4">#N/A</definedName>
    <definedName name="_SIA5">#N/A</definedName>
    <definedName name="_SIA6">#N/A</definedName>
    <definedName name="_SIA7">#N/A</definedName>
    <definedName name="_SIA8">#N/A</definedName>
    <definedName name="_SIA9">#N/A</definedName>
    <definedName name="_Sort" hidden="1">[2]OpsComData!$A$1:$A$48</definedName>
    <definedName name="A" hidden="1">5</definedName>
    <definedName name="ADF">#N/A</definedName>
    <definedName name="ALLMTHS" localSheetId="15">#REF!</definedName>
    <definedName name="ALLMTHS" localSheetId="28">#REF!</definedName>
    <definedName name="ALLMTHS" localSheetId="29">#REF!</definedName>
    <definedName name="ALLMTHS" localSheetId="0">#REF!</definedName>
    <definedName name="ALLMTHS" localSheetId="4">#REF!</definedName>
    <definedName name="ALLMTHS" localSheetId="8">#REF!</definedName>
    <definedName name="ALLMTHS" localSheetId="13">#REF!</definedName>
    <definedName name="ALLMTHS" localSheetId="11">#REF!</definedName>
    <definedName name="ALLMTHS" localSheetId="10">#REF!</definedName>
    <definedName name="ALLMTHS" localSheetId="12">#REF!</definedName>
    <definedName name="ALLMTHS" localSheetId="2">#REF!</definedName>
    <definedName name="ALLMTHS">#REF!</definedName>
    <definedName name="APRC">#N/A</definedName>
    <definedName name="AUGC">#N/A</definedName>
    <definedName name="BD4SVC" localSheetId="15">#REF!</definedName>
    <definedName name="BD4SVC" localSheetId="28">#REF!</definedName>
    <definedName name="BD4SVC" localSheetId="29">#REF!</definedName>
    <definedName name="BD4SVC" localSheetId="0">#REF!</definedName>
    <definedName name="BD4SVC" localSheetId="4">#REF!</definedName>
    <definedName name="BD4SVC" localSheetId="8">#REF!</definedName>
    <definedName name="BD4SVC" localSheetId="13">#REF!</definedName>
    <definedName name="BD4SVC" localSheetId="11">#REF!</definedName>
    <definedName name="BD4SVC" localSheetId="10">#REF!</definedName>
    <definedName name="BD4SVC" localSheetId="12">#REF!</definedName>
    <definedName name="BD4SVC" localSheetId="2">#REF!</definedName>
    <definedName name="BD4SVC">#REF!</definedName>
    <definedName name="BUD">#N/A</definedName>
    <definedName name="CAPR" localSheetId="15">#REF!</definedName>
    <definedName name="CAPR" localSheetId="28">#REF!</definedName>
    <definedName name="CAPR" localSheetId="29">#REF!</definedName>
    <definedName name="CAPR" localSheetId="0">#REF!</definedName>
    <definedName name="CAPR" localSheetId="4">#REF!</definedName>
    <definedName name="CAPR" localSheetId="8">#REF!</definedName>
    <definedName name="CAPR" localSheetId="13">#REF!</definedName>
    <definedName name="CAPR" localSheetId="11">#REF!</definedName>
    <definedName name="CAPR" localSheetId="10">#REF!</definedName>
    <definedName name="CAPR" localSheetId="12">#REF!</definedName>
    <definedName name="CAPR" localSheetId="2">#REF!</definedName>
    <definedName name="CAPR">#REF!</definedName>
    <definedName name="CAUG" localSheetId="15">#REF!</definedName>
    <definedName name="CAUG" localSheetId="28">#REF!</definedName>
    <definedName name="CAUG" localSheetId="29">#REF!</definedName>
    <definedName name="CAUG" localSheetId="0">#REF!</definedName>
    <definedName name="CAUG" localSheetId="4">#REF!</definedName>
    <definedName name="CAUG" localSheetId="8">#REF!</definedName>
    <definedName name="CAUG" localSheetId="13">#REF!</definedName>
    <definedName name="CAUG" localSheetId="11">#REF!</definedName>
    <definedName name="CAUG" localSheetId="10">#REF!</definedName>
    <definedName name="CAUG" localSheetId="12">#REF!</definedName>
    <definedName name="CAUG" localSheetId="2">#REF!</definedName>
    <definedName name="CAUG">#REF!</definedName>
    <definedName name="CC" localSheetId="4">'[1]VARIANCE REPORT'!#REF!</definedName>
    <definedName name="CC" localSheetId="8">'[1]VARIANCE REPORT'!#REF!</definedName>
    <definedName name="CC">'[1]VARIANCE REPORT'!#REF!</definedName>
    <definedName name="CDEC" localSheetId="15">#REF!</definedName>
    <definedName name="CDEC" localSheetId="28">#REF!</definedName>
    <definedName name="CDEC" localSheetId="29">#REF!</definedName>
    <definedName name="CDEC" localSheetId="0">#REF!</definedName>
    <definedName name="CDEC" localSheetId="4">#REF!</definedName>
    <definedName name="CDEC" localSheetId="8">#REF!</definedName>
    <definedName name="CDEC" localSheetId="13">#REF!</definedName>
    <definedName name="CDEC" localSheetId="11">#REF!</definedName>
    <definedName name="CDEC" localSheetId="10">#REF!</definedName>
    <definedName name="CDEC" localSheetId="12">#REF!</definedName>
    <definedName name="CDEC" localSheetId="2">#REF!</definedName>
    <definedName name="CDEC">#REF!</definedName>
    <definedName name="CFEB" localSheetId="15">#REF!</definedName>
    <definedName name="CFEB" localSheetId="28">#REF!</definedName>
    <definedName name="CFEB" localSheetId="29">#REF!</definedName>
    <definedName name="CFEB" localSheetId="0">#REF!</definedName>
    <definedName name="CFEB" localSheetId="4">#REF!</definedName>
    <definedName name="CFEB" localSheetId="8">#REF!</definedName>
    <definedName name="CFEB" localSheetId="13">#REF!</definedName>
    <definedName name="CFEB" localSheetId="11">#REF!</definedName>
    <definedName name="CFEB" localSheetId="10">#REF!</definedName>
    <definedName name="CFEB" localSheetId="12">#REF!</definedName>
    <definedName name="CFEB" localSheetId="2">#REF!</definedName>
    <definedName name="CFEB">#REF!</definedName>
    <definedName name="CJAN" localSheetId="15">#REF!</definedName>
    <definedName name="CJAN" localSheetId="28">#REF!</definedName>
    <definedName name="CJAN" localSheetId="29">#REF!</definedName>
    <definedName name="CJAN" localSheetId="0">#REF!</definedName>
    <definedName name="CJAN" localSheetId="4">#REF!</definedName>
    <definedName name="CJAN" localSheetId="8">#REF!</definedName>
    <definedName name="CJAN" localSheetId="13">#REF!</definedName>
    <definedName name="CJAN" localSheetId="11">#REF!</definedName>
    <definedName name="CJAN" localSheetId="10">#REF!</definedName>
    <definedName name="CJAN" localSheetId="12">#REF!</definedName>
    <definedName name="CJAN" localSheetId="2">#REF!</definedName>
    <definedName name="CJAN">#REF!</definedName>
    <definedName name="CJUL" localSheetId="15">#REF!</definedName>
    <definedName name="CJUL" localSheetId="28">#REF!</definedName>
    <definedName name="CJUL" localSheetId="29">#REF!</definedName>
    <definedName name="CJUL" localSheetId="0">#REF!</definedName>
    <definedName name="CJUL" localSheetId="4">#REF!</definedName>
    <definedName name="CJUL" localSheetId="8">#REF!</definedName>
    <definedName name="CJUL" localSheetId="13">#REF!</definedName>
    <definedName name="CJUL" localSheetId="11">#REF!</definedName>
    <definedName name="CJUL" localSheetId="10">#REF!</definedName>
    <definedName name="CJUL" localSheetId="12">#REF!</definedName>
    <definedName name="CJUL" localSheetId="2">#REF!</definedName>
    <definedName name="CJUL">#REF!</definedName>
    <definedName name="CJUNE" localSheetId="15">#REF!</definedName>
    <definedName name="CJUNE" localSheetId="28">#REF!</definedName>
    <definedName name="CJUNE" localSheetId="29">#REF!</definedName>
    <definedName name="CJUNE" localSheetId="0">#REF!</definedName>
    <definedName name="CJUNE" localSheetId="4">#REF!</definedName>
    <definedName name="CJUNE" localSheetId="8">#REF!</definedName>
    <definedName name="CJUNE" localSheetId="13">#REF!</definedName>
    <definedName name="CJUNE" localSheetId="11">#REF!</definedName>
    <definedName name="CJUNE" localSheetId="10">#REF!</definedName>
    <definedName name="CJUNE" localSheetId="12">#REF!</definedName>
    <definedName name="CJUNE" localSheetId="2">#REF!</definedName>
    <definedName name="CJUNE">#REF!</definedName>
    <definedName name="CMAR" localSheetId="15">#REF!</definedName>
    <definedName name="CMAR" localSheetId="28">#REF!</definedName>
    <definedName name="CMAR" localSheetId="29">#REF!</definedName>
    <definedName name="CMAR" localSheetId="0">#REF!</definedName>
    <definedName name="CMAR" localSheetId="4">#REF!</definedName>
    <definedName name="CMAR" localSheetId="8">#REF!</definedName>
    <definedName name="CMAR" localSheetId="13">#REF!</definedName>
    <definedName name="CMAR" localSheetId="11">#REF!</definedName>
    <definedName name="CMAR" localSheetId="10">#REF!</definedName>
    <definedName name="CMAR" localSheetId="12">#REF!</definedName>
    <definedName name="CMAR" localSheetId="2">#REF!</definedName>
    <definedName name="CMAR">#REF!</definedName>
    <definedName name="CMAY" localSheetId="15">#REF!</definedName>
    <definedName name="CMAY" localSheetId="28">#REF!</definedName>
    <definedName name="CMAY" localSheetId="29">#REF!</definedName>
    <definedName name="CMAY" localSheetId="0">#REF!</definedName>
    <definedName name="CMAY" localSheetId="4">#REF!</definedName>
    <definedName name="CMAY" localSheetId="8">#REF!</definedName>
    <definedName name="CMAY" localSheetId="13">#REF!</definedName>
    <definedName name="CMAY" localSheetId="11">#REF!</definedName>
    <definedName name="CMAY" localSheetId="10">#REF!</definedName>
    <definedName name="CMAY" localSheetId="12">#REF!</definedName>
    <definedName name="CMAY" localSheetId="2">#REF!</definedName>
    <definedName name="CMAY">#REF!</definedName>
    <definedName name="CNOV" localSheetId="15">#REF!</definedName>
    <definedName name="CNOV" localSheetId="28">#REF!</definedName>
    <definedName name="CNOV" localSheetId="29">#REF!</definedName>
    <definedName name="CNOV" localSheetId="0">#REF!</definedName>
    <definedName name="CNOV" localSheetId="4">#REF!</definedName>
    <definedName name="CNOV" localSheetId="8">#REF!</definedName>
    <definedName name="CNOV" localSheetId="13">#REF!</definedName>
    <definedName name="CNOV" localSheetId="11">#REF!</definedName>
    <definedName name="CNOV" localSheetId="10">#REF!</definedName>
    <definedName name="CNOV" localSheetId="12">#REF!</definedName>
    <definedName name="CNOV" localSheetId="2">#REF!</definedName>
    <definedName name="CNOV">#REF!</definedName>
    <definedName name="COCT" localSheetId="15">#REF!</definedName>
    <definedName name="COCT" localSheetId="28">#REF!</definedName>
    <definedName name="COCT" localSheetId="29">#REF!</definedName>
    <definedName name="COCT" localSheetId="0">#REF!</definedName>
    <definedName name="COCT" localSheetId="4">#REF!</definedName>
    <definedName name="COCT" localSheetId="8">#REF!</definedName>
    <definedName name="COCT" localSheetId="13">#REF!</definedName>
    <definedName name="COCT" localSheetId="11">#REF!</definedName>
    <definedName name="COCT" localSheetId="10">#REF!</definedName>
    <definedName name="COCT" localSheetId="12">#REF!</definedName>
    <definedName name="COCT" localSheetId="2">#REF!</definedName>
    <definedName name="COCT">#REF!</definedName>
    <definedName name="Cons" localSheetId="15">'[1]VARIANCE REPORT'!#REF!</definedName>
    <definedName name="Cons" localSheetId="29">'[1]VARIANCE REPORT'!#REF!</definedName>
    <definedName name="Cons" localSheetId="4">'[1]VARIANCE REPORT'!#REF!</definedName>
    <definedName name="Cons" localSheetId="8">'[1]VARIANCE REPORT'!#REF!</definedName>
    <definedName name="Cons" localSheetId="2">'[1]VARIANCE REPORT'!#REF!</definedName>
    <definedName name="Cons">'[1]VARIANCE REPORT'!#REF!</definedName>
    <definedName name="CSEPT" localSheetId="15">#REF!</definedName>
    <definedName name="CSEPT" localSheetId="28">#REF!</definedName>
    <definedName name="CSEPT" localSheetId="29">#REF!</definedName>
    <definedName name="CSEPT" localSheetId="0">#REF!</definedName>
    <definedName name="CSEPT" localSheetId="4">#REF!</definedName>
    <definedName name="CSEPT" localSheetId="8">#REF!</definedName>
    <definedName name="CSEPT" localSheetId="13">#REF!</definedName>
    <definedName name="CSEPT" localSheetId="11">#REF!</definedName>
    <definedName name="CSEPT" localSheetId="10">#REF!</definedName>
    <definedName name="CSEPT" localSheetId="12">#REF!</definedName>
    <definedName name="CSEPT" localSheetId="2">#REF!</definedName>
    <definedName name="CSEPT">#REF!</definedName>
    <definedName name="DECC">#N/A</definedName>
    <definedName name="f" localSheetId="15">'[1]VARIANCE REPORT'!#REF!</definedName>
    <definedName name="f" localSheetId="28">'[1]VARIANCE REPORT'!#REF!</definedName>
    <definedName name="f" localSheetId="29">'[1]VARIANCE REPORT'!#REF!</definedName>
    <definedName name="f" localSheetId="0">'[1]VARIANCE REPORT'!#REF!</definedName>
    <definedName name="f" localSheetId="4">'[1]VARIANCE REPORT'!#REF!</definedName>
    <definedName name="f" localSheetId="8">'[1]VARIANCE REPORT'!#REF!</definedName>
    <definedName name="f" localSheetId="13">'[1]VARIANCE REPORT'!#REF!</definedName>
    <definedName name="f" localSheetId="11">'[1]VARIANCE REPORT'!#REF!</definedName>
    <definedName name="f" localSheetId="10">'[1]VARIANCE REPORT'!#REF!</definedName>
    <definedName name="f" localSheetId="12">'[1]VARIANCE REPORT'!#REF!</definedName>
    <definedName name="f" localSheetId="2">'[1]VARIANCE REPORT'!#REF!</definedName>
    <definedName name="f">'[1]VARIANCE REPORT'!#REF!</definedName>
    <definedName name="FCRA1">#N/A</definedName>
    <definedName name="FCRA10">#N/A</definedName>
    <definedName name="FCRA11">#N/A</definedName>
    <definedName name="FCRA12">#N/A</definedName>
    <definedName name="FCRA2">#N/A</definedName>
    <definedName name="FCRA3">#N/A</definedName>
    <definedName name="FCRA4">#N/A</definedName>
    <definedName name="FCRA5">#N/A</definedName>
    <definedName name="FCRA6">#N/A</definedName>
    <definedName name="FCRA7">#N/A</definedName>
    <definedName name="FCRA8">#N/A</definedName>
    <definedName name="FCRA9">#N/A</definedName>
    <definedName name="FEBC">#N/A</definedName>
    <definedName name="FIVE">[2]OpsComGraphs!$M$50:$X$106</definedName>
    <definedName name="Format1" localSheetId="15">[2]OpsComData!#REF!</definedName>
    <definedName name="Format1" localSheetId="28">[2]OpsComData!#REF!</definedName>
    <definedName name="Format1" localSheetId="29">[2]OpsComData!#REF!</definedName>
    <definedName name="Format1" localSheetId="0">[2]OpsComData!#REF!</definedName>
    <definedName name="Format1" localSheetId="4">[2]OpsComData!#REF!</definedName>
    <definedName name="Format1" localSheetId="8">[2]OpsComData!#REF!</definedName>
    <definedName name="Format1" localSheetId="13">[2]OpsComData!#REF!</definedName>
    <definedName name="Format1" localSheetId="11">[2]OpsComData!#REF!</definedName>
    <definedName name="Format1" localSheetId="10">[2]OpsComData!#REF!</definedName>
    <definedName name="Format1" localSheetId="12">[2]OpsComData!#REF!</definedName>
    <definedName name="Format1" localSheetId="2">[2]OpsComData!#REF!</definedName>
    <definedName name="Format1">[2]OpsComData!#REF!</definedName>
    <definedName name="Format2">'[2]OpsComData (2)'!$M$1:$M$65536</definedName>
    <definedName name="Formulae" localSheetId="15">[2]OpsComData!#REF!</definedName>
    <definedName name="Formulae" localSheetId="28">[2]OpsComData!#REF!</definedName>
    <definedName name="Formulae" localSheetId="29">[2]OpsComData!#REF!</definedName>
    <definedName name="Formulae" localSheetId="0">[2]OpsComData!#REF!</definedName>
    <definedName name="Formulae" localSheetId="4">[2]OpsComData!#REF!</definedName>
    <definedName name="Formulae" localSheetId="8">[2]OpsComData!#REF!</definedName>
    <definedName name="Formulae" localSheetId="13">[2]OpsComData!#REF!</definedName>
    <definedName name="Formulae" localSheetId="11">[2]OpsComData!#REF!</definedName>
    <definedName name="Formulae" localSheetId="10">[2]OpsComData!#REF!</definedName>
    <definedName name="Formulae" localSheetId="12">[2]OpsComData!#REF!</definedName>
    <definedName name="Formulae" localSheetId="2">[2]OpsComData!#REF!</definedName>
    <definedName name="Formulae">[2]OpsComData!#REF!</definedName>
    <definedName name="FOUR">[2]OpsComGraphs!$M$1:$X$48</definedName>
    <definedName name="InsCol1" localSheetId="15">[2]OpsComData!#REF!</definedName>
    <definedName name="InsCol1" localSheetId="28">[2]OpsComData!#REF!</definedName>
    <definedName name="InsCol1" localSheetId="29">[2]OpsComData!#REF!</definedName>
    <definedName name="InsCol1" localSheetId="0">[2]OpsComData!#REF!</definedName>
    <definedName name="InsCol1" localSheetId="4">[2]OpsComData!#REF!</definedName>
    <definedName name="InsCol1" localSheetId="8">[2]OpsComData!#REF!</definedName>
    <definedName name="InsCol1" localSheetId="13">[2]OpsComData!#REF!</definedName>
    <definedName name="InsCol1" localSheetId="11">[2]OpsComData!#REF!</definedName>
    <definedName name="InsCol1" localSheetId="10">[2]OpsComData!#REF!</definedName>
    <definedName name="InsCol1" localSheetId="12">[2]OpsComData!#REF!</definedName>
    <definedName name="InsCol1" localSheetId="2">[2]OpsComData!#REF!</definedName>
    <definedName name="InsCol1">[2]OpsComData!#REF!</definedName>
    <definedName name="JANC">#N/A</definedName>
    <definedName name="JULC">#N/A</definedName>
    <definedName name="JUNC">#N/A</definedName>
    <definedName name="JUNE" localSheetId="15">#REF!</definedName>
    <definedName name="JUNE" localSheetId="28">#REF!</definedName>
    <definedName name="JUNE" localSheetId="29">#REF!</definedName>
    <definedName name="JUNE" localSheetId="0">#REF!</definedName>
    <definedName name="JUNE" localSheetId="4">#REF!</definedName>
    <definedName name="JUNE" localSheetId="8">#REF!</definedName>
    <definedName name="JUNE" localSheetId="13">#REF!</definedName>
    <definedName name="JUNE" localSheetId="11">#REF!</definedName>
    <definedName name="JUNE" localSheetId="10">#REF!</definedName>
    <definedName name="JUNE" localSheetId="12">#REF!</definedName>
    <definedName name="JUNE" localSheetId="2">#REF!</definedName>
    <definedName name="JUNE">#REF!</definedName>
    <definedName name="LAB">#N/A</definedName>
    <definedName name="Macro1" localSheetId="15">#REF!</definedName>
    <definedName name="Macro1" localSheetId="28">#REF!</definedName>
    <definedName name="Macro1" localSheetId="29">#REF!</definedName>
    <definedName name="Macro1" localSheetId="0">#REF!</definedName>
    <definedName name="Macro1" localSheetId="4">#REF!</definedName>
    <definedName name="Macro1" localSheetId="8">#REF!</definedName>
    <definedName name="Macro1" localSheetId="13">#REF!</definedName>
    <definedName name="Macro1" localSheetId="11">#REF!</definedName>
    <definedName name="Macro1" localSheetId="10">#REF!</definedName>
    <definedName name="Macro1" localSheetId="12">#REF!</definedName>
    <definedName name="Macro1" localSheetId="2">#REF!</definedName>
    <definedName name="Macro1">#REF!</definedName>
    <definedName name="MARC">#N/A</definedName>
    <definedName name="MAYC">#N/A</definedName>
    <definedName name="NOVC">#N/A</definedName>
    <definedName name="OCTC">#N/A</definedName>
    <definedName name="ONE">[2]OpsComGraphs!$A$1:$L$49</definedName>
    <definedName name="Page1">[2]OpsComGraphs!$A$1:$Y$49</definedName>
    <definedName name="Page2">[2]OpsComGraphs!$A$56:$Y$116</definedName>
    <definedName name="PageFive">[2]OpsComGraphs!$Y$1:$AK$48</definedName>
    <definedName name="PageFour">[2]OpsComGraphs!$M$50:$Y$117</definedName>
    <definedName name="PageOne">[2]OpsComGraphs!$A$1:$L$48</definedName>
    <definedName name="PageThree">[2]OpsComGraphs!$A$50:$L$117</definedName>
    <definedName name="PageTwo">[2]OpsComGraphs!$M$1:$Y$48</definedName>
    <definedName name="pres" localSheetId="15">'[1]VARIANCE REPORT'!#REF!</definedName>
    <definedName name="pres" localSheetId="28">'[1]VARIANCE REPORT'!#REF!</definedName>
    <definedName name="pres" localSheetId="29">'[1]VARIANCE REPORT'!#REF!</definedName>
    <definedName name="pres" localSheetId="4">'[1]VARIANCE REPORT'!#REF!</definedName>
    <definedName name="pres" localSheetId="8">'[1]VARIANCE REPORT'!#REF!</definedName>
    <definedName name="pres" localSheetId="13">'[1]VARIANCE REPORT'!#REF!</definedName>
    <definedName name="pres" localSheetId="11">'[1]VARIANCE REPORT'!#REF!</definedName>
    <definedName name="pres" localSheetId="10">'[1]VARIANCE REPORT'!#REF!</definedName>
    <definedName name="pres" localSheetId="12">'[1]VARIANCE REPORT'!#REF!</definedName>
    <definedName name="pres" localSheetId="2">'[1]VARIANCE REPORT'!#REF!</definedName>
    <definedName name="pres">'[1]VARIANCE REPORT'!#REF!</definedName>
    <definedName name="_xlnm.Print_Area" localSheetId="0">'IS Flex'!$B$3:$U$59</definedName>
    <definedName name="_xlnm.Print_Area" localSheetId="13">'WCLA Consolidated MTEF Budg (2)'!$A$1:$W$172</definedName>
    <definedName name="_xlnm.Print_Titles" localSheetId="15">#REF!</definedName>
    <definedName name="_xlnm.Print_Titles" localSheetId="28">#REF!</definedName>
    <definedName name="_xlnm.Print_Titles" localSheetId="29">#REF!</definedName>
    <definedName name="_xlnm.Print_Titles" localSheetId="0">#REF!</definedName>
    <definedName name="_xlnm.Print_Titles" localSheetId="4">#REF!</definedName>
    <definedName name="_xlnm.Print_Titles" localSheetId="8">#REF!</definedName>
    <definedName name="_xlnm.Print_Titles" localSheetId="11">#REF!</definedName>
    <definedName name="_xlnm.Print_Titles" localSheetId="10">#REF!</definedName>
    <definedName name="_xlnm.Print_Titles" localSheetId="12">#REF!</definedName>
    <definedName name="_xlnm.Print_Titles" localSheetId="2">#REF!</definedName>
    <definedName name="_xlnm.Print_Titles">#REF!</definedName>
    <definedName name="_xlnm.Recorder" localSheetId="15">#REF!</definedName>
    <definedName name="_xlnm.Recorder" localSheetId="28">#REF!</definedName>
    <definedName name="_xlnm.Recorder" localSheetId="29">#REF!</definedName>
    <definedName name="_xlnm.Recorder" localSheetId="0">#REF!</definedName>
    <definedName name="_xlnm.Recorder" localSheetId="4">#REF!</definedName>
    <definedName name="_xlnm.Recorder" localSheetId="8">#REF!</definedName>
    <definedName name="_xlnm.Recorder" localSheetId="13">#REF!</definedName>
    <definedName name="_xlnm.Recorder" localSheetId="11">#REF!</definedName>
    <definedName name="_xlnm.Recorder" localSheetId="10">#REF!</definedName>
    <definedName name="_xlnm.Recorder" localSheetId="12">#REF!</definedName>
    <definedName name="_xlnm.Recorder" localSheetId="2">#REF!</definedName>
    <definedName name="_xlnm.Recorder">#REF!</definedName>
    <definedName name="SAPBEXsysID" hidden="1">"IBP"</definedName>
    <definedName name="SAPRD4">#N/A</definedName>
    <definedName name="SEP" localSheetId="15">#REF!</definedName>
    <definedName name="SEP" localSheetId="28">#REF!</definedName>
    <definedName name="SEP" localSheetId="29">#REF!</definedName>
    <definedName name="SEP" localSheetId="0">#REF!</definedName>
    <definedName name="SEP" localSheetId="4">#REF!</definedName>
    <definedName name="SEP" localSheetId="8">#REF!</definedName>
    <definedName name="SEP" localSheetId="13">#REF!</definedName>
    <definedName name="SEP" localSheetId="11">#REF!</definedName>
    <definedName name="SEP" localSheetId="10">#REF!</definedName>
    <definedName name="SEP" localSheetId="12">#REF!</definedName>
    <definedName name="SEP" localSheetId="2">#REF!</definedName>
    <definedName name="SEP">#REF!</definedName>
    <definedName name="SEPC">#N/A</definedName>
    <definedName name="SEPT" localSheetId="15">#REF!</definedName>
    <definedName name="SEPT" localSheetId="28">#REF!</definedName>
    <definedName name="SEPT" localSheetId="29">#REF!</definedName>
    <definedName name="SEPT" localSheetId="0">#REF!</definedName>
    <definedName name="SEPT" localSheetId="4">#REF!</definedName>
    <definedName name="SEPT" localSheetId="8">#REF!</definedName>
    <definedName name="SEPT" localSheetId="13">#REF!</definedName>
    <definedName name="SEPT" localSheetId="11">#REF!</definedName>
    <definedName name="SEPT" localSheetId="10">#REF!</definedName>
    <definedName name="SEPT" localSheetId="12">#REF!</definedName>
    <definedName name="SEPT" localSheetId="2">#REF!</definedName>
    <definedName name="SEPT">#REF!</definedName>
    <definedName name="SIX">[2]OpsComGraphs!$M$107:$X$157</definedName>
    <definedName name="Start" localSheetId="15">[2]OpsComData!#REF!</definedName>
    <definedName name="Start" localSheetId="28">[2]OpsComData!#REF!</definedName>
    <definedName name="Start" localSheetId="29">[2]OpsComData!#REF!</definedName>
    <definedName name="Start" localSheetId="0">[2]OpsComData!#REF!</definedName>
    <definedName name="Start" localSheetId="4">[2]OpsComData!#REF!</definedName>
    <definedName name="Start" localSheetId="8">[2]OpsComData!#REF!</definedName>
    <definedName name="Start" localSheetId="13">[2]OpsComData!#REF!</definedName>
    <definedName name="Start" localSheetId="11">[2]OpsComData!#REF!</definedName>
    <definedName name="Start" localSheetId="10">[2]OpsComData!#REF!</definedName>
    <definedName name="Start" localSheetId="12">[2]OpsComData!#REF!</definedName>
    <definedName name="Start" localSheetId="2">[2]OpsComData!#REF!</definedName>
    <definedName name="Start">[2]OpsComData!#REF!</definedName>
    <definedName name="THREE">[2]OpsComGraphs!$A$107:$L$157</definedName>
    <definedName name="TWO">[2]OpsComGraphs!$A$50:$L$106</definedName>
    <definedName name="W" localSheetId="15">'[1]RD27-28'!#REF!</definedName>
    <definedName name="W" localSheetId="28">'[1]RD27-28'!#REF!</definedName>
    <definedName name="W" localSheetId="29">'[1]RD27-28'!#REF!</definedName>
    <definedName name="W" localSheetId="0">'[1]RD27-28'!#REF!</definedName>
    <definedName name="W" localSheetId="4">'[1]RD27-28'!#REF!</definedName>
    <definedName name="W" localSheetId="8">'[1]RD27-28'!#REF!</definedName>
    <definedName name="W" localSheetId="13">'[1]RD27-28'!#REF!</definedName>
    <definedName name="W" localSheetId="11">'[1]RD27-28'!#REF!</definedName>
    <definedName name="W" localSheetId="10">'[1]RD27-28'!#REF!</definedName>
    <definedName name="W" localSheetId="12">'[1]RD27-28'!#REF!</definedName>
    <definedName name="W" localSheetId="2">'[1]RD27-28'!#REF!</definedName>
    <definedName name="W">'[1]RD27-28'!#REF!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9" i="64" l="1"/>
  <c r="Q127" i="64"/>
  <c r="Q112" i="64"/>
  <c r="Q110" i="64"/>
  <c r="Q108" i="64"/>
  <c r="Q102" i="64"/>
  <c r="Q91" i="64"/>
  <c r="Q65" i="64"/>
  <c r="R65" i="64"/>
  <c r="S65" i="64"/>
  <c r="T65" i="64"/>
  <c r="U65" i="64"/>
  <c r="V65" i="64"/>
  <c r="W65" i="64"/>
  <c r="Q46" i="64"/>
  <c r="Q28" i="64"/>
  <c r="Q18" i="64"/>
  <c r="Q110" i="63"/>
  <c r="Q108" i="63"/>
  <c r="Q102" i="63"/>
  <c r="R102" i="63"/>
  <c r="S102" i="63"/>
  <c r="T102" i="63"/>
  <c r="U102" i="63"/>
  <c r="V102" i="63"/>
  <c r="W102" i="63"/>
  <c r="Q91" i="63"/>
  <c r="Q65" i="63"/>
  <c r="Q46" i="63"/>
  <c r="Q28" i="63"/>
  <c r="Q18" i="63"/>
  <c r="Q127" i="63"/>
  <c r="R127" i="63"/>
  <c r="S127" i="63"/>
  <c r="T127" i="63"/>
  <c r="U127" i="63"/>
  <c r="V127" i="63"/>
  <c r="W127" i="63"/>
  <c r="Q129" i="62"/>
  <c r="Q127" i="62"/>
  <c r="X127" i="62" s="1"/>
  <c r="Q112" i="62"/>
  <c r="Q110" i="62"/>
  <c r="X110" i="62" s="1"/>
  <c r="Q108" i="62"/>
  <c r="Q102" i="62"/>
  <c r="X102" i="62" s="1"/>
  <c r="Q91" i="62"/>
  <c r="Q65" i="62"/>
  <c r="X65" i="62" s="1"/>
  <c r="Q46" i="62"/>
  <c r="X46" i="62" s="1"/>
  <c r="Q28" i="62"/>
  <c r="Q18" i="62"/>
  <c r="Q129" i="61"/>
  <c r="Q127" i="61"/>
  <c r="R127" i="61"/>
  <c r="S127" i="61"/>
  <c r="T127" i="61"/>
  <c r="U127" i="61"/>
  <c r="V127" i="61"/>
  <c r="W127" i="61"/>
  <c r="Q112" i="61"/>
  <c r="Q110" i="61"/>
  <c r="Q108" i="61"/>
  <c r="Q102" i="61"/>
  <c r="Q91" i="61"/>
  <c r="Q65" i="61"/>
  <c r="Q46" i="61"/>
  <c r="Q28" i="61"/>
  <c r="Q18" i="61"/>
  <c r="Q129" i="60"/>
  <c r="Q112" i="60"/>
  <c r="Q110" i="60"/>
  <c r="Q108" i="60"/>
  <c r="Q102" i="60"/>
  <c r="Q91" i="60"/>
  <c r="Q65" i="60"/>
  <c r="Q46" i="60"/>
  <c r="R46" i="60"/>
  <c r="S46" i="60"/>
  <c r="T46" i="60"/>
  <c r="U46" i="60"/>
  <c r="V46" i="60"/>
  <c r="W46" i="60"/>
  <c r="Q28" i="60"/>
  <c r="Q18" i="60"/>
  <c r="Q129" i="59"/>
  <c r="Q127" i="59"/>
  <c r="Q112" i="59"/>
  <c r="Q110" i="59"/>
  <c r="Q108" i="59"/>
  <c r="Q102" i="59"/>
  <c r="Q91" i="59"/>
  <c r="Q65" i="59"/>
  <c r="Q46" i="59"/>
  <c r="Q28" i="59"/>
  <c r="Q18" i="59"/>
  <c r="Q129" i="58"/>
  <c r="Q127" i="58"/>
  <c r="Q112" i="58"/>
  <c r="Q110" i="58"/>
  <c r="Q108" i="58"/>
  <c r="Q102" i="58"/>
  <c r="Q91" i="58"/>
  <c r="Q65" i="58"/>
  <c r="Q46" i="58"/>
  <c r="Q7" i="77"/>
  <c r="X171" i="77"/>
  <c r="X169" i="77"/>
  <c r="X168" i="77"/>
  <c r="X167" i="77"/>
  <c r="X166" i="77"/>
  <c r="X165" i="77"/>
  <c r="X164" i="77"/>
  <c r="X163" i="77"/>
  <c r="X161" i="77"/>
  <c r="X160" i="77"/>
  <c r="X159" i="77"/>
  <c r="X158" i="77"/>
  <c r="X157" i="77"/>
  <c r="X156" i="77"/>
  <c r="X155" i="77"/>
  <c r="X154" i="77"/>
  <c r="X153" i="77"/>
  <c r="X152" i="77"/>
  <c r="X151" i="77"/>
  <c r="X150" i="77"/>
  <c r="X149" i="77"/>
  <c r="X148" i="77"/>
  <c r="X147" i="77"/>
  <c r="X146" i="77"/>
  <c r="X145" i="77"/>
  <c r="X144" i="77"/>
  <c r="X143" i="77"/>
  <c r="X142" i="77"/>
  <c r="X141" i="77"/>
  <c r="X140" i="77"/>
  <c r="X139" i="77"/>
  <c r="X138" i="77"/>
  <c r="X137" i="77"/>
  <c r="X136" i="77"/>
  <c r="X135" i="77"/>
  <c r="X134" i="77"/>
  <c r="X133" i="77"/>
  <c r="X132" i="77"/>
  <c r="X131" i="77"/>
  <c r="P9" i="61"/>
  <c r="P10" i="61"/>
  <c r="P11" i="61"/>
  <c r="P12" i="61"/>
  <c r="P13" i="61"/>
  <c r="P14" i="61"/>
  <c r="P15" i="61"/>
  <c r="P16" i="61"/>
  <c r="X11" i="62"/>
  <c r="X14" i="62"/>
  <c r="X15" i="62"/>
  <c r="X8" i="62"/>
  <c r="X128" i="62"/>
  <c r="X126" i="62"/>
  <c r="X125" i="62"/>
  <c r="X124" i="62"/>
  <c r="X123" i="62"/>
  <c r="X122" i="62"/>
  <c r="X121" i="62"/>
  <c r="X120" i="62"/>
  <c r="X119" i="62"/>
  <c r="X118" i="62"/>
  <c r="X117" i="62"/>
  <c r="X116" i="62"/>
  <c r="X115" i="62"/>
  <c r="X114" i="62"/>
  <c r="X113" i="62"/>
  <c r="X111" i="62"/>
  <c r="X108" i="62"/>
  <c r="X107" i="62"/>
  <c r="X106" i="62"/>
  <c r="X105" i="62"/>
  <c r="X104" i="62"/>
  <c r="X100" i="62"/>
  <c r="X99" i="62"/>
  <c r="X98" i="62"/>
  <c r="X97" i="62"/>
  <c r="X96" i="62"/>
  <c r="X95" i="62"/>
  <c r="X94" i="62"/>
  <c r="X93" i="62"/>
  <c r="X92" i="62"/>
  <c r="X91" i="62"/>
  <c r="X90" i="62"/>
  <c r="X89" i="62"/>
  <c r="X88" i="62"/>
  <c r="X87" i="62"/>
  <c r="X86" i="62"/>
  <c r="X85" i="62"/>
  <c r="X84" i="62"/>
  <c r="X83" i="62"/>
  <c r="X82" i="62"/>
  <c r="X81" i="62"/>
  <c r="X80" i="62"/>
  <c r="X79" i="62"/>
  <c r="X78" i="62"/>
  <c r="X77" i="62"/>
  <c r="X76" i="62"/>
  <c r="X75" i="62"/>
  <c r="X74" i="62"/>
  <c r="X73" i="62"/>
  <c r="X72" i="62"/>
  <c r="X71" i="62"/>
  <c r="X70" i="62"/>
  <c r="X69" i="62"/>
  <c r="X68" i="62"/>
  <c r="X67" i="62"/>
  <c r="X66" i="62"/>
  <c r="X64" i="62"/>
  <c r="X63" i="62"/>
  <c r="X62" i="62"/>
  <c r="X61" i="62"/>
  <c r="X60" i="62"/>
  <c r="X59" i="62"/>
  <c r="X58" i="62"/>
  <c r="X57" i="62"/>
  <c r="X56" i="62"/>
  <c r="X55" i="62"/>
  <c r="X54" i="62"/>
  <c r="X53" i="62"/>
  <c r="X52" i="62"/>
  <c r="X51" i="62"/>
  <c r="X50" i="62"/>
  <c r="X49" i="62"/>
  <c r="X48" i="62"/>
  <c r="X47" i="62"/>
  <c r="X45" i="62"/>
  <c r="X44" i="62"/>
  <c r="X43" i="62"/>
  <c r="X42" i="62"/>
  <c r="X41" i="62"/>
  <c r="X40" i="62"/>
  <c r="X39" i="62"/>
  <c r="X38" i="62"/>
  <c r="X37" i="62"/>
  <c r="X36" i="62"/>
  <c r="X35" i="62"/>
  <c r="X34" i="62"/>
  <c r="X33" i="62"/>
  <c r="X32" i="62"/>
  <c r="X31" i="62"/>
  <c r="X30" i="62"/>
  <c r="X29" i="62"/>
  <c r="X28" i="62"/>
  <c r="X27" i="62"/>
  <c r="X26" i="62"/>
  <c r="X25" i="62"/>
  <c r="X24" i="62"/>
  <c r="X23" i="62"/>
  <c r="X22" i="62"/>
  <c r="X21" i="62"/>
  <c r="X20" i="62"/>
  <c r="X19" i="62"/>
  <c r="X17" i="62"/>
  <c r="X16" i="62"/>
  <c r="X13" i="62"/>
  <c r="X12" i="62"/>
  <c r="X10" i="62"/>
  <c r="X9" i="62"/>
  <c r="X126" i="77"/>
  <c r="X107" i="77"/>
  <c r="X101" i="77"/>
  <c r="X90" i="77"/>
  <c r="X64" i="77"/>
  <c r="X45" i="77"/>
  <c r="X29" i="77"/>
  <c r="X27" i="77"/>
  <c r="O168" i="77"/>
  <c r="N168" i="77"/>
  <c r="O167" i="77"/>
  <c r="N167" i="77"/>
  <c r="O166" i="77"/>
  <c r="N166" i="77"/>
  <c r="O165" i="77"/>
  <c r="N165" i="77"/>
  <c r="O164" i="77"/>
  <c r="N164" i="77"/>
  <c r="O160" i="77"/>
  <c r="N160" i="77"/>
  <c r="O159" i="77"/>
  <c r="N159" i="77"/>
  <c r="O158" i="77"/>
  <c r="N158" i="77"/>
  <c r="O157" i="77"/>
  <c r="N157" i="77"/>
  <c r="O156" i="77"/>
  <c r="N156" i="77"/>
  <c r="O155" i="77"/>
  <c r="N155" i="77"/>
  <c r="O154" i="77"/>
  <c r="N154" i="77"/>
  <c r="O153" i="77"/>
  <c r="N153" i="77"/>
  <c r="O152" i="77"/>
  <c r="N152" i="77"/>
  <c r="O151" i="77"/>
  <c r="N151" i="77"/>
  <c r="O150" i="77"/>
  <c r="N150" i="77"/>
  <c r="O149" i="77"/>
  <c r="N149" i="77"/>
  <c r="O148" i="77"/>
  <c r="N148" i="77"/>
  <c r="O147" i="77"/>
  <c r="N147" i="77"/>
  <c r="O146" i="77"/>
  <c r="N146" i="77"/>
  <c r="O145" i="77"/>
  <c r="N145" i="77"/>
  <c r="O144" i="77"/>
  <c r="N144" i="77"/>
  <c r="O143" i="77"/>
  <c r="N143" i="77"/>
  <c r="O142" i="77"/>
  <c r="N142" i="77"/>
  <c r="O141" i="77"/>
  <c r="N141" i="77"/>
  <c r="O140" i="77"/>
  <c r="N140" i="77"/>
  <c r="O139" i="77"/>
  <c r="N139" i="77"/>
  <c r="O138" i="77"/>
  <c r="N138" i="77"/>
  <c r="O137" i="77"/>
  <c r="N137" i="77"/>
  <c r="O136" i="77"/>
  <c r="N136" i="77"/>
  <c r="O135" i="77"/>
  <c r="N135" i="77"/>
  <c r="O134" i="77"/>
  <c r="N134" i="77"/>
  <c r="O133" i="77"/>
  <c r="N133" i="77"/>
  <c r="O132" i="77"/>
  <c r="N132" i="77"/>
  <c r="O131" i="77"/>
  <c r="N131" i="77"/>
  <c r="N7" i="59"/>
  <c r="P7" i="59" s="1"/>
  <c r="O7" i="59"/>
  <c r="N8" i="59"/>
  <c r="X8" i="59" s="1"/>
  <c r="O8" i="59"/>
  <c r="N9" i="59"/>
  <c r="O9" i="59"/>
  <c r="P9" i="59"/>
  <c r="V9" i="59" s="1"/>
  <c r="N10" i="59"/>
  <c r="O10" i="59"/>
  <c r="P10" i="59" s="1"/>
  <c r="V10" i="59" s="1"/>
  <c r="N11" i="59"/>
  <c r="X11" i="59" s="1"/>
  <c r="O11" i="59"/>
  <c r="P11" i="59"/>
  <c r="V11" i="59" s="1"/>
  <c r="R11" i="59"/>
  <c r="N12" i="59"/>
  <c r="O12" i="59"/>
  <c r="P12" i="59" s="1"/>
  <c r="V12" i="59"/>
  <c r="N13" i="59"/>
  <c r="O13" i="59"/>
  <c r="P13" i="59"/>
  <c r="R13" i="59"/>
  <c r="V13" i="59"/>
  <c r="X13" i="59"/>
  <c r="N14" i="59"/>
  <c r="P14" i="59" s="1"/>
  <c r="V14" i="59" s="1"/>
  <c r="O14" i="59"/>
  <c r="R14" i="59"/>
  <c r="N15" i="59"/>
  <c r="O15" i="59"/>
  <c r="N16" i="59"/>
  <c r="X16" i="59" s="1"/>
  <c r="O16" i="59"/>
  <c r="P16" i="59" s="1"/>
  <c r="N17" i="59"/>
  <c r="O17" i="59"/>
  <c r="P17" i="59"/>
  <c r="U17" i="59"/>
  <c r="S18" i="59"/>
  <c r="T18" i="59"/>
  <c r="W18" i="59"/>
  <c r="N19" i="59"/>
  <c r="O19" i="59"/>
  <c r="P19" i="59"/>
  <c r="U19" i="59"/>
  <c r="V19" i="59" s="1"/>
  <c r="N20" i="59"/>
  <c r="U20" i="59"/>
  <c r="X20" i="59"/>
  <c r="N21" i="59"/>
  <c r="U21" i="59"/>
  <c r="X21" i="59"/>
  <c r="N22" i="59"/>
  <c r="U22" i="59"/>
  <c r="N23" i="59"/>
  <c r="U23" i="59"/>
  <c r="N24" i="59"/>
  <c r="X24" i="59" s="1"/>
  <c r="U24" i="59"/>
  <c r="N25" i="59"/>
  <c r="X25" i="59" s="1"/>
  <c r="U25" i="59"/>
  <c r="N26" i="59"/>
  <c r="U26" i="59"/>
  <c r="X26" i="59"/>
  <c r="N27" i="59"/>
  <c r="O27" i="59"/>
  <c r="P27" i="59"/>
  <c r="U27" i="59"/>
  <c r="V27" i="59" s="1"/>
  <c r="S28" i="59"/>
  <c r="T28" i="59"/>
  <c r="U28" i="59"/>
  <c r="W28" i="59"/>
  <c r="N29" i="59"/>
  <c r="O29" i="59"/>
  <c r="P29" i="59"/>
  <c r="U29" i="59"/>
  <c r="V29" i="59"/>
  <c r="N30" i="59"/>
  <c r="P30" i="59" s="1"/>
  <c r="O30" i="59"/>
  <c r="N31" i="59"/>
  <c r="P31" i="59" s="1"/>
  <c r="X31" i="59" s="1"/>
  <c r="O31" i="59"/>
  <c r="N32" i="59"/>
  <c r="U32" i="59"/>
  <c r="N33" i="59"/>
  <c r="U33" i="59"/>
  <c r="N34" i="59"/>
  <c r="O34" i="59"/>
  <c r="P34" i="59" s="1"/>
  <c r="Q34" i="78" s="1"/>
  <c r="N35" i="59"/>
  <c r="X35" i="59" s="1"/>
  <c r="U35" i="59"/>
  <c r="N36" i="59"/>
  <c r="X36" i="59" s="1"/>
  <c r="U36" i="59"/>
  <c r="N37" i="59"/>
  <c r="O37" i="59"/>
  <c r="P37" i="59" s="1"/>
  <c r="N38" i="59"/>
  <c r="O38" i="59"/>
  <c r="P38" i="59" s="1"/>
  <c r="N39" i="59"/>
  <c r="O39" i="59"/>
  <c r="P39" i="59" s="1"/>
  <c r="N40" i="59"/>
  <c r="O40" i="59"/>
  <c r="P40" i="59" s="1"/>
  <c r="N41" i="59"/>
  <c r="O41" i="59"/>
  <c r="P41" i="59" s="1"/>
  <c r="N42" i="59"/>
  <c r="U42" i="59"/>
  <c r="X42" i="59"/>
  <c r="N43" i="59"/>
  <c r="X43" i="59" s="1"/>
  <c r="U43" i="59"/>
  <c r="N44" i="59"/>
  <c r="U44" i="59"/>
  <c r="X44" i="59"/>
  <c r="N45" i="59"/>
  <c r="O45" i="59"/>
  <c r="P45" i="59" s="1"/>
  <c r="V45" i="59" s="1"/>
  <c r="U45" i="59"/>
  <c r="S46" i="59"/>
  <c r="T46" i="59"/>
  <c r="W46" i="59"/>
  <c r="W110" i="59" s="1"/>
  <c r="W112" i="59" s="1"/>
  <c r="W129" i="59" s="1"/>
  <c r="N47" i="59"/>
  <c r="O47" i="59"/>
  <c r="P47" i="59" s="1"/>
  <c r="U47" i="59"/>
  <c r="N48" i="59"/>
  <c r="X48" i="59" s="1"/>
  <c r="U48" i="59"/>
  <c r="N49" i="59"/>
  <c r="O49" i="59"/>
  <c r="P49" i="59"/>
  <c r="N50" i="59"/>
  <c r="X50" i="59" s="1"/>
  <c r="O50" i="59"/>
  <c r="P50" i="59"/>
  <c r="N51" i="59"/>
  <c r="X51" i="59" s="1"/>
  <c r="U51" i="59"/>
  <c r="N52" i="59"/>
  <c r="O52" i="59"/>
  <c r="P52" i="59" s="1"/>
  <c r="N53" i="59"/>
  <c r="O53" i="59"/>
  <c r="P53" i="59" s="1"/>
  <c r="N54" i="59"/>
  <c r="U54" i="59"/>
  <c r="X54" i="59"/>
  <c r="N55" i="59"/>
  <c r="O55" i="59"/>
  <c r="P55" i="59"/>
  <c r="R55" i="59"/>
  <c r="N56" i="59"/>
  <c r="U56" i="59"/>
  <c r="X56" i="59"/>
  <c r="N57" i="59"/>
  <c r="U57" i="59"/>
  <c r="X57" i="59"/>
  <c r="N58" i="59"/>
  <c r="P58" i="59" s="1"/>
  <c r="O58" i="59"/>
  <c r="N59" i="59"/>
  <c r="U59" i="59"/>
  <c r="X59" i="59"/>
  <c r="N60" i="59"/>
  <c r="U60" i="59"/>
  <c r="X60" i="59"/>
  <c r="N61" i="59"/>
  <c r="U61" i="59"/>
  <c r="N62" i="59"/>
  <c r="X62" i="59" s="1"/>
  <c r="U62" i="59"/>
  <c r="N63" i="59"/>
  <c r="X63" i="59" s="1"/>
  <c r="U63" i="59"/>
  <c r="N64" i="59"/>
  <c r="O64" i="59"/>
  <c r="P64" i="59" s="1"/>
  <c r="U64" i="59"/>
  <c r="S65" i="59"/>
  <c r="T65" i="59"/>
  <c r="T65" i="78" s="1"/>
  <c r="W65" i="59"/>
  <c r="N66" i="59"/>
  <c r="O66" i="59"/>
  <c r="P66" i="59" s="1"/>
  <c r="U66" i="59"/>
  <c r="X66" i="59"/>
  <c r="N67" i="59"/>
  <c r="U67" i="59"/>
  <c r="N68" i="59"/>
  <c r="P68" i="59" s="1"/>
  <c r="O68" i="59"/>
  <c r="N69" i="59"/>
  <c r="P69" i="59" s="1"/>
  <c r="O69" i="59"/>
  <c r="N70" i="59"/>
  <c r="U70" i="59"/>
  <c r="X70" i="59"/>
  <c r="N71" i="59"/>
  <c r="U71" i="59"/>
  <c r="X71" i="59"/>
  <c r="N72" i="59"/>
  <c r="U72" i="59"/>
  <c r="N73" i="59"/>
  <c r="X73" i="59" s="1"/>
  <c r="U73" i="59"/>
  <c r="N74" i="59"/>
  <c r="X74" i="59" s="1"/>
  <c r="U74" i="59"/>
  <c r="N75" i="59"/>
  <c r="U75" i="59"/>
  <c r="X75" i="59"/>
  <c r="N76" i="59"/>
  <c r="U76" i="59"/>
  <c r="X76" i="59"/>
  <c r="N77" i="59"/>
  <c r="U77" i="59"/>
  <c r="N78" i="59"/>
  <c r="U78" i="59"/>
  <c r="X78" i="59"/>
  <c r="N79" i="59"/>
  <c r="U79" i="59"/>
  <c r="X79" i="59"/>
  <c r="N80" i="59"/>
  <c r="U80" i="59"/>
  <c r="N81" i="59"/>
  <c r="O81" i="59"/>
  <c r="N82" i="59"/>
  <c r="X82" i="59" s="1"/>
  <c r="U82" i="59"/>
  <c r="N83" i="59"/>
  <c r="X83" i="59" s="1"/>
  <c r="U83" i="59"/>
  <c r="N84" i="59"/>
  <c r="U84" i="59"/>
  <c r="X84" i="59"/>
  <c r="N85" i="59"/>
  <c r="U85" i="59"/>
  <c r="X85" i="59"/>
  <c r="N86" i="59"/>
  <c r="U86" i="59"/>
  <c r="N87" i="59"/>
  <c r="U87" i="59"/>
  <c r="X87" i="59"/>
  <c r="N88" i="59"/>
  <c r="U88" i="59"/>
  <c r="X88" i="59"/>
  <c r="N89" i="59"/>
  <c r="U89" i="59"/>
  <c r="N90" i="59"/>
  <c r="O90" i="59"/>
  <c r="U90" i="59"/>
  <c r="S91" i="59"/>
  <c r="T91" i="59"/>
  <c r="W91" i="59"/>
  <c r="N92" i="59"/>
  <c r="P92" i="59" s="1"/>
  <c r="V92" i="59" s="1"/>
  <c r="O92" i="59"/>
  <c r="U92" i="59"/>
  <c r="N93" i="59"/>
  <c r="O93" i="59"/>
  <c r="P93" i="59"/>
  <c r="X93" i="59"/>
  <c r="R93" i="59"/>
  <c r="N94" i="59"/>
  <c r="O94" i="59"/>
  <c r="P94" i="59"/>
  <c r="X94" i="59"/>
  <c r="R94" i="59"/>
  <c r="N95" i="59"/>
  <c r="X95" i="59" s="1"/>
  <c r="U95" i="59"/>
  <c r="N96" i="59"/>
  <c r="O96" i="59"/>
  <c r="N97" i="59"/>
  <c r="O97" i="59"/>
  <c r="N98" i="59"/>
  <c r="O98" i="59"/>
  <c r="N99" i="59"/>
  <c r="O99" i="59"/>
  <c r="N100" i="59"/>
  <c r="O100" i="59"/>
  <c r="N101" i="59"/>
  <c r="P101" i="59" s="1"/>
  <c r="V101" i="59" s="1"/>
  <c r="O101" i="59"/>
  <c r="U101" i="59"/>
  <c r="N102" i="59"/>
  <c r="S102" i="59"/>
  <c r="T102" i="59"/>
  <c r="W102" i="59"/>
  <c r="N103" i="59"/>
  <c r="P103" i="59" s="1"/>
  <c r="V103" i="59" s="1"/>
  <c r="O103" i="59"/>
  <c r="U103" i="59"/>
  <c r="N104" i="59"/>
  <c r="O104" i="59"/>
  <c r="N105" i="59"/>
  <c r="U105" i="59"/>
  <c r="N106" i="59"/>
  <c r="O106" i="59"/>
  <c r="N107" i="59"/>
  <c r="O107" i="59"/>
  <c r="U107" i="59"/>
  <c r="S108" i="59"/>
  <c r="T108" i="59"/>
  <c r="W108" i="59"/>
  <c r="N109" i="59"/>
  <c r="O109" i="59"/>
  <c r="U109" i="59"/>
  <c r="S110" i="59"/>
  <c r="N111" i="59"/>
  <c r="P111" i="59" s="1"/>
  <c r="O111" i="59"/>
  <c r="U111" i="59"/>
  <c r="N113" i="59"/>
  <c r="O113" i="59"/>
  <c r="U113" i="59"/>
  <c r="N114" i="59"/>
  <c r="X114" i="59" s="1"/>
  <c r="T114" i="59"/>
  <c r="N115" i="59"/>
  <c r="X115" i="59" s="1"/>
  <c r="U115" i="59"/>
  <c r="N116" i="59"/>
  <c r="U116" i="59"/>
  <c r="N117" i="59"/>
  <c r="U117" i="59"/>
  <c r="X117" i="59"/>
  <c r="N118" i="59"/>
  <c r="U118" i="59"/>
  <c r="X118" i="59"/>
  <c r="N119" i="59"/>
  <c r="U119" i="59"/>
  <c r="N120" i="59"/>
  <c r="X120" i="59" s="1"/>
  <c r="U120" i="59"/>
  <c r="N121" i="59"/>
  <c r="U121" i="59"/>
  <c r="X121" i="59"/>
  <c r="N122" i="59"/>
  <c r="O122" i="59"/>
  <c r="P122" i="59"/>
  <c r="N123" i="59"/>
  <c r="O123" i="59"/>
  <c r="P123" i="59"/>
  <c r="N124" i="59"/>
  <c r="U124" i="59"/>
  <c r="X124" i="59"/>
  <c r="N125" i="59"/>
  <c r="X125" i="59" s="1"/>
  <c r="U125" i="59"/>
  <c r="N126" i="59"/>
  <c r="P126" i="59" s="1"/>
  <c r="V126" i="59" s="1"/>
  <c r="O126" i="59"/>
  <c r="U126" i="59"/>
  <c r="S127" i="59"/>
  <c r="W127" i="59"/>
  <c r="N128" i="59"/>
  <c r="P128" i="59" s="1"/>
  <c r="O128" i="59"/>
  <c r="U128" i="59"/>
  <c r="AC171" i="79"/>
  <c r="T171" i="79"/>
  <c r="S171" i="79"/>
  <c r="P171" i="79"/>
  <c r="R171" i="79" s="1"/>
  <c r="O171" i="79"/>
  <c r="N171" i="79"/>
  <c r="T170" i="79"/>
  <c r="Q170" i="79"/>
  <c r="AC170" i="79" s="1"/>
  <c r="K170" i="79"/>
  <c r="I170" i="79"/>
  <c r="C170" i="79"/>
  <c r="AC169" i="79"/>
  <c r="T169" i="79"/>
  <c r="S169" i="79"/>
  <c r="R169" i="79"/>
  <c r="O169" i="79"/>
  <c r="N169" i="79"/>
  <c r="P169" i="79" s="1"/>
  <c r="AC168" i="79"/>
  <c r="T168" i="79"/>
  <c r="S168" i="79"/>
  <c r="U168" i="79" s="1"/>
  <c r="V168" i="79" s="1"/>
  <c r="P168" i="79"/>
  <c r="R168" i="79" s="1"/>
  <c r="O168" i="79"/>
  <c r="N168" i="79"/>
  <c r="AC167" i="79"/>
  <c r="T167" i="79"/>
  <c r="S167" i="79"/>
  <c r="R167" i="79"/>
  <c r="P167" i="79"/>
  <c r="O167" i="79"/>
  <c r="N167" i="79"/>
  <c r="AC166" i="79"/>
  <c r="T166" i="79"/>
  <c r="U166" i="79" s="1"/>
  <c r="V166" i="79" s="1"/>
  <c r="R166" i="79"/>
  <c r="P166" i="79"/>
  <c r="O166" i="79"/>
  <c r="N166" i="79"/>
  <c r="AC165" i="79"/>
  <c r="T165" i="79"/>
  <c r="S165" i="79"/>
  <c r="U165" i="79" s="1"/>
  <c r="V165" i="79" s="1"/>
  <c r="O165" i="79"/>
  <c r="N165" i="79"/>
  <c r="P165" i="79" s="1"/>
  <c r="R165" i="79" s="1"/>
  <c r="C165" i="79"/>
  <c r="AC164" i="79"/>
  <c r="AA164" i="79"/>
  <c r="T164" i="79"/>
  <c r="U164" i="79" s="1"/>
  <c r="V164" i="79" s="1"/>
  <c r="O164" i="79"/>
  <c r="N164" i="79"/>
  <c r="P164" i="79" s="1"/>
  <c r="R164" i="79" s="1"/>
  <c r="J164" i="79"/>
  <c r="B164" i="79"/>
  <c r="A164" i="79"/>
  <c r="AC163" i="79"/>
  <c r="T163" i="79"/>
  <c r="S163" i="79"/>
  <c r="P163" i="79"/>
  <c r="R163" i="79" s="1"/>
  <c r="O163" i="79"/>
  <c r="N163" i="79"/>
  <c r="Z162" i="79"/>
  <c r="Z170" i="79" s="1"/>
  <c r="T162" i="79"/>
  <c r="S162" i="79"/>
  <c r="Q162" i="79"/>
  <c r="AC162" i="79" s="1"/>
  <c r="K162" i="79"/>
  <c r="I162" i="79"/>
  <c r="G162" i="79"/>
  <c r="G170" i="79" s="1"/>
  <c r="F162" i="79"/>
  <c r="F170" i="79" s="1"/>
  <c r="E162" i="79"/>
  <c r="E170" i="79" s="1"/>
  <c r="C162" i="79"/>
  <c r="B162" i="79"/>
  <c r="B170" i="79" s="1"/>
  <c r="AC161" i="79"/>
  <c r="T161" i="79"/>
  <c r="U161" i="79" s="1"/>
  <c r="V161" i="79" s="1"/>
  <c r="S161" i="79"/>
  <c r="O161" i="79"/>
  <c r="P161" i="79" s="1"/>
  <c r="R161" i="79" s="1"/>
  <c r="N161" i="79"/>
  <c r="AC160" i="79"/>
  <c r="AA160" i="79"/>
  <c r="T160" i="79"/>
  <c r="U160" i="79" s="1"/>
  <c r="V160" i="79" s="1"/>
  <c r="O160" i="79"/>
  <c r="N160" i="79"/>
  <c r="P160" i="79" s="1"/>
  <c r="R160" i="79" s="1"/>
  <c r="AC159" i="79"/>
  <c r="AA159" i="79"/>
  <c r="T159" i="79"/>
  <c r="U159" i="79" s="1"/>
  <c r="O159" i="79"/>
  <c r="N159" i="79"/>
  <c r="P159" i="79" s="1"/>
  <c r="R159" i="79" s="1"/>
  <c r="AC158" i="79"/>
  <c r="AA158" i="79"/>
  <c r="T158" i="79"/>
  <c r="U158" i="79" s="1"/>
  <c r="O158" i="79"/>
  <c r="N158" i="79"/>
  <c r="P158" i="79" s="1"/>
  <c r="R158" i="79" s="1"/>
  <c r="AC157" i="79"/>
  <c r="AA157" i="79"/>
  <c r="U157" i="79"/>
  <c r="V157" i="79" s="1"/>
  <c r="T157" i="79"/>
  <c r="O157" i="79"/>
  <c r="P157" i="79" s="1"/>
  <c r="R157" i="79" s="1"/>
  <c r="N157" i="79"/>
  <c r="AC156" i="79"/>
  <c r="AA156" i="79"/>
  <c r="T156" i="79"/>
  <c r="U156" i="79" s="1"/>
  <c r="P156" i="79"/>
  <c r="R156" i="79" s="1"/>
  <c r="O156" i="79"/>
  <c r="N156" i="79"/>
  <c r="AC155" i="79"/>
  <c r="AA155" i="79"/>
  <c r="U155" i="79"/>
  <c r="V155" i="79" s="1"/>
  <c r="T155" i="79"/>
  <c r="O155" i="79"/>
  <c r="N155" i="79"/>
  <c r="P155" i="79" s="1"/>
  <c r="R155" i="79" s="1"/>
  <c r="AC154" i="79"/>
  <c r="AA154" i="79"/>
  <c r="T154" i="79"/>
  <c r="U154" i="79" s="1"/>
  <c r="V154" i="79" s="1"/>
  <c r="P154" i="79"/>
  <c r="R154" i="79" s="1"/>
  <c r="O154" i="79"/>
  <c r="N154" i="79"/>
  <c r="AC153" i="79"/>
  <c r="AA153" i="79"/>
  <c r="U153" i="79"/>
  <c r="T153" i="79"/>
  <c r="O153" i="79"/>
  <c r="P153" i="79" s="1"/>
  <c r="R153" i="79" s="1"/>
  <c r="N153" i="79"/>
  <c r="AC152" i="79"/>
  <c r="AA152" i="79"/>
  <c r="V152" i="79"/>
  <c r="T152" i="79"/>
  <c r="U152" i="79" s="1"/>
  <c r="O152" i="79"/>
  <c r="N152" i="79"/>
  <c r="P152" i="79" s="1"/>
  <c r="R152" i="79" s="1"/>
  <c r="AC151" i="79"/>
  <c r="AA151" i="79"/>
  <c r="U151" i="79"/>
  <c r="T151" i="79"/>
  <c r="O151" i="79"/>
  <c r="N151" i="79"/>
  <c r="P151" i="79" s="1"/>
  <c r="R151" i="79" s="1"/>
  <c r="AC150" i="79"/>
  <c r="AA150" i="79"/>
  <c r="T150" i="79"/>
  <c r="U150" i="79" s="1"/>
  <c r="V150" i="79" s="1"/>
  <c r="O150" i="79"/>
  <c r="N150" i="79"/>
  <c r="P150" i="79" s="1"/>
  <c r="R150" i="79" s="1"/>
  <c r="AC149" i="79"/>
  <c r="AA149" i="79"/>
  <c r="T149" i="79"/>
  <c r="U149" i="79" s="1"/>
  <c r="V149" i="79" s="1"/>
  <c r="O149" i="79"/>
  <c r="P149" i="79" s="1"/>
  <c r="R149" i="79" s="1"/>
  <c r="N149" i="79"/>
  <c r="AC148" i="79"/>
  <c r="AA148" i="79"/>
  <c r="T148" i="79"/>
  <c r="U148" i="79" s="1"/>
  <c r="P148" i="79"/>
  <c r="R148" i="79" s="1"/>
  <c r="O148" i="79"/>
  <c r="N148" i="79"/>
  <c r="AC147" i="79"/>
  <c r="AA147" i="79"/>
  <c r="U147" i="79"/>
  <c r="V147" i="79" s="1"/>
  <c r="T147" i="79"/>
  <c r="O147" i="79"/>
  <c r="N147" i="79"/>
  <c r="P147" i="79" s="1"/>
  <c r="R147" i="79" s="1"/>
  <c r="AC146" i="79"/>
  <c r="AA146" i="79"/>
  <c r="T146" i="79"/>
  <c r="U146" i="79" s="1"/>
  <c r="V146" i="79" s="1"/>
  <c r="P146" i="79"/>
  <c r="R146" i="79" s="1"/>
  <c r="O146" i="79"/>
  <c r="N146" i="79"/>
  <c r="AC145" i="79"/>
  <c r="AA145" i="79"/>
  <c r="T145" i="79"/>
  <c r="U145" i="79" s="1"/>
  <c r="O145" i="79"/>
  <c r="P145" i="79" s="1"/>
  <c r="R145" i="79" s="1"/>
  <c r="N145" i="79"/>
  <c r="AC144" i="79"/>
  <c r="AA144" i="79"/>
  <c r="T144" i="79"/>
  <c r="U144" i="79" s="1"/>
  <c r="V144" i="79" s="1"/>
  <c r="O144" i="79"/>
  <c r="N144" i="79"/>
  <c r="P144" i="79" s="1"/>
  <c r="R144" i="79" s="1"/>
  <c r="AC143" i="79"/>
  <c r="AA143" i="79"/>
  <c r="U143" i="79"/>
  <c r="T143" i="79"/>
  <c r="O143" i="79"/>
  <c r="N143" i="79"/>
  <c r="P143" i="79" s="1"/>
  <c r="R143" i="79" s="1"/>
  <c r="AC142" i="79"/>
  <c r="AA142" i="79"/>
  <c r="T142" i="79"/>
  <c r="U142" i="79" s="1"/>
  <c r="V142" i="79" s="1"/>
  <c r="O142" i="79"/>
  <c r="N142" i="79"/>
  <c r="P142" i="79" s="1"/>
  <c r="R142" i="79" s="1"/>
  <c r="AC141" i="79"/>
  <c r="AA141" i="79"/>
  <c r="U141" i="79"/>
  <c r="V141" i="79" s="1"/>
  <c r="T141" i="79"/>
  <c r="O141" i="79"/>
  <c r="P141" i="79" s="1"/>
  <c r="R141" i="79" s="1"/>
  <c r="N141" i="79"/>
  <c r="AC140" i="79"/>
  <c r="AA140" i="79"/>
  <c r="T140" i="79"/>
  <c r="U140" i="79" s="1"/>
  <c r="P140" i="79"/>
  <c r="R140" i="79" s="1"/>
  <c r="O140" i="79"/>
  <c r="N140" i="79"/>
  <c r="AC139" i="79"/>
  <c r="AA139" i="79"/>
  <c r="T139" i="79"/>
  <c r="U139" i="79" s="1"/>
  <c r="V139" i="79" s="1"/>
  <c r="O139" i="79"/>
  <c r="N139" i="79"/>
  <c r="P139" i="79" s="1"/>
  <c r="R139" i="79" s="1"/>
  <c r="AC138" i="79"/>
  <c r="AA138" i="79"/>
  <c r="T138" i="79"/>
  <c r="U138" i="79" s="1"/>
  <c r="V138" i="79" s="1"/>
  <c r="P138" i="79"/>
  <c r="R138" i="79" s="1"/>
  <c r="O138" i="79"/>
  <c r="N138" i="79"/>
  <c r="AC137" i="79"/>
  <c r="AA137" i="79"/>
  <c r="U137" i="79"/>
  <c r="T137" i="79"/>
  <c r="O137" i="79"/>
  <c r="P137" i="79" s="1"/>
  <c r="R137" i="79" s="1"/>
  <c r="N137" i="79"/>
  <c r="AC136" i="79"/>
  <c r="AA136" i="79"/>
  <c r="V136" i="79"/>
  <c r="T136" i="79"/>
  <c r="U136" i="79" s="1"/>
  <c r="O136" i="79"/>
  <c r="N136" i="79"/>
  <c r="P136" i="79" s="1"/>
  <c r="R136" i="79" s="1"/>
  <c r="AC135" i="79"/>
  <c r="AA135" i="79"/>
  <c r="T135" i="79"/>
  <c r="U135" i="79" s="1"/>
  <c r="O135" i="79"/>
  <c r="N135" i="79"/>
  <c r="P135" i="79" s="1"/>
  <c r="R135" i="79" s="1"/>
  <c r="AC134" i="79"/>
  <c r="AA134" i="79"/>
  <c r="T134" i="79"/>
  <c r="U134" i="79" s="1"/>
  <c r="V134" i="79" s="1"/>
  <c r="O134" i="79"/>
  <c r="N134" i="79"/>
  <c r="P134" i="79" s="1"/>
  <c r="R134" i="79" s="1"/>
  <c r="AC133" i="79"/>
  <c r="AA133" i="79"/>
  <c r="T133" i="79"/>
  <c r="U133" i="79" s="1"/>
  <c r="V133" i="79" s="1"/>
  <c r="O133" i="79"/>
  <c r="P133" i="79" s="1"/>
  <c r="R133" i="79" s="1"/>
  <c r="N133" i="79"/>
  <c r="AC132" i="79"/>
  <c r="AA132" i="79"/>
  <c r="T132" i="79"/>
  <c r="U132" i="79" s="1"/>
  <c r="P132" i="79"/>
  <c r="R132" i="79" s="1"/>
  <c r="O132" i="79"/>
  <c r="N132" i="79"/>
  <c r="AC131" i="79"/>
  <c r="AA131" i="79"/>
  <c r="T131" i="79"/>
  <c r="U131" i="79" s="1"/>
  <c r="O131" i="79"/>
  <c r="O162" i="79" s="1"/>
  <c r="O170" i="79" s="1"/>
  <c r="L131" i="79"/>
  <c r="L162" i="79" s="1"/>
  <c r="L170" i="79" s="1"/>
  <c r="K131" i="79"/>
  <c r="J131" i="79"/>
  <c r="J162" i="79" s="1"/>
  <c r="J170" i="79" s="1"/>
  <c r="I131" i="79"/>
  <c r="H131" i="79"/>
  <c r="H162" i="79" s="1"/>
  <c r="H170" i="79" s="1"/>
  <c r="G131" i="79"/>
  <c r="E131" i="79"/>
  <c r="D131" i="79"/>
  <c r="D162" i="79" s="1"/>
  <c r="D170" i="79" s="1"/>
  <c r="C131" i="79"/>
  <c r="B131" i="79"/>
  <c r="A131" i="79"/>
  <c r="AC130" i="79"/>
  <c r="Y130" i="79"/>
  <c r="X130" i="79"/>
  <c r="T130" i="79"/>
  <c r="U130" i="79" s="1"/>
  <c r="S130" i="79"/>
  <c r="O130" i="79"/>
  <c r="P130" i="79" s="1"/>
  <c r="R130" i="79" s="1"/>
  <c r="N130" i="79"/>
  <c r="AC128" i="79"/>
  <c r="X128" i="79"/>
  <c r="Y128" i="79" s="1"/>
  <c r="T128" i="79"/>
  <c r="U128" i="79" s="1"/>
  <c r="O128" i="79"/>
  <c r="P128" i="79" s="1"/>
  <c r="R128" i="79" s="1"/>
  <c r="N128" i="79"/>
  <c r="Z127" i="79"/>
  <c r="S127" i="79"/>
  <c r="AC126" i="79"/>
  <c r="X126" i="79"/>
  <c r="Y126" i="79" s="1"/>
  <c r="T126" i="79"/>
  <c r="U126" i="79" s="1"/>
  <c r="O126" i="79"/>
  <c r="P126" i="79" s="1"/>
  <c r="R126" i="79" s="1"/>
  <c r="N126" i="79"/>
  <c r="AA125" i="79"/>
  <c r="X125" i="79"/>
  <c r="T125" i="79"/>
  <c r="Q125" i="79"/>
  <c r="AC125" i="79" s="1"/>
  <c r="N125" i="79"/>
  <c r="AA124" i="79"/>
  <c r="X124" i="79"/>
  <c r="T124" i="79"/>
  <c r="Q124" i="79"/>
  <c r="AC124" i="79" s="1"/>
  <c r="N124" i="79"/>
  <c r="AA123" i="79"/>
  <c r="T123" i="79"/>
  <c r="N123" i="79"/>
  <c r="AA122" i="79"/>
  <c r="T122" i="79"/>
  <c r="N122" i="79"/>
  <c r="AA121" i="79"/>
  <c r="X121" i="79"/>
  <c r="T121" i="79"/>
  <c r="Q121" i="79"/>
  <c r="AC121" i="79" s="1"/>
  <c r="N121" i="79"/>
  <c r="AA120" i="79"/>
  <c r="X120" i="79"/>
  <c r="T120" i="79"/>
  <c r="Q120" i="79"/>
  <c r="N120" i="79"/>
  <c r="AA119" i="79"/>
  <c r="X119" i="79"/>
  <c r="T119" i="79"/>
  <c r="Q119" i="79"/>
  <c r="AC119" i="79" s="1"/>
  <c r="N119" i="79"/>
  <c r="AA118" i="79"/>
  <c r="X118" i="79"/>
  <c r="T118" i="79"/>
  <c r="Q118" i="79"/>
  <c r="AC118" i="79" s="1"/>
  <c r="N118" i="79"/>
  <c r="AA117" i="79"/>
  <c r="X117" i="79"/>
  <c r="T117" i="79"/>
  <c r="Q117" i="79"/>
  <c r="AC117" i="79" s="1"/>
  <c r="N117" i="79"/>
  <c r="AA116" i="79"/>
  <c r="X116" i="79"/>
  <c r="T116" i="79"/>
  <c r="Q116" i="79"/>
  <c r="AC116" i="79" s="1"/>
  <c r="N116" i="79"/>
  <c r="AA115" i="79"/>
  <c r="X115" i="79"/>
  <c r="T115" i="79"/>
  <c r="Q115" i="79"/>
  <c r="AC115" i="79" s="1"/>
  <c r="N115" i="79"/>
  <c r="AA114" i="79"/>
  <c r="AA127" i="79" s="1"/>
  <c r="X114" i="79"/>
  <c r="T114" i="79"/>
  <c r="Q114" i="79"/>
  <c r="AC114" i="79" s="1"/>
  <c r="N114" i="79"/>
  <c r="N127" i="79" s="1"/>
  <c r="AC113" i="79"/>
  <c r="X113" i="79"/>
  <c r="Y113" i="79" s="1"/>
  <c r="T113" i="79"/>
  <c r="U113" i="79" s="1"/>
  <c r="P113" i="79"/>
  <c r="R113" i="79" s="1"/>
  <c r="O113" i="79"/>
  <c r="N113" i="79"/>
  <c r="AC111" i="79"/>
  <c r="X111" i="79"/>
  <c r="Y111" i="79" s="1"/>
  <c r="T111" i="79"/>
  <c r="U111" i="79" s="1"/>
  <c r="V111" i="79" s="1"/>
  <c r="O111" i="79"/>
  <c r="N111" i="79"/>
  <c r="P111" i="79" s="1"/>
  <c r="R111" i="79" s="1"/>
  <c r="AC109" i="79"/>
  <c r="X109" i="79"/>
  <c r="Y109" i="79" s="1"/>
  <c r="T109" i="79"/>
  <c r="U109" i="79" s="1"/>
  <c r="V109" i="79" s="1"/>
  <c r="P109" i="79"/>
  <c r="R109" i="79" s="1"/>
  <c r="O109" i="79"/>
  <c r="N109" i="79"/>
  <c r="Z108" i="79"/>
  <c r="S108" i="79"/>
  <c r="N108" i="79"/>
  <c r="AC107" i="79"/>
  <c r="X107" i="79"/>
  <c r="Y107" i="79" s="1"/>
  <c r="T107" i="79"/>
  <c r="U107" i="79" s="1"/>
  <c r="V107" i="79" s="1"/>
  <c r="O107" i="79"/>
  <c r="N107" i="79"/>
  <c r="P107" i="79" s="1"/>
  <c r="R107" i="79" s="1"/>
  <c r="AA106" i="79"/>
  <c r="T106" i="79"/>
  <c r="N106" i="79"/>
  <c r="AA105" i="79"/>
  <c r="X105" i="79"/>
  <c r="Y105" i="79" s="1"/>
  <c r="T105" i="79"/>
  <c r="Q105" i="79"/>
  <c r="N105" i="79"/>
  <c r="AA104" i="79"/>
  <c r="T104" i="79"/>
  <c r="N104" i="79"/>
  <c r="AC103" i="79"/>
  <c r="X103" i="79"/>
  <c r="Y103" i="79" s="1"/>
  <c r="T103" i="79"/>
  <c r="U103" i="79" s="1"/>
  <c r="O103" i="79"/>
  <c r="N103" i="79"/>
  <c r="P103" i="79" s="1"/>
  <c r="R103" i="79" s="1"/>
  <c r="Z102" i="79"/>
  <c r="T102" i="79"/>
  <c r="S102" i="79"/>
  <c r="AC101" i="79"/>
  <c r="X101" i="79"/>
  <c r="Y101" i="79" s="1"/>
  <c r="T101" i="79"/>
  <c r="U101" i="79" s="1"/>
  <c r="V101" i="79" s="1"/>
  <c r="P101" i="79"/>
  <c r="R101" i="79" s="1"/>
  <c r="O101" i="79"/>
  <c r="N101" i="79"/>
  <c r="AA100" i="79"/>
  <c r="T100" i="79"/>
  <c r="N100" i="79"/>
  <c r="AA99" i="79"/>
  <c r="T99" i="79"/>
  <c r="N99" i="79"/>
  <c r="AA98" i="79"/>
  <c r="T98" i="79"/>
  <c r="N98" i="79"/>
  <c r="AA97" i="79"/>
  <c r="T97" i="79"/>
  <c r="N97" i="79"/>
  <c r="AA96" i="79"/>
  <c r="T96" i="79"/>
  <c r="N96" i="79"/>
  <c r="AA95" i="79"/>
  <c r="X95" i="79"/>
  <c r="T95" i="79"/>
  <c r="Q95" i="79"/>
  <c r="U95" i="79" s="1"/>
  <c r="N95" i="79"/>
  <c r="AA94" i="79"/>
  <c r="X94" i="79"/>
  <c r="T94" i="79"/>
  <c r="Q94" i="79"/>
  <c r="N94" i="79"/>
  <c r="AA93" i="79"/>
  <c r="AA102" i="79" s="1"/>
  <c r="X93" i="79"/>
  <c r="Y93" i="79" s="1"/>
  <c r="T93" i="79"/>
  <c r="Q93" i="79"/>
  <c r="N93" i="79"/>
  <c r="X92" i="79"/>
  <c r="Y92" i="79" s="1"/>
  <c r="T92" i="79"/>
  <c r="U92" i="79" s="1"/>
  <c r="V92" i="79" s="1"/>
  <c r="O92" i="79"/>
  <c r="N92" i="79"/>
  <c r="P92" i="79" s="1"/>
  <c r="R92" i="79" s="1"/>
  <c r="Z91" i="79"/>
  <c r="T91" i="79"/>
  <c r="S91" i="79"/>
  <c r="AC90" i="79"/>
  <c r="X90" i="79"/>
  <c r="Y90" i="79" s="1"/>
  <c r="T90" i="79"/>
  <c r="U90" i="79" s="1"/>
  <c r="V90" i="79" s="1"/>
  <c r="O90" i="79"/>
  <c r="N90" i="79"/>
  <c r="P90" i="79" s="1"/>
  <c r="R90" i="79" s="1"/>
  <c r="AA89" i="79"/>
  <c r="X89" i="79"/>
  <c r="T89" i="79"/>
  <c r="Q89" i="79"/>
  <c r="AC89" i="79" s="1"/>
  <c r="N89" i="79"/>
  <c r="AA88" i="79"/>
  <c r="X88" i="79"/>
  <c r="T88" i="79"/>
  <c r="Q88" i="79"/>
  <c r="AC88" i="79" s="1"/>
  <c r="N88" i="79"/>
  <c r="AA87" i="79"/>
  <c r="X87" i="79"/>
  <c r="T87" i="79"/>
  <c r="Q87" i="79"/>
  <c r="AC87" i="79" s="1"/>
  <c r="N87" i="79"/>
  <c r="AA86" i="79"/>
  <c r="X86" i="79"/>
  <c r="T86" i="79"/>
  <c r="Q86" i="79"/>
  <c r="AC86" i="79" s="1"/>
  <c r="N86" i="79"/>
  <c r="AA85" i="79"/>
  <c r="X85" i="79"/>
  <c r="T85" i="79"/>
  <c r="Q85" i="79"/>
  <c r="N85" i="79"/>
  <c r="AA84" i="79"/>
  <c r="X84" i="79"/>
  <c r="T84" i="79"/>
  <c r="Q84" i="79"/>
  <c r="AC84" i="79" s="1"/>
  <c r="N84" i="79"/>
  <c r="AA83" i="79"/>
  <c r="X83" i="79"/>
  <c r="T83" i="79"/>
  <c r="Q83" i="79"/>
  <c r="AC83" i="79" s="1"/>
  <c r="N83" i="79"/>
  <c r="AA82" i="79"/>
  <c r="X82" i="79"/>
  <c r="T82" i="79"/>
  <c r="Q82" i="79"/>
  <c r="AC82" i="79" s="1"/>
  <c r="N82" i="79"/>
  <c r="AA81" i="79"/>
  <c r="T81" i="79"/>
  <c r="N81" i="79"/>
  <c r="AA80" i="79"/>
  <c r="X80" i="79"/>
  <c r="T80" i="79"/>
  <c r="Q80" i="79"/>
  <c r="AC80" i="79" s="1"/>
  <c r="N80" i="79"/>
  <c r="AA79" i="79"/>
  <c r="X79" i="79"/>
  <c r="T79" i="79"/>
  <c r="Q79" i="79"/>
  <c r="AC79" i="79" s="1"/>
  <c r="N79" i="79"/>
  <c r="AA78" i="79"/>
  <c r="X78" i="79"/>
  <c r="T78" i="79"/>
  <c r="Q78" i="79"/>
  <c r="AC78" i="79" s="1"/>
  <c r="N78" i="79"/>
  <c r="AA77" i="79"/>
  <c r="X77" i="79"/>
  <c r="T77" i="79"/>
  <c r="Q77" i="79"/>
  <c r="N77" i="79"/>
  <c r="AA76" i="79"/>
  <c r="X76" i="79"/>
  <c r="T76" i="79"/>
  <c r="Q76" i="79"/>
  <c r="AC76" i="79" s="1"/>
  <c r="N76" i="79"/>
  <c r="AA75" i="79"/>
  <c r="X75" i="79"/>
  <c r="T75" i="79"/>
  <c r="Q75" i="79"/>
  <c r="AC75" i="79" s="1"/>
  <c r="N75" i="79"/>
  <c r="AA74" i="79"/>
  <c r="X74" i="79"/>
  <c r="T74" i="79"/>
  <c r="Q74" i="79"/>
  <c r="AC74" i="79" s="1"/>
  <c r="N74" i="79"/>
  <c r="AA73" i="79"/>
  <c r="X73" i="79"/>
  <c r="T73" i="79"/>
  <c r="Q73" i="79"/>
  <c r="N73" i="79"/>
  <c r="AA72" i="79"/>
  <c r="X72" i="79"/>
  <c r="T72" i="79"/>
  <c r="Q72" i="79"/>
  <c r="AC72" i="79" s="1"/>
  <c r="N72" i="79"/>
  <c r="AA71" i="79"/>
  <c r="X71" i="79"/>
  <c r="T71" i="79"/>
  <c r="Q71" i="79"/>
  <c r="AC71" i="79" s="1"/>
  <c r="N71" i="79"/>
  <c r="AA70" i="79"/>
  <c r="X70" i="79"/>
  <c r="T70" i="79"/>
  <c r="Q70" i="79"/>
  <c r="AC70" i="79" s="1"/>
  <c r="N70" i="79"/>
  <c r="AA69" i="79"/>
  <c r="X69" i="79"/>
  <c r="T69" i="79"/>
  <c r="Q69" i="79"/>
  <c r="N69" i="79"/>
  <c r="AA68" i="79"/>
  <c r="X68" i="79"/>
  <c r="T68" i="79"/>
  <c r="Q68" i="79"/>
  <c r="AC68" i="79" s="1"/>
  <c r="N68" i="79"/>
  <c r="AA67" i="79"/>
  <c r="AA91" i="79" s="1"/>
  <c r="X67" i="79"/>
  <c r="T67" i="79"/>
  <c r="Q67" i="79"/>
  <c r="AC67" i="79" s="1"/>
  <c r="N67" i="79"/>
  <c r="N91" i="79" s="1"/>
  <c r="X66" i="79"/>
  <c r="Y66" i="79" s="1"/>
  <c r="T66" i="79"/>
  <c r="U66" i="79" s="1"/>
  <c r="V66" i="79" s="1"/>
  <c r="O66" i="79"/>
  <c r="N66" i="79"/>
  <c r="P66" i="79" s="1"/>
  <c r="R66" i="79" s="1"/>
  <c r="Z65" i="79"/>
  <c r="S65" i="79"/>
  <c r="AC64" i="79"/>
  <c r="X64" i="79"/>
  <c r="Y64" i="79" s="1"/>
  <c r="T64" i="79"/>
  <c r="U64" i="79" s="1"/>
  <c r="V64" i="79" s="1"/>
  <c r="O64" i="79"/>
  <c r="N64" i="79"/>
  <c r="P64" i="79" s="1"/>
  <c r="R64" i="79" s="1"/>
  <c r="AA63" i="79"/>
  <c r="X63" i="79"/>
  <c r="T63" i="79"/>
  <c r="Q63" i="79"/>
  <c r="U63" i="79" s="1"/>
  <c r="N63" i="79"/>
  <c r="AA62" i="79"/>
  <c r="X62" i="79"/>
  <c r="T62" i="79"/>
  <c r="Q62" i="79"/>
  <c r="N62" i="79"/>
  <c r="AA61" i="79"/>
  <c r="X61" i="79"/>
  <c r="T61" i="79"/>
  <c r="Q61" i="79"/>
  <c r="U61" i="79" s="1"/>
  <c r="N61" i="79"/>
  <c r="AA60" i="79"/>
  <c r="X60" i="79"/>
  <c r="T60" i="79"/>
  <c r="Q60" i="79"/>
  <c r="N60" i="79"/>
  <c r="AA59" i="79"/>
  <c r="X59" i="79"/>
  <c r="T59" i="79"/>
  <c r="Q59" i="79"/>
  <c r="N59" i="79"/>
  <c r="AA58" i="79"/>
  <c r="T58" i="79"/>
  <c r="N58" i="79"/>
  <c r="AA57" i="79"/>
  <c r="X57" i="79"/>
  <c r="T57" i="79"/>
  <c r="Q57" i="79"/>
  <c r="AC57" i="79" s="1"/>
  <c r="N57" i="79"/>
  <c r="AA56" i="79"/>
  <c r="X56" i="79"/>
  <c r="T56" i="79"/>
  <c r="Q56" i="79"/>
  <c r="AC56" i="79" s="1"/>
  <c r="N56" i="79"/>
  <c r="AA55" i="79"/>
  <c r="T55" i="79"/>
  <c r="N55" i="79"/>
  <c r="AA54" i="79"/>
  <c r="X54" i="79"/>
  <c r="T54" i="79"/>
  <c r="Q54" i="79"/>
  <c r="AC54" i="79" s="1"/>
  <c r="N54" i="79"/>
  <c r="AA53" i="79"/>
  <c r="T53" i="79"/>
  <c r="N53" i="79"/>
  <c r="AA52" i="79"/>
  <c r="T52" i="79"/>
  <c r="N52" i="79"/>
  <c r="AA51" i="79"/>
  <c r="X51" i="79"/>
  <c r="T51" i="79"/>
  <c r="Q51" i="79"/>
  <c r="AC51" i="79" s="1"/>
  <c r="N51" i="79"/>
  <c r="AA50" i="79"/>
  <c r="T50" i="79"/>
  <c r="N50" i="79"/>
  <c r="AA49" i="79"/>
  <c r="T49" i="79"/>
  <c r="N49" i="79"/>
  <c r="AA48" i="79"/>
  <c r="X48" i="79"/>
  <c r="T48" i="79"/>
  <c r="Q48" i="79"/>
  <c r="N48" i="79"/>
  <c r="X47" i="79"/>
  <c r="Y47" i="79" s="1"/>
  <c r="T47" i="79"/>
  <c r="U47" i="79" s="1"/>
  <c r="V47" i="79" s="1"/>
  <c r="O47" i="79"/>
  <c r="N47" i="79"/>
  <c r="P47" i="79" s="1"/>
  <c r="R47" i="79" s="1"/>
  <c r="Z46" i="79"/>
  <c r="T46" i="79"/>
  <c r="S46" i="79"/>
  <c r="AC45" i="79"/>
  <c r="X45" i="79"/>
  <c r="Y45" i="79" s="1"/>
  <c r="T45" i="79"/>
  <c r="U45" i="79" s="1"/>
  <c r="O45" i="79"/>
  <c r="N45" i="79"/>
  <c r="P45" i="79" s="1"/>
  <c r="R45" i="79" s="1"/>
  <c r="AA44" i="79"/>
  <c r="X44" i="79"/>
  <c r="T44" i="79"/>
  <c r="Q44" i="79"/>
  <c r="N44" i="79"/>
  <c r="AA43" i="79"/>
  <c r="X43" i="79"/>
  <c r="T43" i="79"/>
  <c r="Q43" i="79"/>
  <c r="AC43" i="79" s="1"/>
  <c r="N43" i="79"/>
  <c r="AA42" i="79"/>
  <c r="X42" i="79"/>
  <c r="T42" i="79"/>
  <c r="Q42" i="79"/>
  <c r="AC42" i="79" s="1"/>
  <c r="N42" i="79"/>
  <c r="AA41" i="79"/>
  <c r="X41" i="79"/>
  <c r="T41" i="79"/>
  <c r="Q41" i="79"/>
  <c r="AC41" i="79" s="1"/>
  <c r="N41" i="79"/>
  <c r="AA40" i="79"/>
  <c r="X40" i="79"/>
  <c r="T40" i="79"/>
  <c r="Q40" i="79"/>
  <c r="N40" i="79"/>
  <c r="AA39" i="79"/>
  <c r="X39" i="79"/>
  <c r="T39" i="79"/>
  <c r="Q39" i="79"/>
  <c r="AC39" i="79" s="1"/>
  <c r="N39" i="79"/>
  <c r="AA38" i="79"/>
  <c r="T38" i="79"/>
  <c r="N38" i="79"/>
  <c r="AA37" i="79"/>
  <c r="T37" i="79"/>
  <c r="N37" i="79"/>
  <c r="AA36" i="79"/>
  <c r="X36" i="79"/>
  <c r="T36" i="79"/>
  <c r="Q36" i="79"/>
  <c r="AC36" i="79" s="1"/>
  <c r="N36" i="79"/>
  <c r="AA35" i="79"/>
  <c r="X35" i="79"/>
  <c r="T35" i="79"/>
  <c r="Q35" i="79"/>
  <c r="AC35" i="79" s="1"/>
  <c r="N35" i="79"/>
  <c r="AA34" i="79"/>
  <c r="T34" i="79"/>
  <c r="N34" i="79"/>
  <c r="AA33" i="79"/>
  <c r="X33" i="79"/>
  <c r="T33" i="79"/>
  <c r="Q33" i="79"/>
  <c r="AC33" i="79" s="1"/>
  <c r="N33" i="79"/>
  <c r="AA32" i="79"/>
  <c r="X32" i="79"/>
  <c r="T32" i="79"/>
  <c r="Q32" i="79"/>
  <c r="AC32" i="79" s="1"/>
  <c r="N32" i="79"/>
  <c r="AA31" i="79"/>
  <c r="T31" i="79"/>
  <c r="N31" i="79"/>
  <c r="AA30" i="79"/>
  <c r="AA46" i="79" s="1"/>
  <c r="T30" i="79"/>
  <c r="N30" i="79"/>
  <c r="N46" i="79" s="1"/>
  <c r="X29" i="79"/>
  <c r="Y29" i="79" s="1"/>
  <c r="T29" i="79"/>
  <c r="U29" i="79" s="1"/>
  <c r="V29" i="79" s="1"/>
  <c r="P29" i="79"/>
  <c r="R29" i="79" s="1"/>
  <c r="O29" i="79"/>
  <c r="N29" i="79"/>
  <c r="Z28" i="79"/>
  <c r="Z110" i="79" s="1"/>
  <c r="T28" i="79"/>
  <c r="S28" i="79"/>
  <c r="S110" i="79" s="1"/>
  <c r="AC27" i="79"/>
  <c r="X27" i="79"/>
  <c r="Y27" i="79" s="1"/>
  <c r="T27" i="79"/>
  <c r="U27" i="79" s="1"/>
  <c r="O27" i="79"/>
  <c r="N27" i="79"/>
  <c r="P27" i="79" s="1"/>
  <c r="R27" i="79" s="1"/>
  <c r="AA26" i="79"/>
  <c r="X26" i="79"/>
  <c r="T26" i="79"/>
  <c r="Q26" i="79"/>
  <c r="AC26" i="79" s="1"/>
  <c r="N26" i="79"/>
  <c r="AA25" i="79"/>
  <c r="X25" i="79"/>
  <c r="T25" i="79"/>
  <c r="Q25" i="79"/>
  <c r="AC25" i="79" s="1"/>
  <c r="N25" i="79"/>
  <c r="AA24" i="79"/>
  <c r="X24" i="79"/>
  <c r="T24" i="79"/>
  <c r="Q24" i="79"/>
  <c r="AC24" i="79" s="1"/>
  <c r="N24" i="79"/>
  <c r="AA23" i="79"/>
  <c r="X23" i="79"/>
  <c r="T23" i="79"/>
  <c r="Q23" i="79"/>
  <c r="AC23" i="79" s="1"/>
  <c r="N23" i="79"/>
  <c r="AA22" i="79"/>
  <c r="X22" i="79"/>
  <c r="T22" i="79"/>
  <c r="Q22" i="79"/>
  <c r="N22" i="79"/>
  <c r="AA21" i="79"/>
  <c r="T21" i="79"/>
  <c r="N21" i="79"/>
  <c r="AA20" i="79"/>
  <c r="AA28" i="79" s="1"/>
  <c r="X20" i="79"/>
  <c r="T20" i="79"/>
  <c r="Q20" i="79"/>
  <c r="AC20" i="79" s="1"/>
  <c r="N20" i="79"/>
  <c r="N28" i="79" s="1"/>
  <c r="Y19" i="79"/>
  <c r="T19" i="79"/>
  <c r="U19" i="79" s="1"/>
  <c r="V19" i="79" s="1"/>
  <c r="O19" i="79"/>
  <c r="P19" i="79" s="1"/>
  <c r="R19" i="79" s="1"/>
  <c r="N19" i="79"/>
  <c r="AC18" i="79"/>
  <c r="Z18" i="79"/>
  <c r="T18" i="79"/>
  <c r="U18" i="79" s="1"/>
  <c r="S18" i="79"/>
  <c r="S112" i="79" s="1"/>
  <c r="Q18" i="79"/>
  <c r="AC17" i="79"/>
  <c r="X17" i="79"/>
  <c r="Y17" i="79" s="1"/>
  <c r="T17" i="79"/>
  <c r="U17" i="79" s="1"/>
  <c r="V17" i="79" s="1"/>
  <c r="P17" i="79"/>
  <c r="R17" i="79" s="1"/>
  <c r="O17" i="79"/>
  <c r="N17" i="79"/>
  <c r="AC16" i="79"/>
  <c r="AA16" i="79"/>
  <c r="T16" i="79"/>
  <c r="U16" i="79" s="1"/>
  <c r="N16" i="79"/>
  <c r="AC15" i="79"/>
  <c r="AA15" i="79"/>
  <c r="T15" i="79"/>
  <c r="U15" i="79" s="1"/>
  <c r="N15" i="79"/>
  <c r="J15" i="79"/>
  <c r="AC14" i="79"/>
  <c r="AA14" i="79"/>
  <c r="T14" i="79"/>
  <c r="U14" i="79" s="1"/>
  <c r="N14" i="79"/>
  <c r="J14" i="79"/>
  <c r="AC13" i="79"/>
  <c r="AA13" i="79"/>
  <c r="T13" i="79"/>
  <c r="U13" i="79" s="1"/>
  <c r="N13" i="79"/>
  <c r="J13" i="79"/>
  <c r="AC12" i="79"/>
  <c r="AA12" i="79"/>
  <c r="T12" i="79"/>
  <c r="U12" i="79" s="1"/>
  <c r="N12" i="79"/>
  <c r="AC11" i="79"/>
  <c r="AA11" i="79"/>
  <c r="T11" i="79"/>
  <c r="U11" i="79" s="1"/>
  <c r="N11" i="79"/>
  <c r="J11" i="79"/>
  <c r="AC10" i="79"/>
  <c r="AA10" i="79"/>
  <c r="T10" i="79"/>
  <c r="U10" i="79" s="1"/>
  <c r="N10" i="79"/>
  <c r="J10" i="79"/>
  <c r="AC9" i="79"/>
  <c r="AA9" i="79"/>
  <c r="T9" i="79"/>
  <c r="U9" i="79" s="1"/>
  <c r="N9" i="79"/>
  <c r="J9" i="79"/>
  <c r="AC8" i="79"/>
  <c r="AA8" i="79"/>
  <c r="T8" i="79"/>
  <c r="U8" i="79" s="1"/>
  <c r="N8" i="79"/>
  <c r="AC7" i="79"/>
  <c r="AA7" i="79"/>
  <c r="AA18" i="79" s="1"/>
  <c r="X7" i="79"/>
  <c r="Y7" i="79" s="1"/>
  <c r="T7" i="79"/>
  <c r="N7" i="79"/>
  <c r="N18" i="79" s="1"/>
  <c r="K1" i="79"/>
  <c r="L119" i="58"/>
  <c r="Z112" i="78"/>
  <c r="O168" i="78"/>
  <c r="N168" i="78"/>
  <c r="O167" i="78"/>
  <c r="N167" i="78"/>
  <c r="O166" i="78"/>
  <c r="N166" i="78"/>
  <c r="O165" i="78"/>
  <c r="P165" i="78" s="1"/>
  <c r="R165" i="78" s="1"/>
  <c r="N165" i="78"/>
  <c r="O164" i="78"/>
  <c r="N164" i="78"/>
  <c r="O160" i="78"/>
  <c r="N160" i="78"/>
  <c r="O159" i="78"/>
  <c r="N159" i="78"/>
  <c r="O158" i="78"/>
  <c r="N158" i="78"/>
  <c r="P158" i="78" s="1"/>
  <c r="O157" i="78"/>
  <c r="N157" i="78"/>
  <c r="P157" i="78" s="1"/>
  <c r="R157" i="78" s="1"/>
  <c r="O156" i="78"/>
  <c r="P156" i="78" s="1"/>
  <c r="R156" i="78" s="1"/>
  <c r="N156" i="78"/>
  <c r="O155" i="78"/>
  <c r="N155" i="78"/>
  <c r="O154" i="78"/>
  <c r="N154" i="78"/>
  <c r="P154" i="78" s="1"/>
  <c r="R154" i="78" s="1"/>
  <c r="O153" i="78"/>
  <c r="N153" i="78"/>
  <c r="O152" i="78"/>
  <c r="P152" i="78" s="1"/>
  <c r="N152" i="78"/>
  <c r="O151" i="78"/>
  <c r="N151" i="78"/>
  <c r="O150" i="78"/>
  <c r="N150" i="78"/>
  <c r="O149" i="78"/>
  <c r="N149" i="78"/>
  <c r="P149" i="78" s="1"/>
  <c r="R149" i="78" s="1"/>
  <c r="O148" i="78"/>
  <c r="N148" i="78"/>
  <c r="O147" i="78"/>
  <c r="N147" i="78"/>
  <c r="O146" i="78"/>
  <c r="N146" i="78"/>
  <c r="O145" i="78"/>
  <c r="N145" i="78"/>
  <c r="P145" i="78" s="1"/>
  <c r="R145" i="78" s="1"/>
  <c r="O144" i="78"/>
  <c r="N144" i="78"/>
  <c r="O143" i="78"/>
  <c r="N143" i="78"/>
  <c r="O142" i="78"/>
  <c r="N142" i="78"/>
  <c r="P142" i="78" s="1"/>
  <c r="O141" i="78"/>
  <c r="N141" i="78"/>
  <c r="P141" i="78" s="1"/>
  <c r="R141" i="78" s="1"/>
  <c r="O140" i="78"/>
  <c r="P140" i="78" s="1"/>
  <c r="R140" i="78" s="1"/>
  <c r="N140" i="78"/>
  <c r="O139" i="78"/>
  <c r="N139" i="78"/>
  <c r="O138" i="78"/>
  <c r="N138" i="78"/>
  <c r="P138" i="78" s="1"/>
  <c r="R138" i="78" s="1"/>
  <c r="O137" i="78"/>
  <c r="N137" i="78"/>
  <c r="O136" i="78"/>
  <c r="P136" i="78" s="1"/>
  <c r="R136" i="78" s="1"/>
  <c r="N136" i="78"/>
  <c r="O135" i="78"/>
  <c r="N135" i="78"/>
  <c r="O134" i="78"/>
  <c r="N134" i="78"/>
  <c r="P134" i="78" s="1"/>
  <c r="R134" i="78" s="1"/>
  <c r="O133" i="78"/>
  <c r="N133" i="78"/>
  <c r="P133" i="78" s="1"/>
  <c r="R133" i="78" s="1"/>
  <c r="O132" i="78"/>
  <c r="P132" i="78" s="1"/>
  <c r="R132" i="78" s="1"/>
  <c r="N132" i="78"/>
  <c r="O131" i="78"/>
  <c r="N131" i="78"/>
  <c r="AC171" i="78"/>
  <c r="T171" i="78"/>
  <c r="S171" i="78"/>
  <c r="P171" i="78"/>
  <c r="R171" i="78" s="1"/>
  <c r="O171" i="78"/>
  <c r="N171" i="78"/>
  <c r="T170" i="78"/>
  <c r="K170" i="78"/>
  <c r="AC169" i="78"/>
  <c r="T169" i="78"/>
  <c r="U169" i="78" s="1"/>
  <c r="S169" i="78"/>
  <c r="R169" i="78"/>
  <c r="O169" i="78"/>
  <c r="P169" i="78" s="1"/>
  <c r="N169" i="78"/>
  <c r="AC168" i="78"/>
  <c r="T168" i="78"/>
  <c r="S168" i="78"/>
  <c r="U168" i="78" s="1"/>
  <c r="V168" i="78" s="1"/>
  <c r="P168" i="78"/>
  <c r="R168" i="78" s="1"/>
  <c r="AC167" i="78"/>
  <c r="T167" i="78"/>
  <c r="U167" i="78" s="1"/>
  <c r="V167" i="78" s="1"/>
  <c r="S167" i="78"/>
  <c r="P167" i="78"/>
  <c r="R167" i="78" s="1"/>
  <c r="AC166" i="78"/>
  <c r="T166" i="78"/>
  <c r="U166" i="78" s="1"/>
  <c r="V166" i="78" s="1"/>
  <c r="P166" i="78"/>
  <c r="R166" i="78" s="1"/>
  <c r="AC165" i="78"/>
  <c r="U165" i="78"/>
  <c r="T165" i="78"/>
  <c r="S165" i="78"/>
  <c r="C165" i="78"/>
  <c r="AC164" i="78"/>
  <c r="AA164" i="78"/>
  <c r="T164" i="78"/>
  <c r="U164" i="78" s="1"/>
  <c r="P164" i="78"/>
  <c r="R164" i="78" s="1"/>
  <c r="J164" i="78"/>
  <c r="B164" i="78"/>
  <c r="A164" i="78"/>
  <c r="AC163" i="78"/>
  <c r="T163" i="78"/>
  <c r="S163" i="78"/>
  <c r="U163" i="78" s="1"/>
  <c r="V163" i="78" s="1"/>
  <c r="R163" i="78"/>
  <c r="P163" i="78"/>
  <c r="O163" i="78"/>
  <c r="N163" i="78"/>
  <c r="Z162" i="78"/>
  <c r="Z170" i="78" s="1"/>
  <c r="T162" i="78"/>
  <c r="S162" i="78"/>
  <c r="S170" i="78" s="1"/>
  <c r="U170" i="78" s="1"/>
  <c r="Q162" i="78"/>
  <c r="Q170" i="78" s="1"/>
  <c r="AC170" i="78" s="1"/>
  <c r="F162" i="78"/>
  <c r="F170" i="78" s="1"/>
  <c r="E162" i="78"/>
  <c r="E170" i="78" s="1"/>
  <c r="AC161" i="78"/>
  <c r="T161" i="78"/>
  <c r="U161" i="78" s="1"/>
  <c r="V161" i="78" s="1"/>
  <c r="S161" i="78"/>
  <c r="O161" i="78"/>
  <c r="N161" i="78"/>
  <c r="P161" i="78" s="1"/>
  <c r="R161" i="78" s="1"/>
  <c r="AC160" i="78"/>
  <c r="AA160" i="78"/>
  <c r="T160" i="78"/>
  <c r="U160" i="78" s="1"/>
  <c r="V160" i="78" s="1"/>
  <c r="P160" i="78"/>
  <c r="R160" i="78" s="1"/>
  <c r="AC159" i="78"/>
  <c r="AA159" i="78"/>
  <c r="T159" i="78"/>
  <c r="U159" i="78" s="1"/>
  <c r="P159" i="78"/>
  <c r="R159" i="78" s="1"/>
  <c r="AC158" i="78"/>
  <c r="AA158" i="78"/>
  <c r="U158" i="78"/>
  <c r="T158" i="78"/>
  <c r="AC157" i="78"/>
  <c r="AA157" i="78"/>
  <c r="T157" i="78"/>
  <c r="U157" i="78" s="1"/>
  <c r="AC156" i="78"/>
  <c r="AA156" i="78"/>
  <c r="T156" i="78"/>
  <c r="U156" i="78" s="1"/>
  <c r="AC155" i="78"/>
  <c r="AA155" i="78"/>
  <c r="T155" i="78"/>
  <c r="U155" i="78" s="1"/>
  <c r="P155" i="78"/>
  <c r="R155" i="78" s="1"/>
  <c r="AC154" i="78"/>
  <c r="AA154" i="78"/>
  <c r="T154" i="78"/>
  <c r="U154" i="78" s="1"/>
  <c r="AC153" i="78"/>
  <c r="AA153" i="78"/>
  <c r="T153" i="78"/>
  <c r="U153" i="78" s="1"/>
  <c r="P153" i="78"/>
  <c r="R153" i="78" s="1"/>
  <c r="AC152" i="78"/>
  <c r="AA152" i="78"/>
  <c r="T152" i="78"/>
  <c r="U152" i="78" s="1"/>
  <c r="AC151" i="78"/>
  <c r="AA151" i="78"/>
  <c r="T151" i="78"/>
  <c r="U151" i="78" s="1"/>
  <c r="P151" i="78"/>
  <c r="R151" i="78" s="1"/>
  <c r="AC150" i="78"/>
  <c r="AA150" i="78"/>
  <c r="T150" i="78"/>
  <c r="U150" i="78" s="1"/>
  <c r="P150" i="78"/>
  <c r="AC149" i="78"/>
  <c r="AA149" i="78"/>
  <c r="T149" i="78"/>
  <c r="U149" i="78" s="1"/>
  <c r="AC148" i="78"/>
  <c r="AA148" i="78"/>
  <c r="T148" i="78"/>
  <c r="U148" i="78" s="1"/>
  <c r="P148" i="78"/>
  <c r="R148" i="78" s="1"/>
  <c r="AC147" i="78"/>
  <c r="AA147" i="78"/>
  <c r="T147" i="78"/>
  <c r="U147" i="78" s="1"/>
  <c r="P147" i="78"/>
  <c r="R147" i="78" s="1"/>
  <c r="AC146" i="78"/>
  <c r="AA146" i="78"/>
  <c r="T146" i="78"/>
  <c r="U146" i="78" s="1"/>
  <c r="P146" i="78"/>
  <c r="R146" i="78" s="1"/>
  <c r="AC145" i="78"/>
  <c r="AA145" i="78"/>
  <c r="T145" i="78"/>
  <c r="U145" i="78" s="1"/>
  <c r="AC144" i="78"/>
  <c r="AA144" i="78"/>
  <c r="T144" i="78"/>
  <c r="U144" i="78" s="1"/>
  <c r="P144" i="78"/>
  <c r="R144" i="78" s="1"/>
  <c r="AC143" i="78"/>
  <c r="AA143" i="78"/>
  <c r="T143" i="78"/>
  <c r="U143" i="78" s="1"/>
  <c r="P143" i="78"/>
  <c r="R143" i="78" s="1"/>
  <c r="AC142" i="78"/>
  <c r="AA142" i="78"/>
  <c r="U142" i="78"/>
  <c r="T142" i="78"/>
  <c r="AC141" i="78"/>
  <c r="AA141" i="78"/>
  <c r="T141" i="78"/>
  <c r="U141" i="78" s="1"/>
  <c r="AC140" i="78"/>
  <c r="AA140" i="78"/>
  <c r="T140" i="78"/>
  <c r="U140" i="78" s="1"/>
  <c r="AC139" i="78"/>
  <c r="AA139" i="78"/>
  <c r="T139" i="78"/>
  <c r="U139" i="78" s="1"/>
  <c r="P139" i="78"/>
  <c r="R139" i="78" s="1"/>
  <c r="AC138" i="78"/>
  <c r="AA138" i="78"/>
  <c r="T138" i="78"/>
  <c r="U138" i="78" s="1"/>
  <c r="AC137" i="78"/>
  <c r="AA137" i="78"/>
  <c r="T137" i="78"/>
  <c r="U137" i="78" s="1"/>
  <c r="P137" i="78"/>
  <c r="R137" i="78" s="1"/>
  <c r="AC136" i="78"/>
  <c r="AA136" i="78"/>
  <c r="T136" i="78"/>
  <c r="U136" i="78" s="1"/>
  <c r="AC135" i="78"/>
  <c r="AA135" i="78"/>
  <c r="T135" i="78"/>
  <c r="U135" i="78" s="1"/>
  <c r="P135" i="78"/>
  <c r="R135" i="78" s="1"/>
  <c r="AC134" i="78"/>
  <c r="AA134" i="78"/>
  <c r="T134" i="78"/>
  <c r="U134" i="78" s="1"/>
  <c r="AC133" i="78"/>
  <c r="AA133" i="78"/>
  <c r="T133" i="78"/>
  <c r="U133" i="78" s="1"/>
  <c r="AC132" i="78"/>
  <c r="AA132" i="78"/>
  <c r="T132" i="78"/>
  <c r="U132" i="78" s="1"/>
  <c r="AC131" i="78"/>
  <c r="AA131" i="78"/>
  <c r="T131" i="78"/>
  <c r="U131" i="78" s="1"/>
  <c r="L131" i="78"/>
  <c r="L162" i="78" s="1"/>
  <c r="L170" i="78" s="1"/>
  <c r="K131" i="78"/>
  <c r="K162" i="78" s="1"/>
  <c r="J131" i="78"/>
  <c r="J162" i="78" s="1"/>
  <c r="J170" i="78" s="1"/>
  <c r="I131" i="78"/>
  <c r="I162" i="78" s="1"/>
  <c r="I170" i="78" s="1"/>
  <c r="H131" i="78"/>
  <c r="H162" i="78" s="1"/>
  <c r="H170" i="78" s="1"/>
  <c r="G131" i="78"/>
  <c r="G162" i="78" s="1"/>
  <c r="G170" i="78" s="1"/>
  <c r="E131" i="78"/>
  <c r="D131" i="78"/>
  <c r="D162" i="78" s="1"/>
  <c r="D170" i="78" s="1"/>
  <c r="C131" i="78"/>
  <c r="C162" i="78" s="1"/>
  <c r="C170" i="78" s="1"/>
  <c r="B131" i="78"/>
  <c r="B162" i="78" s="1"/>
  <c r="B170" i="78" s="1"/>
  <c r="A131" i="78"/>
  <c r="AC130" i="78"/>
  <c r="Y130" i="78"/>
  <c r="X130" i="78"/>
  <c r="T130" i="78"/>
  <c r="U130" i="78" s="1"/>
  <c r="V130" i="78" s="1"/>
  <c r="S130" i="78"/>
  <c r="O130" i="78"/>
  <c r="P130" i="78" s="1"/>
  <c r="R130" i="78" s="1"/>
  <c r="N130" i="78"/>
  <c r="AC128" i="78"/>
  <c r="T128" i="78"/>
  <c r="U128" i="78" s="1"/>
  <c r="O128" i="78"/>
  <c r="N128" i="78"/>
  <c r="P128" i="78" s="1"/>
  <c r="R128" i="78" s="1"/>
  <c r="Z127" i="78"/>
  <c r="S127" i="78"/>
  <c r="AC126" i="78"/>
  <c r="T126" i="78"/>
  <c r="U126" i="78" s="1"/>
  <c r="O126" i="78"/>
  <c r="N126" i="78"/>
  <c r="AA125" i="78"/>
  <c r="T125" i="78"/>
  <c r="N125" i="78"/>
  <c r="AA124" i="78"/>
  <c r="T124" i="78"/>
  <c r="N124" i="78"/>
  <c r="AA123" i="78"/>
  <c r="T123" i="78"/>
  <c r="N123" i="78"/>
  <c r="AA122" i="78"/>
  <c r="T122" i="78"/>
  <c r="N122" i="78"/>
  <c r="AA121" i="78"/>
  <c r="T121" i="78"/>
  <c r="N121" i="78"/>
  <c r="AA120" i="78"/>
  <c r="T120" i="78"/>
  <c r="N120" i="78"/>
  <c r="AA119" i="78"/>
  <c r="T119" i="78"/>
  <c r="N119" i="78"/>
  <c r="AA118" i="78"/>
  <c r="T118" i="78"/>
  <c r="N118" i="78"/>
  <c r="AA117" i="78"/>
  <c r="T117" i="78"/>
  <c r="N117" i="78"/>
  <c r="AA116" i="78"/>
  <c r="T116" i="78"/>
  <c r="N116" i="78"/>
  <c r="AA115" i="78"/>
  <c r="T115" i="78"/>
  <c r="N115" i="78"/>
  <c r="AA114" i="78"/>
  <c r="AA127" i="78" s="1"/>
  <c r="T114" i="78"/>
  <c r="N114" i="78"/>
  <c r="AC113" i="78"/>
  <c r="T113" i="78"/>
  <c r="U113" i="78" s="1"/>
  <c r="V113" i="78" s="1"/>
  <c r="P113" i="78"/>
  <c r="R113" i="78" s="1"/>
  <c r="O113" i="78"/>
  <c r="N113" i="78"/>
  <c r="AC111" i="78"/>
  <c r="T111" i="78"/>
  <c r="U111" i="78" s="1"/>
  <c r="V111" i="78" s="1"/>
  <c r="O111" i="78"/>
  <c r="N111" i="78"/>
  <c r="P111" i="78" s="1"/>
  <c r="R111" i="78" s="1"/>
  <c r="AC109" i="78"/>
  <c r="T109" i="78"/>
  <c r="U109" i="78" s="1"/>
  <c r="V109" i="78" s="1"/>
  <c r="P109" i="78"/>
  <c r="R109" i="78" s="1"/>
  <c r="O109" i="78"/>
  <c r="N109" i="78"/>
  <c r="Z108" i="78"/>
  <c r="S108" i="78"/>
  <c r="N108" i="78"/>
  <c r="AC107" i="78"/>
  <c r="T107" i="78"/>
  <c r="U107" i="78" s="1"/>
  <c r="V107" i="78" s="1"/>
  <c r="O107" i="78"/>
  <c r="N107" i="78"/>
  <c r="P107" i="78" s="1"/>
  <c r="R107" i="78" s="1"/>
  <c r="AA106" i="78"/>
  <c r="T106" i="78"/>
  <c r="N106" i="78"/>
  <c r="AA105" i="78"/>
  <c r="T105" i="78"/>
  <c r="N105" i="78"/>
  <c r="AA104" i="78"/>
  <c r="AA108" i="78" s="1"/>
  <c r="T104" i="78"/>
  <c r="N104" i="78"/>
  <c r="AC103" i="78"/>
  <c r="X103" i="78"/>
  <c r="Y103" i="78" s="1"/>
  <c r="T103" i="78"/>
  <c r="U103" i="78" s="1"/>
  <c r="O103" i="78"/>
  <c r="N103" i="78"/>
  <c r="P103" i="78" s="1"/>
  <c r="R103" i="78" s="1"/>
  <c r="Z102" i="78"/>
  <c r="T102" i="78"/>
  <c r="S102" i="78"/>
  <c r="AC101" i="78"/>
  <c r="T101" i="78"/>
  <c r="U101" i="78" s="1"/>
  <c r="V101" i="78" s="1"/>
  <c r="R101" i="78"/>
  <c r="P101" i="78"/>
  <c r="O101" i="78"/>
  <c r="N101" i="78"/>
  <c r="AA100" i="78"/>
  <c r="T100" i="78"/>
  <c r="N100" i="78"/>
  <c r="AA99" i="78"/>
  <c r="T99" i="78"/>
  <c r="N99" i="78"/>
  <c r="AA98" i="78"/>
  <c r="T98" i="78"/>
  <c r="N98" i="78"/>
  <c r="AA97" i="78"/>
  <c r="T97" i="78"/>
  <c r="N97" i="78"/>
  <c r="AA96" i="78"/>
  <c r="T96" i="78"/>
  <c r="N96" i="78"/>
  <c r="AA95" i="78"/>
  <c r="X95" i="78"/>
  <c r="T95" i="78"/>
  <c r="Q95" i="78"/>
  <c r="N95" i="78"/>
  <c r="AA94" i="78"/>
  <c r="X94" i="78"/>
  <c r="T94" i="78"/>
  <c r="Q94" i="78"/>
  <c r="U94" i="78" s="1"/>
  <c r="N94" i="78"/>
  <c r="AA93" i="78"/>
  <c r="AA102" i="78" s="1"/>
  <c r="X93" i="78"/>
  <c r="T93" i="78"/>
  <c r="Q93" i="78"/>
  <c r="N93" i="78"/>
  <c r="T92" i="78"/>
  <c r="U92" i="78" s="1"/>
  <c r="O92" i="78"/>
  <c r="N92" i="78"/>
  <c r="Z91" i="78"/>
  <c r="T91" i="78"/>
  <c r="S91" i="78"/>
  <c r="AC90" i="78"/>
  <c r="T90" i="78"/>
  <c r="U90" i="78" s="1"/>
  <c r="V90" i="78" s="1"/>
  <c r="P90" i="78"/>
  <c r="R90" i="78" s="1"/>
  <c r="O90" i="78"/>
  <c r="N90" i="78"/>
  <c r="AA89" i="78"/>
  <c r="X89" i="78"/>
  <c r="T89" i="78"/>
  <c r="Q89" i="78"/>
  <c r="AC89" i="78" s="1"/>
  <c r="N89" i="78"/>
  <c r="AA88" i="78"/>
  <c r="X88" i="78"/>
  <c r="T88" i="78"/>
  <c r="Q88" i="78"/>
  <c r="N88" i="78"/>
  <c r="AA87" i="78"/>
  <c r="X87" i="78"/>
  <c r="T87" i="78"/>
  <c r="Q87" i="78"/>
  <c r="AC87" i="78" s="1"/>
  <c r="N87" i="78"/>
  <c r="AA86" i="78"/>
  <c r="X86" i="78"/>
  <c r="T86" i="78"/>
  <c r="Q86" i="78"/>
  <c r="AC86" i="78" s="1"/>
  <c r="N86" i="78"/>
  <c r="AA85" i="78"/>
  <c r="X85" i="78"/>
  <c r="T85" i="78"/>
  <c r="Q85" i="78"/>
  <c r="AC85" i="78" s="1"/>
  <c r="N85" i="78"/>
  <c r="AA84" i="78"/>
  <c r="X84" i="78"/>
  <c r="T84" i="78"/>
  <c r="Q84" i="78"/>
  <c r="AC84" i="78" s="1"/>
  <c r="N84" i="78"/>
  <c r="AA83" i="78"/>
  <c r="X83" i="78"/>
  <c r="T83" i="78"/>
  <c r="Q83" i="78"/>
  <c r="AC83" i="78" s="1"/>
  <c r="N83" i="78"/>
  <c r="AA82" i="78"/>
  <c r="X82" i="78"/>
  <c r="T82" i="78"/>
  <c r="Q82" i="78"/>
  <c r="AC82" i="78" s="1"/>
  <c r="N82" i="78"/>
  <c r="AA81" i="78"/>
  <c r="T81" i="78"/>
  <c r="N81" i="78"/>
  <c r="AA80" i="78"/>
  <c r="X80" i="78"/>
  <c r="T80" i="78"/>
  <c r="Q80" i="78"/>
  <c r="N80" i="78"/>
  <c r="AA79" i="78"/>
  <c r="X79" i="78"/>
  <c r="T79" i="78"/>
  <c r="Q79" i="78"/>
  <c r="AC79" i="78" s="1"/>
  <c r="N79" i="78"/>
  <c r="AA78" i="78"/>
  <c r="X78" i="78"/>
  <c r="T78" i="78"/>
  <c r="Q78" i="78"/>
  <c r="AC78" i="78" s="1"/>
  <c r="N78" i="78"/>
  <c r="AA77" i="78"/>
  <c r="X77" i="78"/>
  <c r="T77" i="78"/>
  <c r="Q77" i="78"/>
  <c r="AC77" i="78" s="1"/>
  <c r="N77" i="78"/>
  <c r="AA76" i="78"/>
  <c r="X76" i="78"/>
  <c r="T76" i="78"/>
  <c r="Q76" i="78"/>
  <c r="N76" i="78"/>
  <c r="AA75" i="78"/>
  <c r="X75" i="78"/>
  <c r="T75" i="78"/>
  <c r="Q75" i="78"/>
  <c r="AC75" i="78" s="1"/>
  <c r="N75" i="78"/>
  <c r="AA74" i="78"/>
  <c r="X74" i="78"/>
  <c r="T74" i="78"/>
  <c r="Q74" i="78"/>
  <c r="AC74" i="78" s="1"/>
  <c r="N74" i="78"/>
  <c r="AA73" i="78"/>
  <c r="X73" i="78"/>
  <c r="T73" i="78"/>
  <c r="Q73" i="78"/>
  <c r="AC73" i="78" s="1"/>
  <c r="N73" i="78"/>
  <c r="AA72" i="78"/>
  <c r="X72" i="78"/>
  <c r="T72" i="78"/>
  <c r="Q72" i="78"/>
  <c r="N72" i="78"/>
  <c r="AA71" i="78"/>
  <c r="X71" i="78"/>
  <c r="T71" i="78"/>
  <c r="Q71" i="78"/>
  <c r="N71" i="78"/>
  <c r="AA70" i="78"/>
  <c r="X70" i="78"/>
  <c r="T70" i="78"/>
  <c r="Q70" i="78"/>
  <c r="AC70" i="78" s="1"/>
  <c r="N70" i="78"/>
  <c r="AA69" i="78"/>
  <c r="X69" i="78"/>
  <c r="T69" i="78"/>
  <c r="Q69" i="78"/>
  <c r="AC69" i="78" s="1"/>
  <c r="N69" i="78"/>
  <c r="AA68" i="78"/>
  <c r="X68" i="78"/>
  <c r="T68" i="78"/>
  <c r="Q68" i="78"/>
  <c r="AC68" i="78" s="1"/>
  <c r="N68" i="78"/>
  <c r="AA67" i="78"/>
  <c r="AA91" i="78" s="1"/>
  <c r="X67" i="78"/>
  <c r="T67" i="78"/>
  <c r="Q67" i="78"/>
  <c r="N67" i="78"/>
  <c r="N91" i="78" s="1"/>
  <c r="X66" i="78"/>
  <c r="Y66" i="78" s="1"/>
  <c r="T66" i="78"/>
  <c r="U66" i="78" s="1"/>
  <c r="V66" i="78" s="1"/>
  <c r="R66" i="78"/>
  <c r="P66" i="78"/>
  <c r="O66" i="78"/>
  <c r="N66" i="78"/>
  <c r="AA65" i="78"/>
  <c r="Z65" i="78"/>
  <c r="S65" i="78"/>
  <c r="AC64" i="78"/>
  <c r="T64" i="78"/>
  <c r="U64" i="78" s="1"/>
  <c r="P64" i="78"/>
  <c r="O64" i="78"/>
  <c r="N64" i="78"/>
  <c r="AA63" i="78"/>
  <c r="X63" i="78"/>
  <c r="T63" i="78"/>
  <c r="Q63" i="78"/>
  <c r="N63" i="78"/>
  <c r="AA62" i="78"/>
  <c r="X62" i="78"/>
  <c r="T62" i="78"/>
  <c r="Q62" i="78"/>
  <c r="N62" i="78"/>
  <c r="AA61" i="78"/>
  <c r="X61" i="78"/>
  <c r="T61" i="78"/>
  <c r="Q61" i="78"/>
  <c r="U61" i="78" s="1"/>
  <c r="N61" i="78"/>
  <c r="AA60" i="78"/>
  <c r="X60" i="78"/>
  <c r="T60" i="78"/>
  <c r="Q60" i="78"/>
  <c r="N60" i="78"/>
  <c r="AA59" i="78"/>
  <c r="X59" i="78"/>
  <c r="T59" i="78"/>
  <c r="Q59" i="78"/>
  <c r="N59" i="78"/>
  <c r="AA58" i="78"/>
  <c r="T58" i="78"/>
  <c r="N58" i="78"/>
  <c r="AA57" i="78"/>
  <c r="X57" i="78"/>
  <c r="T57" i="78"/>
  <c r="Q57" i="78"/>
  <c r="N57" i="78"/>
  <c r="AA56" i="78"/>
  <c r="X56" i="78"/>
  <c r="T56" i="78"/>
  <c r="Q56" i="78"/>
  <c r="N56" i="78"/>
  <c r="AA55" i="78"/>
  <c r="T55" i="78"/>
  <c r="N55" i="78"/>
  <c r="AA54" i="78"/>
  <c r="X54" i="78"/>
  <c r="T54" i="78"/>
  <c r="Q54" i="78"/>
  <c r="N54" i="78"/>
  <c r="AA53" i="78"/>
  <c r="T53" i="78"/>
  <c r="N53" i="78"/>
  <c r="AA52" i="78"/>
  <c r="T52" i="78"/>
  <c r="N52" i="78"/>
  <c r="AA51" i="78"/>
  <c r="X51" i="78"/>
  <c r="T51" i="78"/>
  <c r="Q51" i="78"/>
  <c r="N51" i="78"/>
  <c r="AA50" i="78"/>
  <c r="T50" i="78"/>
  <c r="N50" i="78"/>
  <c r="AA49" i="78"/>
  <c r="T49" i="78"/>
  <c r="N49" i="78"/>
  <c r="AA48" i="78"/>
  <c r="X48" i="78"/>
  <c r="T48" i="78"/>
  <c r="Q48" i="78"/>
  <c r="AC48" i="78" s="1"/>
  <c r="N48" i="78"/>
  <c r="N65" i="78" s="1"/>
  <c r="T47" i="78"/>
  <c r="U47" i="78" s="1"/>
  <c r="O47" i="78"/>
  <c r="N47" i="78"/>
  <c r="P47" i="78" s="1"/>
  <c r="R47" i="78" s="1"/>
  <c r="Z46" i="78"/>
  <c r="T46" i="78"/>
  <c r="S46" i="78"/>
  <c r="AC45" i="78"/>
  <c r="T45" i="78"/>
  <c r="U45" i="78" s="1"/>
  <c r="V45" i="78" s="1"/>
  <c r="O45" i="78"/>
  <c r="N45" i="78"/>
  <c r="P45" i="78" s="1"/>
  <c r="R45" i="78" s="1"/>
  <c r="AA44" i="78"/>
  <c r="X44" i="78"/>
  <c r="T44" i="78"/>
  <c r="Q44" i="78"/>
  <c r="AC44" i="78" s="1"/>
  <c r="N44" i="78"/>
  <c r="AA43" i="78"/>
  <c r="X43" i="78"/>
  <c r="T43" i="78"/>
  <c r="Q43" i="78"/>
  <c r="N43" i="78"/>
  <c r="AA42" i="78"/>
  <c r="X42" i="78"/>
  <c r="T42" i="78"/>
  <c r="Q42" i="78"/>
  <c r="N42" i="78"/>
  <c r="AA41" i="78"/>
  <c r="X41" i="78"/>
  <c r="T41" i="78"/>
  <c r="Q41" i="78"/>
  <c r="N41" i="78"/>
  <c r="AA40" i="78"/>
  <c r="X40" i="78"/>
  <c r="T40" i="78"/>
  <c r="Q40" i="78"/>
  <c r="N40" i="78"/>
  <c r="AA39" i="78"/>
  <c r="X39" i="78"/>
  <c r="T39" i="78"/>
  <c r="Q39" i="78"/>
  <c r="N39" i="78"/>
  <c r="AA38" i="78"/>
  <c r="T38" i="78"/>
  <c r="N38" i="78"/>
  <c r="AA37" i="78"/>
  <c r="T37" i="78"/>
  <c r="N37" i="78"/>
  <c r="AA36" i="78"/>
  <c r="X36" i="78"/>
  <c r="T36" i="78"/>
  <c r="Q36" i="78"/>
  <c r="N36" i="78"/>
  <c r="AA35" i="78"/>
  <c r="X35" i="78"/>
  <c r="T35" i="78"/>
  <c r="Q35" i="78"/>
  <c r="N35" i="78"/>
  <c r="AA34" i="78"/>
  <c r="T34" i="78"/>
  <c r="N34" i="78"/>
  <c r="AA33" i="78"/>
  <c r="X33" i="78"/>
  <c r="T33" i="78"/>
  <c r="Q33" i="78"/>
  <c r="N33" i="78"/>
  <c r="AA32" i="78"/>
  <c r="X32" i="78"/>
  <c r="T32" i="78"/>
  <c r="Q32" i="78"/>
  <c r="N32" i="78"/>
  <c r="AA31" i="78"/>
  <c r="X31" i="78"/>
  <c r="T31" i="78"/>
  <c r="N31" i="78"/>
  <c r="AA30" i="78"/>
  <c r="AA46" i="78" s="1"/>
  <c r="T30" i="78"/>
  <c r="N30" i="78"/>
  <c r="N46" i="78" s="1"/>
  <c r="T29" i="78"/>
  <c r="U29" i="78" s="1"/>
  <c r="O29" i="78"/>
  <c r="N29" i="78"/>
  <c r="P29" i="78" s="1"/>
  <c r="R29" i="78" s="1"/>
  <c r="Z28" i="78"/>
  <c r="Z110" i="78" s="1"/>
  <c r="T28" i="78"/>
  <c r="S28" i="78"/>
  <c r="S110" i="78" s="1"/>
  <c r="AC27" i="78"/>
  <c r="T27" i="78"/>
  <c r="U27" i="78" s="1"/>
  <c r="O27" i="78"/>
  <c r="N27" i="78"/>
  <c r="P27" i="78" s="1"/>
  <c r="R27" i="78" s="1"/>
  <c r="AA26" i="78"/>
  <c r="X26" i="78"/>
  <c r="T26" i="78"/>
  <c r="Q26" i="78"/>
  <c r="AC26" i="78" s="1"/>
  <c r="N26" i="78"/>
  <c r="AA25" i="78"/>
  <c r="X25" i="78"/>
  <c r="T25" i="78"/>
  <c r="Q25" i="78"/>
  <c r="AC25" i="78" s="1"/>
  <c r="N25" i="78"/>
  <c r="AA24" i="78"/>
  <c r="X24" i="78"/>
  <c r="T24" i="78"/>
  <c r="Q24" i="78"/>
  <c r="AC24" i="78" s="1"/>
  <c r="N24" i="78"/>
  <c r="AA23" i="78"/>
  <c r="X23" i="78"/>
  <c r="T23" i="78"/>
  <c r="Q23" i="78"/>
  <c r="AC23" i="78" s="1"/>
  <c r="N23" i="78"/>
  <c r="AA22" i="78"/>
  <c r="X22" i="78"/>
  <c r="T22" i="78"/>
  <c r="Q22" i="78"/>
  <c r="N22" i="78"/>
  <c r="AA21" i="78"/>
  <c r="T21" i="78"/>
  <c r="N21" i="78"/>
  <c r="AA20" i="78"/>
  <c r="AA28" i="78" s="1"/>
  <c r="AA110" i="78" s="1"/>
  <c r="X20" i="78"/>
  <c r="T20" i="78"/>
  <c r="Q20" i="78"/>
  <c r="N20" i="78"/>
  <c r="N28" i="78" s="1"/>
  <c r="Y19" i="78"/>
  <c r="T19" i="78"/>
  <c r="U19" i="78" s="1"/>
  <c r="O19" i="78"/>
  <c r="P19" i="78" s="1"/>
  <c r="N19" i="78"/>
  <c r="AC18" i="78"/>
  <c r="Z18" i="78"/>
  <c r="Z129" i="78" s="1"/>
  <c r="Z172" i="78" s="1"/>
  <c r="T18" i="78"/>
  <c r="U18" i="78" s="1"/>
  <c r="S18" i="78"/>
  <c r="Q18" i="78"/>
  <c r="AC17" i="78"/>
  <c r="U17" i="78"/>
  <c r="T17" i="78"/>
  <c r="O17" i="78"/>
  <c r="P17" i="78" s="1"/>
  <c r="R17" i="78" s="1"/>
  <c r="N17" i="78"/>
  <c r="AC16" i="78"/>
  <c r="AA16" i="78"/>
  <c r="T16" i="78"/>
  <c r="U16" i="78" s="1"/>
  <c r="N16" i="78"/>
  <c r="AC15" i="78"/>
  <c r="AA15" i="78"/>
  <c r="T15" i="78"/>
  <c r="U15" i="78" s="1"/>
  <c r="N15" i="78"/>
  <c r="J15" i="78"/>
  <c r="AC14" i="78"/>
  <c r="AA14" i="78"/>
  <c r="T14" i="78"/>
  <c r="U14" i="78" s="1"/>
  <c r="N14" i="78"/>
  <c r="J14" i="78"/>
  <c r="AC13" i="78"/>
  <c r="AA13" i="78"/>
  <c r="T13" i="78"/>
  <c r="U13" i="78" s="1"/>
  <c r="N13" i="78"/>
  <c r="J13" i="78"/>
  <c r="AC12" i="78"/>
  <c r="AA12" i="78"/>
  <c r="T12" i="78"/>
  <c r="U12" i="78" s="1"/>
  <c r="N12" i="78"/>
  <c r="AC11" i="78"/>
  <c r="AA11" i="78"/>
  <c r="T11" i="78"/>
  <c r="U11" i="78" s="1"/>
  <c r="N11" i="78"/>
  <c r="J11" i="78"/>
  <c r="AC10" i="78"/>
  <c r="AA10" i="78"/>
  <c r="T10" i="78"/>
  <c r="U10" i="78" s="1"/>
  <c r="N10" i="78"/>
  <c r="J10" i="78"/>
  <c r="AC9" i="78"/>
  <c r="AA9" i="78"/>
  <c r="T9" i="78"/>
  <c r="U9" i="78" s="1"/>
  <c r="N9" i="78"/>
  <c r="J9" i="78"/>
  <c r="AC8" i="78"/>
  <c r="AD8" i="78" s="1"/>
  <c r="AA8" i="78"/>
  <c r="T8" i="78"/>
  <c r="U8" i="78" s="1"/>
  <c r="N8" i="78"/>
  <c r="AC7" i="78"/>
  <c r="AA7" i="78"/>
  <c r="AA18" i="78" s="1"/>
  <c r="AA112" i="78" s="1"/>
  <c r="AA129" i="78" s="1"/>
  <c r="X7" i="78"/>
  <c r="Y7" i="78" s="1"/>
  <c r="T7" i="78"/>
  <c r="N7" i="78"/>
  <c r="N18" i="78" s="1"/>
  <c r="K1" i="78"/>
  <c r="C165" i="77"/>
  <c r="J164" i="77"/>
  <c r="B164" i="77"/>
  <c r="A164" i="77"/>
  <c r="L131" i="77"/>
  <c r="K131" i="77"/>
  <c r="J131" i="77"/>
  <c r="I131" i="77"/>
  <c r="H131" i="77"/>
  <c r="G131" i="77"/>
  <c r="E131" i="77"/>
  <c r="C131" i="77"/>
  <c r="B131" i="77"/>
  <c r="AC131" i="77"/>
  <c r="L123" i="59"/>
  <c r="K123" i="59"/>
  <c r="J123" i="59"/>
  <c r="I123" i="59"/>
  <c r="H123" i="59"/>
  <c r="G123" i="59"/>
  <c r="F123" i="59"/>
  <c r="E123" i="59"/>
  <c r="D123" i="59"/>
  <c r="C123" i="59"/>
  <c r="B123" i="59"/>
  <c r="A123" i="59"/>
  <c r="L122" i="59"/>
  <c r="K122" i="59"/>
  <c r="J122" i="59"/>
  <c r="I122" i="59"/>
  <c r="H122" i="59"/>
  <c r="G122" i="59"/>
  <c r="F122" i="59"/>
  <c r="E122" i="59"/>
  <c r="D122" i="59"/>
  <c r="C122" i="59"/>
  <c r="B122" i="59"/>
  <c r="A122" i="59"/>
  <c r="L105" i="58"/>
  <c r="L106" i="59"/>
  <c r="L104" i="57"/>
  <c r="B104" i="59"/>
  <c r="C104" i="59"/>
  <c r="D104" i="59"/>
  <c r="E104" i="59"/>
  <c r="F104" i="59"/>
  <c r="G104" i="59"/>
  <c r="H104" i="59"/>
  <c r="I104" i="59"/>
  <c r="J104" i="59"/>
  <c r="K104" i="59"/>
  <c r="L104" i="59"/>
  <c r="B105" i="59"/>
  <c r="C105" i="59"/>
  <c r="D105" i="59"/>
  <c r="E105" i="59"/>
  <c r="F105" i="59"/>
  <c r="G105" i="59"/>
  <c r="H105" i="59"/>
  <c r="I105" i="59"/>
  <c r="J105" i="59"/>
  <c r="K105" i="59"/>
  <c r="B106" i="59"/>
  <c r="C106" i="59"/>
  <c r="D106" i="59"/>
  <c r="E106" i="59"/>
  <c r="F106" i="59"/>
  <c r="G106" i="59"/>
  <c r="H106" i="59"/>
  <c r="I106" i="59"/>
  <c r="J106" i="59"/>
  <c r="K106" i="59"/>
  <c r="A106" i="59"/>
  <c r="A104" i="59"/>
  <c r="B104" i="58"/>
  <c r="C104" i="58"/>
  <c r="D104" i="58"/>
  <c r="E104" i="58"/>
  <c r="F104" i="58"/>
  <c r="G104" i="58"/>
  <c r="H104" i="58"/>
  <c r="I104" i="58"/>
  <c r="J104" i="58"/>
  <c r="K104" i="58"/>
  <c r="L104" i="58"/>
  <c r="B105" i="58"/>
  <c r="C105" i="58"/>
  <c r="D105" i="58"/>
  <c r="E105" i="58"/>
  <c r="F105" i="58"/>
  <c r="G105" i="58"/>
  <c r="H105" i="58"/>
  <c r="I105" i="58"/>
  <c r="J105" i="58"/>
  <c r="K105" i="58"/>
  <c r="A105" i="58"/>
  <c r="A104" i="58"/>
  <c r="B104" i="57"/>
  <c r="C104" i="57"/>
  <c r="D104" i="57"/>
  <c r="E104" i="57"/>
  <c r="F104" i="57"/>
  <c r="G104" i="57"/>
  <c r="H104" i="57"/>
  <c r="I104" i="57"/>
  <c r="J104" i="57"/>
  <c r="K104" i="57"/>
  <c r="A104" i="57"/>
  <c r="L100" i="57"/>
  <c r="L99" i="59"/>
  <c r="L98" i="59"/>
  <c r="L97" i="59"/>
  <c r="L96" i="61"/>
  <c r="AA119" i="77"/>
  <c r="L94" i="61"/>
  <c r="L93" i="61"/>
  <c r="A94" i="62"/>
  <c r="B94" i="62"/>
  <c r="C94" i="62"/>
  <c r="D94" i="62"/>
  <c r="E94" i="62"/>
  <c r="F94" i="62"/>
  <c r="G94" i="62"/>
  <c r="H94" i="62"/>
  <c r="I94" i="62"/>
  <c r="J94" i="62"/>
  <c r="K94" i="62"/>
  <c r="L94" i="62"/>
  <c r="B94" i="61"/>
  <c r="C94" i="61"/>
  <c r="D94" i="61"/>
  <c r="E94" i="61"/>
  <c r="F94" i="61"/>
  <c r="G94" i="61"/>
  <c r="H94" i="61"/>
  <c r="I94" i="61"/>
  <c r="J94" i="61"/>
  <c r="K94" i="61"/>
  <c r="A94" i="61"/>
  <c r="E104" i="62"/>
  <c r="B96" i="62"/>
  <c r="C96" i="62"/>
  <c r="D96" i="62"/>
  <c r="E96" i="62"/>
  <c r="F96" i="62"/>
  <c r="G96" i="62"/>
  <c r="H96" i="62"/>
  <c r="I96" i="62"/>
  <c r="J96" i="62"/>
  <c r="K96" i="62"/>
  <c r="L96" i="62"/>
  <c r="A96" i="62"/>
  <c r="B93" i="62"/>
  <c r="C93" i="62"/>
  <c r="D93" i="62"/>
  <c r="E93" i="62"/>
  <c r="F93" i="62"/>
  <c r="G93" i="62"/>
  <c r="H93" i="62"/>
  <c r="I93" i="62"/>
  <c r="J93" i="62"/>
  <c r="K93" i="62"/>
  <c r="L93" i="62"/>
  <c r="A93" i="62"/>
  <c r="L114" i="61"/>
  <c r="L104" i="61"/>
  <c r="B100" i="61"/>
  <c r="C100" i="61"/>
  <c r="D100" i="61"/>
  <c r="E100" i="61"/>
  <c r="F100" i="61"/>
  <c r="G100" i="61"/>
  <c r="H100" i="61"/>
  <c r="I100" i="61"/>
  <c r="J100" i="61"/>
  <c r="K100" i="61"/>
  <c r="L100" i="61"/>
  <c r="A100" i="61"/>
  <c r="B98" i="61"/>
  <c r="C98" i="61"/>
  <c r="D98" i="61"/>
  <c r="E98" i="61"/>
  <c r="F98" i="61"/>
  <c r="G98" i="61"/>
  <c r="H98" i="61"/>
  <c r="I98" i="61"/>
  <c r="J98" i="61"/>
  <c r="K98" i="61"/>
  <c r="L98" i="61"/>
  <c r="A98" i="61"/>
  <c r="B96" i="61"/>
  <c r="C96" i="61"/>
  <c r="D96" i="61"/>
  <c r="E96" i="61"/>
  <c r="F96" i="61"/>
  <c r="G96" i="61"/>
  <c r="H96" i="61"/>
  <c r="I96" i="61"/>
  <c r="J96" i="61"/>
  <c r="K96" i="61"/>
  <c r="B97" i="61"/>
  <c r="C97" i="61"/>
  <c r="D97" i="61"/>
  <c r="E97" i="61"/>
  <c r="F97" i="61"/>
  <c r="G97" i="61"/>
  <c r="H97" i="61"/>
  <c r="I97" i="61"/>
  <c r="J97" i="61"/>
  <c r="K97" i="61"/>
  <c r="L97" i="61"/>
  <c r="A96" i="61"/>
  <c r="A97" i="61"/>
  <c r="L104" i="60"/>
  <c r="K104" i="60"/>
  <c r="J104" i="60"/>
  <c r="J104" i="79" s="1"/>
  <c r="I104" i="60"/>
  <c r="H104" i="60"/>
  <c r="G104" i="60"/>
  <c r="F104" i="60"/>
  <c r="E104" i="60"/>
  <c r="D104" i="60"/>
  <c r="C104" i="60"/>
  <c r="B104" i="60"/>
  <c r="A104" i="60"/>
  <c r="L96" i="60"/>
  <c r="K96" i="60"/>
  <c r="J96" i="60"/>
  <c r="I96" i="60"/>
  <c r="H96" i="60"/>
  <c r="G96" i="60"/>
  <c r="F96" i="60"/>
  <c r="E96" i="60"/>
  <c r="D96" i="60"/>
  <c r="C96" i="60"/>
  <c r="B96" i="60"/>
  <c r="L98" i="60"/>
  <c r="K98" i="60"/>
  <c r="J98" i="60"/>
  <c r="I98" i="60"/>
  <c r="H98" i="60"/>
  <c r="G98" i="60"/>
  <c r="F98" i="60"/>
  <c r="E98" i="60"/>
  <c r="D98" i="60"/>
  <c r="C98" i="60"/>
  <c r="B98" i="60"/>
  <c r="L100" i="60"/>
  <c r="K100" i="60"/>
  <c r="J100" i="60"/>
  <c r="I100" i="60"/>
  <c r="H100" i="60"/>
  <c r="G100" i="60"/>
  <c r="F100" i="60"/>
  <c r="E100" i="60"/>
  <c r="D100" i="60"/>
  <c r="C100" i="60"/>
  <c r="B100" i="60"/>
  <c r="A100" i="60"/>
  <c r="A98" i="60"/>
  <c r="A96" i="60"/>
  <c r="K98" i="59"/>
  <c r="J98" i="59"/>
  <c r="I98" i="59"/>
  <c r="H98" i="59"/>
  <c r="G98" i="59"/>
  <c r="F98" i="59"/>
  <c r="E98" i="59"/>
  <c r="D98" i="59"/>
  <c r="C98" i="59"/>
  <c r="B98" i="59"/>
  <c r="K99" i="59"/>
  <c r="J99" i="59"/>
  <c r="I99" i="59"/>
  <c r="H99" i="59"/>
  <c r="G99" i="59"/>
  <c r="F99" i="59"/>
  <c r="E99" i="59"/>
  <c r="D99" i="59"/>
  <c r="C99" i="59"/>
  <c r="B99" i="59"/>
  <c r="C100" i="59"/>
  <c r="A100" i="59"/>
  <c r="A99" i="59"/>
  <c r="A98" i="59"/>
  <c r="K97" i="59"/>
  <c r="J97" i="59"/>
  <c r="I97" i="59"/>
  <c r="H97" i="59"/>
  <c r="G97" i="59"/>
  <c r="F97" i="59"/>
  <c r="E97" i="59"/>
  <c r="D97" i="59"/>
  <c r="C97" i="59"/>
  <c r="B97" i="59"/>
  <c r="A97" i="59"/>
  <c r="L96" i="59"/>
  <c r="K96" i="59"/>
  <c r="J96" i="59"/>
  <c r="I96" i="59"/>
  <c r="H96" i="59"/>
  <c r="G96" i="59"/>
  <c r="F96" i="59"/>
  <c r="E96" i="59"/>
  <c r="D96" i="59"/>
  <c r="C96" i="59"/>
  <c r="B96" i="59"/>
  <c r="A96" i="59"/>
  <c r="C94" i="59"/>
  <c r="A94" i="59"/>
  <c r="C93" i="59"/>
  <c r="A93" i="59"/>
  <c r="B96" i="58"/>
  <c r="C96" i="58"/>
  <c r="D96" i="58"/>
  <c r="E96" i="58"/>
  <c r="F96" i="58"/>
  <c r="G96" i="58"/>
  <c r="H96" i="58"/>
  <c r="I96" i="58"/>
  <c r="J96" i="58"/>
  <c r="K96" i="58"/>
  <c r="L96" i="58"/>
  <c r="A96" i="58"/>
  <c r="B93" i="58"/>
  <c r="C93" i="58"/>
  <c r="D93" i="58"/>
  <c r="E93" i="58"/>
  <c r="F93" i="58"/>
  <c r="G93" i="58"/>
  <c r="H93" i="58"/>
  <c r="I93" i="58"/>
  <c r="J93" i="58"/>
  <c r="K93" i="58"/>
  <c r="L93" i="58"/>
  <c r="A93" i="58"/>
  <c r="B100" i="57"/>
  <c r="C100" i="57"/>
  <c r="D100" i="57"/>
  <c r="E100" i="57"/>
  <c r="F100" i="57"/>
  <c r="G100" i="57"/>
  <c r="H100" i="57"/>
  <c r="I100" i="57"/>
  <c r="J100" i="57"/>
  <c r="K100" i="57"/>
  <c r="B96" i="57"/>
  <c r="C96" i="57"/>
  <c r="D96" i="57"/>
  <c r="E96" i="57"/>
  <c r="F96" i="57"/>
  <c r="G96" i="57"/>
  <c r="H96" i="57"/>
  <c r="I96" i="57"/>
  <c r="J96" i="57"/>
  <c r="K96" i="57"/>
  <c r="L96" i="57"/>
  <c r="B97" i="57"/>
  <c r="C97" i="57"/>
  <c r="D97" i="57"/>
  <c r="E97" i="57"/>
  <c r="F97" i="57"/>
  <c r="G97" i="57"/>
  <c r="H97" i="57"/>
  <c r="I97" i="57"/>
  <c r="J97" i="57"/>
  <c r="K97" i="57"/>
  <c r="L97" i="57"/>
  <c r="B98" i="57"/>
  <c r="C98" i="57"/>
  <c r="D98" i="57"/>
  <c r="E98" i="57"/>
  <c r="F98" i="57"/>
  <c r="G98" i="57"/>
  <c r="H98" i="57"/>
  <c r="I98" i="57"/>
  <c r="J98" i="57"/>
  <c r="K98" i="57"/>
  <c r="L98" i="57"/>
  <c r="B93" i="57"/>
  <c r="C93" i="57"/>
  <c r="D93" i="57"/>
  <c r="E93" i="57"/>
  <c r="F93" i="57"/>
  <c r="G93" i="57"/>
  <c r="H93" i="57"/>
  <c r="I93" i="57"/>
  <c r="J93" i="57"/>
  <c r="K93" i="57"/>
  <c r="L93" i="57"/>
  <c r="B94" i="57"/>
  <c r="C94" i="57"/>
  <c r="D94" i="57"/>
  <c r="E94" i="57"/>
  <c r="F94" i="57"/>
  <c r="G94" i="57"/>
  <c r="H94" i="57"/>
  <c r="I94" i="57"/>
  <c r="J94" i="57"/>
  <c r="K94" i="57"/>
  <c r="L94" i="57"/>
  <c r="A100" i="57"/>
  <c r="A98" i="57"/>
  <c r="A97" i="57"/>
  <c r="A96" i="57"/>
  <c r="A94" i="57"/>
  <c r="A93" i="57"/>
  <c r="B87" i="62"/>
  <c r="C87" i="62"/>
  <c r="D87" i="62"/>
  <c r="E87" i="62"/>
  <c r="F87" i="62"/>
  <c r="G87" i="62"/>
  <c r="H87" i="62"/>
  <c r="I87" i="62"/>
  <c r="J87" i="62"/>
  <c r="K87" i="62"/>
  <c r="L87" i="62"/>
  <c r="A87" i="62"/>
  <c r="B82" i="58"/>
  <c r="C82" i="58"/>
  <c r="D82" i="58"/>
  <c r="E82" i="58"/>
  <c r="F82" i="58"/>
  <c r="G82" i="58"/>
  <c r="H82" i="58"/>
  <c r="I82" i="58"/>
  <c r="J82" i="58"/>
  <c r="K82" i="58"/>
  <c r="L82" i="58"/>
  <c r="A82" i="58"/>
  <c r="L81" i="58"/>
  <c r="G81" i="60"/>
  <c r="L81" i="61"/>
  <c r="E81" i="62"/>
  <c r="E81" i="59"/>
  <c r="L79" i="63"/>
  <c r="B79" i="63"/>
  <c r="C79" i="63"/>
  <c r="D79" i="63"/>
  <c r="E79" i="63"/>
  <c r="F79" i="63"/>
  <c r="G79" i="63"/>
  <c r="H79" i="63"/>
  <c r="I79" i="63"/>
  <c r="J79" i="63"/>
  <c r="K79" i="63"/>
  <c r="A79" i="63"/>
  <c r="L76" i="63"/>
  <c r="B76" i="63"/>
  <c r="C76" i="63"/>
  <c r="D76" i="63"/>
  <c r="E76" i="63"/>
  <c r="F76" i="63"/>
  <c r="G76" i="63"/>
  <c r="H76" i="63"/>
  <c r="I76" i="63"/>
  <c r="J76" i="63"/>
  <c r="K76" i="63"/>
  <c r="A76" i="63"/>
  <c r="L75" i="63"/>
  <c r="B75" i="63"/>
  <c r="C75" i="63"/>
  <c r="D75" i="63"/>
  <c r="E75" i="63"/>
  <c r="F75" i="63"/>
  <c r="G75" i="63"/>
  <c r="H75" i="63"/>
  <c r="I75" i="63"/>
  <c r="J75" i="63"/>
  <c r="K75" i="63"/>
  <c r="A75" i="63"/>
  <c r="L74" i="63"/>
  <c r="B74" i="63"/>
  <c r="C74" i="63"/>
  <c r="D74" i="63"/>
  <c r="E74" i="63"/>
  <c r="F74" i="63"/>
  <c r="G74" i="63"/>
  <c r="H74" i="63"/>
  <c r="I74" i="63"/>
  <c r="J74" i="63"/>
  <c r="K74" i="63"/>
  <c r="A74" i="63"/>
  <c r="L72" i="63"/>
  <c r="B72" i="63"/>
  <c r="C72" i="63"/>
  <c r="D72" i="63"/>
  <c r="E72" i="63"/>
  <c r="F72" i="63"/>
  <c r="G72" i="63"/>
  <c r="H72" i="63"/>
  <c r="I72" i="63"/>
  <c r="J72" i="63"/>
  <c r="K72" i="63"/>
  <c r="A72" i="63"/>
  <c r="L71" i="58"/>
  <c r="B71" i="58"/>
  <c r="C71" i="58"/>
  <c r="D71" i="58"/>
  <c r="E71" i="58"/>
  <c r="F71" i="58"/>
  <c r="G71" i="58"/>
  <c r="H71" i="58"/>
  <c r="I71" i="58"/>
  <c r="J71" i="58"/>
  <c r="K71" i="58"/>
  <c r="A71" i="58"/>
  <c r="F69" i="57"/>
  <c r="B69" i="59"/>
  <c r="C69" i="59"/>
  <c r="D69" i="59"/>
  <c r="E69" i="59"/>
  <c r="F69" i="59"/>
  <c r="G69" i="59"/>
  <c r="H69" i="59"/>
  <c r="I69" i="59"/>
  <c r="J69" i="59"/>
  <c r="K69" i="59"/>
  <c r="L69" i="59"/>
  <c r="A69" i="59"/>
  <c r="B68" i="59"/>
  <c r="C68" i="59"/>
  <c r="D68" i="59"/>
  <c r="E68" i="59"/>
  <c r="F68" i="59"/>
  <c r="G68" i="59"/>
  <c r="H68" i="59"/>
  <c r="I68" i="59"/>
  <c r="J68" i="59"/>
  <c r="K68" i="59"/>
  <c r="L68" i="59"/>
  <c r="A68" i="59"/>
  <c r="L62" i="58"/>
  <c r="K62" i="58"/>
  <c r="J62" i="58"/>
  <c r="I62" i="58"/>
  <c r="B62" i="58"/>
  <c r="C62" i="58"/>
  <c r="D62" i="58"/>
  <c r="E62" i="58"/>
  <c r="F62" i="58"/>
  <c r="G62" i="58"/>
  <c r="H62" i="58"/>
  <c r="A62" i="58"/>
  <c r="L63" i="62"/>
  <c r="L61" i="62"/>
  <c r="B60" i="61"/>
  <c r="C60" i="61"/>
  <c r="D60" i="61"/>
  <c r="E60" i="61"/>
  <c r="F60" i="61"/>
  <c r="G60" i="61"/>
  <c r="H60" i="61"/>
  <c r="I60" i="61"/>
  <c r="J60" i="61"/>
  <c r="K60" i="61"/>
  <c r="L60" i="61"/>
  <c r="A60" i="61"/>
  <c r="L58" i="60"/>
  <c r="Q112" i="63" l="1"/>
  <c r="Q129" i="63" s="1"/>
  <c r="Y41" i="79"/>
  <c r="Y73" i="78"/>
  <c r="Y84" i="78"/>
  <c r="Y57" i="78"/>
  <c r="V47" i="59"/>
  <c r="Y94" i="78"/>
  <c r="V128" i="59"/>
  <c r="V111" i="59"/>
  <c r="Y79" i="78"/>
  <c r="Y60" i="79"/>
  <c r="Y74" i="79"/>
  <c r="U54" i="78"/>
  <c r="Y87" i="78"/>
  <c r="Y23" i="79"/>
  <c r="Y72" i="78"/>
  <c r="U86" i="78"/>
  <c r="Y120" i="79"/>
  <c r="Y43" i="78"/>
  <c r="U77" i="78"/>
  <c r="U63" i="78"/>
  <c r="U70" i="78"/>
  <c r="Y70" i="78"/>
  <c r="Y51" i="79"/>
  <c r="Y84" i="79"/>
  <c r="U39" i="79"/>
  <c r="U93" i="79"/>
  <c r="U25" i="78"/>
  <c r="U24" i="78"/>
  <c r="Y24" i="78"/>
  <c r="Y24" i="79"/>
  <c r="X18" i="62"/>
  <c r="Y25" i="78"/>
  <c r="J104" i="78"/>
  <c r="J96" i="79"/>
  <c r="J96" i="78"/>
  <c r="U57" i="78"/>
  <c r="S112" i="78"/>
  <c r="U171" i="78"/>
  <c r="Y95" i="79"/>
  <c r="U163" i="79"/>
  <c r="V163" i="79" s="1"/>
  <c r="Y67" i="78"/>
  <c r="U68" i="78"/>
  <c r="U89" i="78"/>
  <c r="U54" i="79"/>
  <c r="U169" i="79"/>
  <c r="Y68" i="78"/>
  <c r="Y89" i="78"/>
  <c r="Y54" i="79"/>
  <c r="Y62" i="79"/>
  <c r="Y72" i="79"/>
  <c r="Y89" i="79"/>
  <c r="Y77" i="78"/>
  <c r="Y83" i="78"/>
  <c r="Y39" i="79"/>
  <c r="U105" i="79"/>
  <c r="U171" i="79"/>
  <c r="Y74" i="78"/>
  <c r="Y95" i="78"/>
  <c r="Y36" i="79"/>
  <c r="U167" i="79"/>
  <c r="V167" i="79" s="1"/>
  <c r="U62" i="78"/>
  <c r="Y85" i="78"/>
  <c r="U43" i="79"/>
  <c r="Y76" i="79"/>
  <c r="U120" i="79"/>
  <c r="U37" i="59"/>
  <c r="V37" i="59" s="1"/>
  <c r="X37" i="59"/>
  <c r="R37" i="59"/>
  <c r="X37" i="78"/>
  <c r="Q37" i="78"/>
  <c r="AC37" i="78" s="1"/>
  <c r="X37" i="79"/>
  <c r="Q37" i="79"/>
  <c r="AC37" i="79" s="1"/>
  <c r="U38" i="59"/>
  <c r="V38" i="59" s="1"/>
  <c r="X38" i="59"/>
  <c r="R38" i="59"/>
  <c r="X38" i="78"/>
  <c r="Q38" i="78"/>
  <c r="U38" i="78" s="1"/>
  <c r="X38" i="79"/>
  <c r="Q38" i="79"/>
  <c r="AC38" i="79" s="1"/>
  <c r="U69" i="78"/>
  <c r="U123" i="59"/>
  <c r="V123" i="59" s="1"/>
  <c r="Q123" i="79"/>
  <c r="AC123" i="79" s="1"/>
  <c r="X123" i="59"/>
  <c r="R123" i="59"/>
  <c r="X123" i="79"/>
  <c r="X119" i="59"/>
  <c r="P113" i="59"/>
  <c r="V113" i="59" s="1"/>
  <c r="P107" i="59"/>
  <c r="V107" i="59" s="1"/>
  <c r="X89" i="59"/>
  <c r="U65" i="59"/>
  <c r="R49" i="59"/>
  <c r="U49" i="59"/>
  <c r="V49" i="59" s="1"/>
  <c r="U39" i="59"/>
  <c r="V39" i="59" s="1"/>
  <c r="X39" i="59"/>
  <c r="R39" i="59"/>
  <c r="R34" i="59"/>
  <c r="U34" i="59"/>
  <c r="V34" i="59" s="1"/>
  <c r="X34" i="59"/>
  <c r="U26" i="78"/>
  <c r="Y69" i="78"/>
  <c r="U78" i="78"/>
  <c r="Y86" i="78"/>
  <c r="Q31" i="79"/>
  <c r="AC31" i="79" s="1"/>
  <c r="U57" i="79"/>
  <c r="Y78" i="79"/>
  <c r="P109" i="59"/>
  <c r="V109" i="59" s="1"/>
  <c r="V64" i="59"/>
  <c r="X52" i="59"/>
  <c r="N18" i="59"/>
  <c r="Y26" i="78"/>
  <c r="X34" i="78"/>
  <c r="Y34" i="78" s="1"/>
  <c r="Y75" i="78"/>
  <c r="Y78" i="78"/>
  <c r="U82" i="78"/>
  <c r="U85" i="78"/>
  <c r="U35" i="79"/>
  <c r="Y57" i="79"/>
  <c r="Y61" i="79"/>
  <c r="Y68" i="79"/>
  <c r="Y82" i="79"/>
  <c r="X80" i="59"/>
  <c r="N91" i="59"/>
  <c r="X72" i="59"/>
  <c r="X49" i="59"/>
  <c r="U41" i="59"/>
  <c r="V41" i="59" s="1"/>
  <c r="X41" i="59"/>
  <c r="R41" i="59"/>
  <c r="X33" i="59"/>
  <c r="N46" i="59"/>
  <c r="R8" i="59"/>
  <c r="T110" i="59"/>
  <c r="T112" i="59"/>
  <c r="Y82" i="78"/>
  <c r="X31" i="79"/>
  <c r="Y35" i="79"/>
  <c r="Y42" i="79"/>
  <c r="Y88" i="79"/>
  <c r="R69" i="59"/>
  <c r="U69" i="59"/>
  <c r="V69" i="59" s="1"/>
  <c r="X69" i="59"/>
  <c r="V66" i="59"/>
  <c r="N65" i="59"/>
  <c r="X65" i="59" s="1"/>
  <c r="X61" i="59"/>
  <c r="R16" i="59"/>
  <c r="V16" i="59"/>
  <c r="R12" i="59"/>
  <c r="R10" i="59"/>
  <c r="O18" i="59"/>
  <c r="P8" i="59"/>
  <c r="V8" i="59" s="1"/>
  <c r="P15" i="59"/>
  <c r="V15" i="59" s="1"/>
  <c r="X15" i="59"/>
  <c r="U56" i="78"/>
  <c r="U74" i="78"/>
  <c r="Q34" i="79"/>
  <c r="AC34" i="79" s="1"/>
  <c r="U56" i="79"/>
  <c r="Y63" i="79"/>
  <c r="U122" i="59"/>
  <c r="V122" i="59" s="1"/>
  <c r="X122" i="79"/>
  <c r="X122" i="59"/>
  <c r="Q122" i="79"/>
  <c r="AC122" i="79" s="1"/>
  <c r="R122" i="59"/>
  <c r="T127" i="59"/>
  <c r="U114" i="59"/>
  <c r="X105" i="59"/>
  <c r="R58" i="59"/>
  <c r="U58" i="59"/>
  <c r="V58" i="59" s="1"/>
  <c r="X58" i="59"/>
  <c r="U53" i="59"/>
  <c r="V53" i="59" s="1"/>
  <c r="R53" i="59"/>
  <c r="Q31" i="78"/>
  <c r="U31" i="78" s="1"/>
  <c r="Y35" i="78"/>
  <c r="U41" i="79"/>
  <c r="Y56" i="79"/>
  <c r="T65" i="79"/>
  <c r="X55" i="59"/>
  <c r="U55" i="59"/>
  <c r="V55" i="59" s="1"/>
  <c r="R50" i="59"/>
  <c r="U50" i="59"/>
  <c r="V50" i="59" s="1"/>
  <c r="U40" i="59"/>
  <c r="V40" i="59" s="1"/>
  <c r="X40" i="59"/>
  <c r="R40" i="59"/>
  <c r="X23" i="59"/>
  <c r="N28" i="59"/>
  <c r="U18" i="59"/>
  <c r="S112" i="59"/>
  <c r="X10" i="59"/>
  <c r="U52" i="59"/>
  <c r="V52" i="59" s="1"/>
  <c r="R52" i="59"/>
  <c r="R31" i="59"/>
  <c r="U31" i="59"/>
  <c r="V31" i="59" s="1"/>
  <c r="U51" i="78"/>
  <c r="U60" i="78"/>
  <c r="U73" i="78"/>
  <c r="X34" i="79"/>
  <c r="U59" i="79"/>
  <c r="U94" i="79"/>
  <c r="N127" i="59"/>
  <c r="X127" i="59" s="1"/>
  <c r="P104" i="59"/>
  <c r="N108" i="59"/>
  <c r="P90" i="59"/>
  <c r="V90" i="59" s="1"/>
  <c r="R68" i="59"/>
  <c r="U68" i="59"/>
  <c r="V68" i="59" s="1"/>
  <c r="X68" i="59"/>
  <c r="X53" i="59"/>
  <c r="V17" i="59"/>
  <c r="R9" i="59"/>
  <c r="R7" i="59"/>
  <c r="V7" i="59"/>
  <c r="X116" i="59"/>
  <c r="P106" i="59"/>
  <c r="U94" i="59"/>
  <c r="V94" i="59" s="1"/>
  <c r="U93" i="59"/>
  <c r="V93" i="59" s="1"/>
  <c r="X86" i="59"/>
  <c r="P81" i="59"/>
  <c r="X77" i="59"/>
  <c r="X67" i="59"/>
  <c r="X12" i="59"/>
  <c r="U114" i="79"/>
  <c r="X32" i="59"/>
  <c r="X22" i="59"/>
  <c r="X14" i="59"/>
  <c r="P100" i="59"/>
  <c r="P99" i="59"/>
  <c r="X99" i="59" s="1"/>
  <c r="P98" i="59"/>
  <c r="X98" i="59" s="1"/>
  <c r="P97" i="59"/>
  <c r="P96" i="59"/>
  <c r="X96" i="59" s="1"/>
  <c r="T108" i="79"/>
  <c r="X9" i="59"/>
  <c r="U67" i="78"/>
  <c r="U23" i="78"/>
  <c r="Y39" i="78"/>
  <c r="AC71" i="78"/>
  <c r="U71" i="78"/>
  <c r="Y23" i="78"/>
  <c r="Y32" i="78"/>
  <c r="Y40" i="78"/>
  <c r="Y33" i="78"/>
  <c r="Y41" i="78"/>
  <c r="Y51" i="78"/>
  <c r="Y71" i="78"/>
  <c r="AC72" i="78"/>
  <c r="U72" i="78"/>
  <c r="U22" i="79"/>
  <c r="AC22" i="79"/>
  <c r="Y42" i="78"/>
  <c r="AC76" i="78"/>
  <c r="U76" i="78"/>
  <c r="AC80" i="78"/>
  <c r="Y80" i="78"/>
  <c r="U80" i="78"/>
  <c r="AC88" i="78"/>
  <c r="Y88" i="78"/>
  <c r="U88" i="78"/>
  <c r="Y36" i="78"/>
  <c r="Y48" i="78"/>
  <c r="U59" i="78"/>
  <c r="Y76" i="78"/>
  <c r="Y56" i="78"/>
  <c r="U79" i="78"/>
  <c r="U87" i="78"/>
  <c r="U95" i="78"/>
  <c r="T108" i="78"/>
  <c r="Y26" i="79"/>
  <c r="U36" i="79"/>
  <c r="U32" i="79"/>
  <c r="Y32" i="79"/>
  <c r="U33" i="79"/>
  <c r="Y54" i="78"/>
  <c r="U75" i="78"/>
  <c r="U83" i="78"/>
  <c r="Y33" i="79"/>
  <c r="AC40" i="79"/>
  <c r="U40" i="79"/>
  <c r="AC44" i="79"/>
  <c r="U44" i="79"/>
  <c r="U84" i="78"/>
  <c r="U20" i="79"/>
  <c r="Y25" i="79"/>
  <c r="Y40" i="79"/>
  <c r="Y44" i="79"/>
  <c r="U62" i="79"/>
  <c r="Y94" i="79"/>
  <c r="U42" i="79"/>
  <c r="U89" i="79"/>
  <c r="Y114" i="79"/>
  <c r="Y43" i="79"/>
  <c r="U51" i="79"/>
  <c r="U60" i="79"/>
  <c r="Y59" i="79"/>
  <c r="Y70" i="79"/>
  <c r="Y80" i="79"/>
  <c r="Y86" i="79"/>
  <c r="V27" i="79"/>
  <c r="V45" i="79"/>
  <c r="Z112" i="79"/>
  <c r="Z129" i="79" s="1"/>
  <c r="Z172" i="79" s="1"/>
  <c r="AA65" i="79"/>
  <c r="AA110" i="79" s="1"/>
  <c r="AA112" i="79" s="1"/>
  <c r="AA129" i="79" s="1"/>
  <c r="AA172" i="79" s="1"/>
  <c r="U85" i="79"/>
  <c r="S129" i="79"/>
  <c r="U23" i="79"/>
  <c r="U24" i="79"/>
  <c r="U25" i="79"/>
  <c r="U26" i="79"/>
  <c r="N102" i="79"/>
  <c r="U69" i="79"/>
  <c r="U73" i="79"/>
  <c r="U77" i="79"/>
  <c r="Y69" i="79"/>
  <c r="U70" i="79"/>
  <c r="Y73" i="79"/>
  <c r="U74" i="79"/>
  <c r="Y77" i="79"/>
  <c r="U78" i="79"/>
  <c r="U82" i="79"/>
  <c r="Y85" i="79"/>
  <c r="U86" i="79"/>
  <c r="U48" i="79"/>
  <c r="U67" i="79"/>
  <c r="AC69" i="79"/>
  <c r="U71" i="79"/>
  <c r="AC73" i="79"/>
  <c r="U75" i="79"/>
  <c r="AC77" i="79"/>
  <c r="U79" i="79"/>
  <c r="U83" i="79"/>
  <c r="AC85" i="79"/>
  <c r="U87" i="79"/>
  <c r="N65" i="79"/>
  <c r="N110" i="79" s="1"/>
  <c r="N112" i="79" s="1"/>
  <c r="N129" i="79" s="1"/>
  <c r="AC48" i="79"/>
  <c r="Y48" i="79"/>
  <c r="Y67" i="79"/>
  <c r="U68" i="79"/>
  <c r="Y71" i="79"/>
  <c r="U72" i="79"/>
  <c r="Y75" i="79"/>
  <c r="U76" i="79"/>
  <c r="Y79" i="79"/>
  <c r="U80" i="79"/>
  <c r="Y83" i="79"/>
  <c r="U84" i="79"/>
  <c r="Y87" i="79"/>
  <c r="U88" i="79"/>
  <c r="AA108" i="79"/>
  <c r="V126" i="79"/>
  <c r="V135" i="79"/>
  <c r="V143" i="79"/>
  <c r="V151" i="79"/>
  <c r="V159" i="79"/>
  <c r="V169" i="79"/>
  <c r="V113" i="79"/>
  <c r="V158" i="79"/>
  <c r="V171" i="79"/>
  <c r="V103" i="79"/>
  <c r="N131" i="79"/>
  <c r="AC59" i="79"/>
  <c r="AC60" i="79"/>
  <c r="AC61" i="79"/>
  <c r="AC62" i="79"/>
  <c r="AC63" i="79"/>
  <c r="V128" i="79"/>
  <c r="V137" i="79"/>
  <c r="V145" i="79"/>
  <c r="V153" i="79"/>
  <c r="AA162" i="79"/>
  <c r="AA170" i="79" s="1"/>
  <c r="V130" i="79"/>
  <c r="V132" i="79"/>
  <c r="V140" i="79"/>
  <c r="V148" i="79"/>
  <c r="V156" i="79"/>
  <c r="S170" i="79"/>
  <c r="U170" i="79" s="1"/>
  <c r="U162" i="79"/>
  <c r="AC105" i="79"/>
  <c r="U115" i="79"/>
  <c r="U116" i="79"/>
  <c r="U117" i="79"/>
  <c r="U118" i="79"/>
  <c r="U119" i="79"/>
  <c r="U121" i="79"/>
  <c r="U124" i="79"/>
  <c r="U125" i="79"/>
  <c r="AC120" i="79"/>
  <c r="AC93" i="79"/>
  <c r="AC94" i="79"/>
  <c r="AC95" i="79"/>
  <c r="Y115" i="79"/>
  <c r="Y116" i="79"/>
  <c r="Y117" i="79"/>
  <c r="Y118" i="79"/>
  <c r="Y119" i="79"/>
  <c r="Y121" i="79"/>
  <c r="Y124" i="79"/>
  <c r="Y125" i="79"/>
  <c r="A162" i="79"/>
  <c r="A170" i="79" s="1"/>
  <c r="R152" i="78"/>
  <c r="V152" i="78"/>
  <c r="V137" i="78"/>
  <c r="V141" i="78"/>
  <c r="V144" i="78"/>
  <c r="V157" i="78"/>
  <c r="V134" i="78"/>
  <c r="V159" i="78"/>
  <c r="V146" i="78"/>
  <c r="V136" i="78"/>
  <c r="V138" i="78"/>
  <c r="V145" i="78"/>
  <c r="V147" i="78"/>
  <c r="V154" i="78"/>
  <c r="V156" i="78"/>
  <c r="V140" i="78"/>
  <c r="V17" i="78"/>
  <c r="V29" i="78"/>
  <c r="V27" i="78"/>
  <c r="V19" i="78"/>
  <c r="R19" i="78"/>
  <c r="N110" i="78"/>
  <c r="N112" i="78" s="1"/>
  <c r="N129" i="78" s="1"/>
  <c r="AC34" i="78"/>
  <c r="AC39" i="78"/>
  <c r="AC43" i="78"/>
  <c r="U22" i="78"/>
  <c r="U44" i="78"/>
  <c r="U48" i="78"/>
  <c r="AC33" i="78"/>
  <c r="AC41" i="78"/>
  <c r="AC42" i="78"/>
  <c r="U20" i="78"/>
  <c r="AC35" i="78"/>
  <c r="AC22" i="78"/>
  <c r="U32" i="78"/>
  <c r="U33" i="78"/>
  <c r="U34" i="78"/>
  <c r="U35" i="78"/>
  <c r="U36" i="78"/>
  <c r="U39" i="78"/>
  <c r="U40" i="78"/>
  <c r="U41" i="78"/>
  <c r="U42" i="78"/>
  <c r="U43" i="78"/>
  <c r="Y44" i="78"/>
  <c r="AC32" i="78"/>
  <c r="AC36" i="78"/>
  <c r="AC40" i="78"/>
  <c r="AC20" i="78"/>
  <c r="V47" i="78"/>
  <c r="V64" i="78"/>
  <c r="R64" i="78"/>
  <c r="P92" i="78"/>
  <c r="R92" i="78" s="1"/>
  <c r="V158" i="78"/>
  <c r="R158" i="78"/>
  <c r="S129" i="78"/>
  <c r="Y93" i="78"/>
  <c r="V133" i="78"/>
  <c r="V148" i="78"/>
  <c r="V150" i="78"/>
  <c r="R150" i="78"/>
  <c r="AC67" i="78"/>
  <c r="V103" i="78"/>
  <c r="V128" i="78"/>
  <c r="V142" i="78"/>
  <c r="R142" i="78"/>
  <c r="V151" i="78"/>
  <c r="V155" i="78"/>
  <c r="V169" i="78"/>
  <c r="V171" i="78"/>
  <c r="Y59" i="78"/>
  <c r="Y60" i="78"/>
  <c r="Y61" i="78"/>
  <c r="Y62" i="78"/>
  <c r="Y63" i="78"/>
  <c r="V143" i="78"/>
  <c r="V164" i="78"/>
  <c r="V165" i="78"/>
  <c r="N102" i="78"/>
  <c r="P126" i="78"/>
  <c r="R126" i="78" s="1"/>
  <c r="O162" i="78"/>
  <c r="O170" i="78" s="1"/>
  <c r="V132" i="78"/>
  <c r="V135" i="78"/>
  <c r="V139" i="78"/>
  <c r="AC51" i="78"/>
  <c r="AC54" i="78"/>
  <c r="AC56" i="78"/>
  <c r="AC57" i="78"/>
  <c r="AC59" i="78"/>
  <c r="AC60" i="78"/>
  <c r="AC61" i="78"/>
  <c r="AC62" i="78"/>
  <c r="AC63" i="78"/>
  <c r="AC93" i="78"/>
  <c r="V126" i="78"/>
  <c r="V149" i="78"/>
  <c r="V153" i="78"/>
  <c r="U93" i="78"/>
  <c r="AA162" i="78"/>
  <c r="AA170" i="78" s="1"/>
  <c r="AA172" i="78" s="1"/>
  <c r="U162" i="78"/>
  <c r="AC94" i="78"/>
  <c r="AC95" i="78"/>
  <c r="AC162" i="78"/>
  <c r="A162" i="78"/>
  <c r="A170" i="78" s="1"/>
  <c r="N127" i="78"/>
  <c r="U123" i="79" l="1"/>
  <c r="Q127" i="79"/>
  <c r="U122" i="79"/>
  <c r="U37" i="78"/>
  <c r="U34" i="79"/>
  <c r="AC31" i="78"/>
  <c r="Y31" i="78"/>
  <c r="AC38" i="78"/>
  <c r="Y34" i="79"/>
  <c r="Y123" i="79"/>
  <c r="Y37" i="78"/>
  <c r="Y38" i="78"/>
  <c r="Y122" i="79"/>
  <c r="R100" i="59"/>
  <c r="U100" i="59"/>
  <c r="V100" i="59" s="1"/>
  <c r="S129" i="59"/>
  <c r="X100" i="59"/>
  <c r="U127" i="59"/>
  <c r="T129" i="59"/>
  <c r="R106" i="59"/>
  <c r="U106" i="59"/>
  <c r="V106" i="59" s="1"/>
  <c r="X106" i="79"/>
  <c r="Q106" i="79"/>
  <c r="Y38" i="79"/>
  <c r="X28" i="59"/>
  <c r="N110" i="59"/>
  <c r="R96" i="59"/>
  <c r="U96" i="59"/>
  <c r="V96" i="59" s="1"/>
  <c r="T127" i="79"/>
  <c r="T127" i="78"/>
  <c r="R30" i="59"/>
  <c r="U30" i="59"/>
  <c r="V30" i="59" s="1"/>
  <c r="X30" i="78"/>
  <c r="Q30" i="78"/>
  <c r="X30" i="79"/>
  <c r="X30" i="59"/>
  <c r="Q30" i="79"/>
  <c r="X106" i="59"/>
  <c r="Y37" i="79"/>
  <c r="R97" i="59"/>
  <c r="Q97" i="79"/>
  <c r="X97" i="79"/>
  <c r="X97" i="78"/>
  <c r="U97" i="59"/>
  <c r="V97" i="59" s="1"/>
  <c r="Q97" i="78"/>
  <c r="R81" i="59"/>
  <c r="U81" i="59"/>
  <c r="V81" i="59" s="1"/>
  <c r="X97" i="59"/>
  <c r="Y31" i="79"/>
  <c r="U31" i="79"/>
  <c r="R98" i="59"/>
  <c r="U98" i="59"/>
  <c r="V98" i="59" s="1"/>
  <c r="P18" i="59"/>
  <c r="N112" i="59"/>
  <c r="X18" i="59"/>
  <c r="U37" i="79"/>
  <c r="U38" i="79"/>
  <c r="R99" i="59"/>
  <c r="Q99" i="79"/>
  <c r="U99" i="59"/>
  <c r="V99" i="59" s="1"/>
  <c r="Q99" i="78"/>
  <c r="X99" i="78"/>
  <c r="X99" i="79"/>
  <c r="R15" i="59"/>
  <c r="R18" i="59" s="1"/>
  <c r="X91" i="59"/>
  <c r="X81" i="59"/>
  <c r="AC127" i="79"/>
  <c r="N172" i="79"/>
  <c r="S172" i="79"/>
  <c r="P131" i="79"/>
  <c r="N162" i="79"/>
  <c r="N170" i="79" s="1"/>
  <c r="V92" i="78"/>
  <c r="S172" i="78"/>
  <c r="P131" i="78"/>
  <c r="N162" i="78"/>
  <c r="N170" i="78" s="1"/>
  <c r="N172" i="78" s="1"/>
  <c r="U127" i="79" l="1"/>
  <c r="Y97" i="79"/>
  <c r="Y30" i="78"/>
  <c r="Y99" i="78"/>
  <c r="U106" i="79"/>
  <c r="AC106" i="79"/>
  <c r="R104" i="59"/>
  <c r="U104" i="59"/>
  <c r="V104" i="59" s="1"/>
  <c r="X104" i="59"/>
  <c r="U97" i="78"/>
  <c r="AC97" i="78"/>
  <c r="Y106" i="79"/>
  <c r="U102" i="59"/>
  <c r="X102" i="59"/>
  <c r="U91" i="59"/>
  <c r="Y30" i="79"/>
  <c r="N129" i="59"/>
  <c r="Q46" i="79"/>
  <c r="U30" i="79"/>
  <c r="AC30" i="79"/>
  <c r="Y99" i="79"/>
  <c r="Y97" i="78"/>
  <c r="Q46" i="78"/>
  <c r="U30" i="78"/>
  <c r="AC30" i="78"/>
  <c r="AC99" i="79"/>
  <c r="U99" i="79"/>
  <c r="U46" i="59"/>
  <c r="X110" i="59"/>
  <c r="X46" i="59"/>
  <c r="U99" i="78"/>
  <c r="AC99" i="78"/>
  <c r="V18" i="59"/>
  <c r="AC97" i="79"/>
  <c r="U97" i="79"/>
  <c r="P162" i="79"/>
  <c r="R131" i="79"/>
  <c r="R162" i="79" s="1"/>
  <c r="R170" i="79" s="1"/>
  <c r="V131" i="79"/>
  <c r="P162" i="78"/>
  <c r="R131" i="78"/>
  <c r="R162" i="78" s="1"/>
  <c r="R170" i="78" s="1"/>
  <c r="V131" i="78"/>
  <c r="U46" i="79" l="1"/>
  <c r="AC46" i="79"/>
  <c r="U46" i="78"/>
  <c r="AC46" i="78"/>
  <c r="U108" i="59"/>
  <c r="X108" i="59"/>
  <c r="U110" i="59"/>
  <c r="P170" i="79"/>
  <c r="V170" i="79" s="1"/>
  <c r="V162" i="79"/>
  <c r="P170" i="78"/>
  <c r="V170" i="78" s="1"/>
  <c r="V162" i="78"/>
  <c r="U112" i="59" l="1"/>
  <c r="X112" i="59"/>
  <c r="B58" i="62"/>
  <c r="C58" i="62"/>
  <c r="D58" i="62"/>
  <c r="E58" i="62"/>
  <c r="F58" i="62"/>
  <c r="G58" i="62"/>
  <c r="H58" i="62"/>
  <c r="I58" i="62"/>
  <c r="J58" i="62"/>
  <c r="K58" i="62"/>
  <c r="L58" i="62"/>
  <c r="A58" i="62"/>
  <c r="B58" i="61"/>
  <c r="C58" i="61"/>
  <c r="D58" i="61"/>
  <c r="E58" i="61"/>
  <c r="F58" i="61"/>
  <c r="G58" i="61"/>
  <c r="H58" i="61"/>
  <c r="I58" i="61"/>
  <c r="J58" i="61"/>
  <c r="K58" i="61"/>
  <c r="L58" i="61"/>
  <c r="A58" i="61"/>
  <c r="B58" i="60"/>
  <c r="C58" i="60"/>
  <c r="D58" i="60"/>
  <c r="E58" i="60"/>
  <c r="F58" i="60"/>
  <c r="G58" i="60"/>
  <c r="H58" i="60"/>
  <c r="I58" i="60"/>
  <c r="J58" i="60"/>
  <c r="K58" i="60"/>
  <c r="A58" i="60"/>
  <c r="B58" i="59"/>
  <c r="C58" i="59"/>
  <c r="D58" i="59"/>
  <c r="E58" i="59"/>
  <c r="F58" i="59"/>
  <c r="G58" i="59"/>
  <c r="H58" i="59"/>
  <c r="I58" i="59"/>
  <c r="J58" i="59"/>
  <c r="K58" i="59"/>
  <c r="L58" i="59"/>
  <c r="A58" i="59"/>
  <c r="B58" i="58"/>
  <c r="C58" i="58"/>
  <c r="D58" i="58"/>
  <c r="E58" i="58"/>
  <c r="F58" i="58"/>
  <c r="G58" i="58"/>
  <c r="H58" i="58"/>
  <c r="I58" i="58"/>
  <c r="J58" i="58"/>
  <c r="K58" i="58"/>
  <c r="L58" i="58"/>
  <c r="A58" i="58"/>
  <c r="C58" i="57"/>
  <c r="D58" i="57"/>
  <c r="E58" i="57"/>
  <c r="F58" i="57"/>
  <c r="G58" i="57"/>
  <c r="H58" i="57"/>
  <c r="I58" i="57"/>
  <c r="J58" i="57"/>
  <c r="K58" i="57"/>
  <c r="L58" i="57"/>
  <c r="B58" i="57"/>
  <c r="A58" i="57"/>
  <c r="L57" i="58"/>
  <c r="B57" i="58"/>
  <c r="C57" i="58"/>
  <c r="D57" i="58"/>
  <c r="E57" i="58"/>
  <c r="F57" i="58"/>
  <c r="G57" i="58"/>
  <c r="H57" i="58"/>
  <c r="I57" i="58"/>
  <c r="J57" i="58"/>
  <c r="K57" i="58"/>
  <c r="A57" i="58"/>
  <c r="N13" i="77"/>
  <c r="L13" i="61"/>
  <c r="K13" i="61"/>
  <c r="J13" i="61"/>
  <c r="I13" i="61"/>
  <c r="G13" i="61"/>
  <c r="F13" i="61"/>
  <c r="E13" i="61"/>
  <c r="D13" i="61"/>
  <c r="C13" i="61"/>
  <c r="B13" i="61"/>
  <c r="C13" i="59"/>
  <c r="A13" i="59"/>
  <c r="L13" i="57"/>
  <c r="Q9" i="77"/>
  <c r="X9" i="77" s="1"/>
  <c r="Q10" i="77"/>
  <c r="X10" i="77" s="1"/>
  <c r="Q11" i="77"/>
  <c r="X11" i="77" s="1"/>
  <c r="Q12" i="77"/>
  <c r="X12" i="77" s="1"/>
  <c r="Q13" i="77"/>
  <c r="X13" i="77" s="1"/>
  <c r="Q14" i="77"/>
  <c r="X14" i="77" s="1"/>
  <c r="Q15" i="77"/>
  <c r="X15" i="77" s="1"/>
  <c r="Q16" i="77"/>
  <c r="X16" i="77" s="1"/>
  <c r="Q8" i="77"/>
  <c r="X8" i="77" s="1"/>
  <c r="O128" i="77"/>
  <c r="N128" i="77"/>
  <c r="O126" i="77"/>
  <c r="N126" i="77"/>
  <c r="N125" i="77"/>
  <c r="N124" i="77"/>
  <c r="N123" i="77"/>
  <c r="N122" i="77"/>
  <c r="N121" i="77"/>
  <c r="N120" i="77"/>
  <c r="N119" i="77"/>
  <c r="N118" i="77"/>
  <c r="N117" i="77"/>
  <c r="N116" i="77"/>
  <c r="N115" i="77"/>
  <c r="N114" i="77"/>
  <c r="N127" i="77" s="1"/>
  <c r="O113" i="77"/>
  <c r="N113" i="77"/>
  <c r="O111" i="77"/>
  <c r="N111" i="77"/>
  <c r="O109" i="77"/>
  <c r="N109" i="77"/>
  <c r="O107" i="77"/>
  <c r="N107" i="77"/>
  <c r="N106" i="77"/>
  <c r="N105" i="77"/>
  <c r="N104" i="77"/>
  <c r="N108" i="77" s="1"/>
  <c r="O103" i="77"/>
  <c r="N103" i="77"/>
  <c r="O101" i="77"/>
  <c r="N101" i="77"/>
  <c r="N100" i="77"/>
  <c r="N99" i="77"/>
  <c r="N98" i="77"/>
  <c r="N97" i="77"/>
  <c r="N96" i="77"/>
  <c r="N95" i="77"/>
  <c r="N94" i="77"/>
  <c r="N102" i="77" s="1"/>
  <c r="N93" i="77"/>
  <c r="O92" i="77"/>
  <c r="N92" i="77"/>
  <c r="O90" i="77"/>
  <c r="N90" i="77"/>
  <c r="N89" i="77"/>
  <c r="N88" i="77"/>
  <c r="N87" i="77"/>
  <c r="N86" i="77"/>
  <c r="N85" i="77"/>
  <c r="N84" i="77"/>
  <c r="N83" i="77"/>
  <c r="N82" i="77"/>
  <c r="N81" i="77"/>
  <c r="N80" i="77"/>
  <c r="N79" i="77"/>
  <c r="N78" i="77"/>
  <c r="N77" i="77"/>
  <c r="N76" i="77"/>
  <c r="N75" i="77"/>
  <c r="N74" i="77"/>
  <c r="N73" i="77"/>
  <c r="N72" i="77"/>
  <c r="N71" i="77"/>
  <c r="N70" i="77"/>
  <c r="N69" i="77"/>
  <c r="N68" i="77"/>
  <c r="N67" i="77"/>
  <c r="N91" i="77" s="1"/>
  <c r="O66" i="77"/>
  <c r="N66" i="77"/>
  <c r="O64" i="77"/>
  <c r="N64" i="77"/>
  <c r="N63" i="77"/>
  <c r="N62" i="77"/>
  <c r="N61" i="77"/>
  <c r="N60" i="77"/>
  <c r="N59" i="77"/>
  <c r="N58" i="77"/>
  <c r="N57" i="77"/>
  <c r="N56" i="77"/>
  <c r="N55" i="77"/>
  <c r="N54" i="77"/>
  <c r="N53" i="77"/>
  <c r="N52" i="77"/>
  <c r="N51" i="77"/>
  <c r="N50" i="77"/>
  <c r="N49" i="77"/>
  <c r="N48" i="77"/>
  <c r="N65" i="77" s="1"/>
  <c r="O47" i="77"/>
  <c r="N47" i="77"/>
  <c r="O45" i="77"/>
  <c r="N45" i="77"/>
  <c r="N44" i="77"/>
  <c r="N43" i="77"/>
  <c r="N42" i="77"/>
  <c r="N41" i="77"/>
  <c r="N40" i="77"/>
  <c r="N39" i="77"/>
  <c r="N38" i="77"/>
  <c r="N37" i="77"/>
  <c r="N36" i="77"/>
  <c r="N35" i="77"/>
  <c r="N34" i="77"/>
  <c r="N33" i="77"/>
  <c r="N32" i="77"/>
  <c r="N31" i="77"/>
  <c r="N30" i="77"/>
  <c r="N46" i="77" s="1"/>
  <c r="O29" i="77"/>
  <c r="N29" i="77"/>
  <c r="O27" i="77"/>
  <c r="N27" i="77"/>
  <c r="N26" i="77"/>
  <c r="N25" i="77"/>
  <c r="N24" i="77"/>
  <c r="N23" i="77"/>
  <c r="N22" i="77"/>
  <c r="N21" i="77"/>
  <c r="N20" i="77"/>
  <c r="N28" i="77" s="1"/>
  <c r="N110" i="77" s="1"/>
  <c r="O19" i="77"/>
  <c r="N19" i="77"/>
  <c r="O17" i="77"/>
  <c r="N17" i="77"/>
  <c r="N16" i="77"/>
  <c r="N15" i="77"/>
  <c r="N14" i="77"/>
  <c r="N12" i="77"/>
  <c r="N11" i="77"/>
  <c r="N10" i="77"/>
  <c r="N9" i="77"/>
  <c r="N8" i="77"/>
  <c r="N18" i="77" s="1"/>
  <c r="N7" i="77"/>
  <c r="I55" i="63"/>
  <c r="O55" i="63"/>
  <c r="B55" i="61"/>
  <c r="C55" i="61"/>
  <c r="D55" i="61"/>
  <c r="E55" i="61"/>
  <c r="F55" i="61"/>
  <c r="G55" i="61"/>
  <c r="H55" i="61"/>
  <c r="I55" i="61"/>
  <c r="J55" i="61"/>
  <c r="K55" i="61"/>
  <c r="L55" i="61"/>
  <c r="A55" i="61"/>
  <c r="A55" i="59"/>
  <c r="L53" i="61"/>
  <c r="B53" i="61"/>
  <c r="C53" i="61"/>
  <c r="D53" i="61"/>
  <c r="E53" i="61"/>
  <c r="F53" i="61"/>
  <c r="G53" i="61"/>
  <c r="H53" i="61"/>
  <c r="I53" i="61"/>
  <c r="J53" i="61"/>
  <c r="K53" i="61"/>
  <c r="A53" i="61"/>
  <c r="L52" i="58"/>
  <c r="K50" i="60"/>
  <c r="B50" i="63"/>
  <c r="A50" i="60"/>
  <c r="B50" i="60"/>
  <c r="C50" i="60"/>
  <c r="D50" i="60"/>
  <c r="E50" i="60"/>
  <c r="F50" i="60"/>
  <c r="G50" i="60"/>
  <c r="H50" i="60"/>
  <c r="I50" i="60"/>
  <c r="J50" i="60"/>
  <c r="L49" i="58"/>
  <c r="L49" i="61"/>
  <c r="B44" i="58"/>
  <c r="C44" i="58"/>
  <c r="D44" i="58"/>
  <c r="E44" i="58"/>
  <c r="F44" i="58"/>
  <c r="G44" i="58"/>
  <c r="H44" i="58"/>
  <c r="I44" i="58"/>
  <c r="J44" i="58"/>
  <c r="K44" i="58"/>
  <c r="L44" i="58"/>
  <c r="K81" i="57"/>
  <c r="G81" i="57"/>
  <c r="F67" i="57"/>
  <c r="C67" i="57"/>
  <c r="O48" i="57"/>
  <c r="B49" i="57"/>
  <c r="C49" i="57"/>
  <c r="D49" i="57"/>
  <c r="E49" i="57"/>
  <c r="O49" i="57" s="1"/>
  <c r="F49" i="57"/>
  <c r="G49" i="57"/>
  <c r="H49" i="57"/>
  <c r="I49" i="57"/>
  <c r="J49" i="57"/>
  <c r="K49" i="57"/>
  <c r="L49" i="57"/>
  <c r="B50" i="57"/>
  <c r="O50" i="57" s="1"/>
  <c r="C50" i="57"/>
  <c r="D50" i="57"/>
  <c r="E50" i="57"/>
  <c r="F50" i="57"/>
  <c r="G50" i="57"/>
  <c r="H50" i="57"/>
  <c r="I50" i="57"/>
  <c r="J50" i="57"/>
  <c r="K50" i="57"/>
  <c r="L50" i="57"/>
  <c r="O52" i="57"/>
  <c r="B53" i="57"/>
  <c r="C53" i="57"/>
  <c r="D53" i="57"/>
  <c r="E53" i="57"/>
  <c r="F53" i="57"/>
  <c r="G53" i="57"/>
  <c r="H53" i="57"/>
  <c r="I53" i="57"/>
  <c r="O53" i="57" s="1"/>
  <c r="J53" i="57"/>
  <c r="K53" i="57"/>
  <c r="L53" i="57"/>
  <c r="O54" i="57"/>
  <c r="B55" i="57"/>
  <c r="O55" i="57" s="1"/>
  <c r="C55" i="57"/>
  <c r="D55" i="57"/>
  <c r="E55" i="57"/>
  <c r="F55" i="57"/>
  <c r="G55" i="57"/>
  <c r="H55" i="57"/>
  <c r="I55" i="57"/>
  <c r="J55" i="57"/>
  <c r="K55" i="57"/>
  <c r="L55" i="57"/>
  <c r="B56" i="57"/>
  <c r="C56" i="57"/>
  <c r="D56" i="57"/>
  <c r="E56" i="57"/>
  <c r="F56" i="57"/>
  <c r="G56" i="57"/>
  <c r="H56" i="57"/>
  <c r="I56" i="57"/>
  <c r="J56" i="57"/>
  <c r="K56" i="57"/>
  <c r="L56" i="57"/>
  <c r="O57" i="57"/>
  <c r="O59" i="57"/>
  <c r="O60" i="57"/>
  <c r="O61" i="57"/>
  <c r="O62" i="57"/>
  <c r="O63" i="57"/>
  <c r="O128" i="64"/>
  <c r="N128" i="64"/>
  <c r="O126" i="64"/>
  <c r="N126" i="64"/>
  <c r="N125" i="64"/>
  <c r="N124" i="64"/>
  <c r="N123" i="64"/>
  <c r="N122" i="64"/>
  <c r="N121" i="64"/>
  <c r="N120" i="64"/>
  <c r="N119" i="64"/>
  <c r="N118" i="64"/>
  <c r="N117" i="64"/>
  <c r="N116" i="64"/>
  <c r="N115" i="64"/>
  <c r="N114" i="64"/>
  <c r="N127" i="64" s="1"/>
  <c r="O113" i="64"/>
  <c r="N113" i="64"/>
  <c r="O111" i="64"/>
  <c r="N111" i="64"/>
  <c r="O109" i="64"/>
  <c r="N109" i="64"/>
  <c r="O107" i="64"/>
  <c r="N107" i="64"/>
  <c r="N106" i="64"/>
  <c r="N105" i="64"/>
  <c r="N104" i="64"/>
  <c r="N108" i="64" s="1"/>
  <c r="O103" i="64"/>
  <c r="N103" i="64"/>
  <c r="O101" i="64"/>
  <c r="N101" i="64"/>
  <c r="N100" i="64"/>
  <c r="N99" i="64"/>
  <c r="N98" i="64"/>
  <c r="N97" i="64"/>
  <c r="N96" i="64"/>
  <c r="N95" i="64"/>
  <c r="N94" i="64"/>
  <c r="N102" i="64" s="1"/>
  <c r="N93" i="64"/>
  <c r="O92" i="64"/>
  <c r="N92" i="64"/>
  <c r="O90" i="64"/>
  <c r="N90" i="64"/>
  <c r="N89" i="64"/>
  <c r="N88" i="64"/>
  <c r="N87" i="64"/>
  <c r="N86" i="64"/>
  <c r="N85" i="64"/>
  <c r="N84" i="64"/>
  <c r="N83" i="64"/>
  <c r="N82" i="64"/>
  <c r="N81" i="64"/>
  <c r="N80" i="64"/>
  <c r="N79" i="64"/>
  <c r="N78" i="64"/>
  <c r="N77" i="64"/>
  <c r="N76" i="64"/>
  <c r="N75" i="64"/>
  <c r="N74" i="64"/>
  <c r="N73" i="64"/>
  <c r="N72" i="64"/>
  <c r="N71" i="64"/>
  <c r="N70" i="64"/>
  <c r="N69" i="64"/>
  <c r="N68" i="64"/>
  <c r="N67" i="64"/>
  <c r="N91" i="64" s="1"/>
  <c r="O66" i="64"/>
  <c r="N66" i="64"/>
  <c r="O64" i="64"/>
  <c r="N64" i="64"/>
  <c r="N63" i="64"/>
  <c r="N62" i="64"/>
  <c r="N61" i="64"/>
  <c r="N60" i="64"/>
  <c r="N59" i="64"/>
  <c r="N58" i="64"/>
  <c r="N57" i="64"/>
  <c r="N56" i="64"/>
  <c r="N55" i="64"/>
  <c r="N54" i="64"/>
  <c r="N53" i="64"/>
  <c r="N52" i="64"/>
  <c r="N51" i="64"/>
  <c r="N50" i="64"/>
  <c r="O49" i="64"/>
  <c r="N49" i="64"/>
  <c r="N48" i="64"/>
  <c r="N65" i="64" s="1"/>
  <c r="O47" i="64"/>
  <c r="N47" i="64"/>
  <c r="O45" i="64"/>
  <c r="N45" i="64"/>
  <c r="N44" i="64"/>
  <c r="N43" i="64"/>
  <c r="N42" i="64"/>
  <c r="N41" i="64"/>
  <c r="N40" i="64"/>
  <c r="N39" i="64"/>
  <c r="N38" i="64"/>
  <c r="N37" i="64"/>
  <c r="N36" i="64"/>
  <c r="N35" i="64"/>
  <c r="N34" i="64"/>
  <c r="N33" i="64"/>
  <c r="N32" i="64"/>
  <c r="N31" i="64"/>
  <c r="N30" i="64"/>
  <c r="N46" i="64" s="1"/>
  <c r="O29" i="64"/>
  <c r="N29" i="64"/>
  <c r="O27" i="64"/>
  <c r="N27" i="64"/>
  <c r="N26" i="64"/>
  <c r="N25" i="64"/>
  <c r="N24" i="64"/>
  <c r="N23" i="64"/>
  <c r="N22" i="64"/>
  <c r="N21" i="64"/>
  <c r="N20" i="64"/>
  <c r="N28" i="64" s="1"/>
  <c r="O19" i="64"/>
  <c r="N19" i="64"/>
  <c r="O17" i="64"/>
  <c r="N17" i="64"/>
  <c r="N16" i="64"/>
  <c r="N15" i="64"/>
  <c r="N14" i="64"/>
  <c r="N13" i="64"/>
  <c r="N12" i="64"/>
  <c r="O11" i="64"/>
  <c r="N11" i="64"/>
  <c r="O10" i="64"/>
  <c r="N10" i="64"/>
  <c r="N9" i="64"/>
  <c r="N8" i="64"/>
  <c r="N7" i="64"/>
  <c r="N18" i="64" s="1"/>
  <c r="O128" i="63"/>
  <c r="N128" i="63"/>
  <c r="O126" i="63"/>
  <c r="N126" i="63"/>
  <c r="N125" i="63"/>
  <c r="N124" i="63"/>
  <c r="N123" i="63"/>
  <c r="N122" i="63"/>
  <c r="N121" i="63"/>
  <c r="N120" i="63"/>
  <c r="N119" i="63"/>
  <c r="N118" i="63"/>
  <c r="N117" i="63"/>
  <c r="N116" i="63"/>
  <c r="N115" i="63"/>
  <c r="N114" i="63"/>
  <c r="N127" i="63" s="1"/>
  <c r="O113" i="63"/>
  <c r="N113" i="63"/>
  <c r="O111" i="63"/>
  <c r="N111" i="63"/>
  <c r="O109" i="63"/>
  <c r="N109" i="63"/>
  <c r="O107" i="63"/>
  <c r="N107" i="63"/>
  <c r="N106" i="63"/>
  <c r="N105" i="63"/>
  <c r="N104" i="63"/>
  <c r="N108" i="63" s="1"/>
  <c r="O103" i="63"/>
  <c r="N103" i="63"/>
  <c r="O101" i="63"/>
  <c r="N101" i="63"/>
  <c r="N100" i="63"/>
  <c r="N99" i="63"/>
  <c r="N98" i="63"/>
  <c r="N97" i="63"/>
  <c r="N96" i="63"/>
  <c r="N95" i="63"/>
  <c r="N94" i="63"/>
  <c r="N102" i="63" s="1"/>
  <c r="N93" i="63"/>
  <c r="O92" i="63"/>
  <c r="N92" i="63"/>
  <c r="O90" i="63"/>
  <c r="N90" i="63"/>
  <c r="N89" i="63"/>
  <c r="N88" i="63"/>
  <c r="N87" i="63"/>
  <c r="N86" i="63"/>
  <c r="N85" i="63"/>
  <c r="N84" i="63"/>
  <c r="N83" i="63"/>
  <c r="N82" i="63"/>
  <c r="N81" i="63"/>
  <c r="N80" i="63"/>
  <c r="O79" i="63"/>
  <c r="N79" i="63"/>
  <c r="N78" i="63"/>
  <c r="N77" i="63"/>
  <c r="O76" i="63"/>
  <c r="N76" i="63"/>
  <c r="O75" i="63"/>
  <c r="N75" i="63"/>
  <c r="O74" i="63"/>
  <c r="N74" i="63"/>
  <c r="N73" i="63"/>
  <c r="O72" i="63"/>
  <c r="N72" i="63"/>
  <c r="N71" i="63"/>
  <c r="N70" i="63"/>
  <c r="N69" i="63"/>
  <c r="N68" i="63"/>
  <c r="N67" i="63"/>
  <c r="N91" i="63" s="1"/>
  <c r="O66" i="63"/>
  <c r="N66" i="63"/>
  <c r="O64" i="63"/>
  <c r="N64" i="63"/>
  <c r="O63" i="63"/>
  <c r="N63" i="63"/>
  <c r="O62" i="63"/>
  <c r="N62" i="63"/>
  <c r="O61" i="63"/>
  <c r="N61" i="63"/>
  <c r="O60" i="63"/>
  <c r="N60" i="63"/>
  <c r="O59" i="63"/>
  <c r="N59" i="63"/>
  <c r="O58" i="63"/>
  <c r="N58" i="63"/>
  <c r="O57" i="63"/>
  <c r="N57" i="63"/>
  <c r="O56" i="63"/>
  <c r="N56" i="63"/>
  <c r="N55" i="63"/>
  <c r="O54" i="63"/>
  <c r="N54" i="63"/>
  <c r="O53" i="63"/>
  <c r="N53" i="63"/>
  <c r="O52" i="63"/>
  <c r="N52" i="63"/>
  <c r="O51" i="63"/>
  <c r="N51" i="63"/>
  <c r="O50" i="63"/>
  <c r="N50" i="63"/>
  <c r="O49" i="63"/>
  <c r="N49" i="63"/>
  <c r="N65" i="63" s="1"/>
  <c r="O48" i="63"/>
  <c r="N48" i="63"/>
  <c r="O47" i="63"/>
  <c r="N47" i="63"/>
  <c r="O45" i="63"/>
  <c r="N45" i="63"/>
  <c r="O44" i="63"/>
  <c r="N44" i="63"/>
  <c r="O43" i="63"/>
  <c r="N43" i="63"/>
  <c r="O42" i="63"/>
  <c r="N42" i="63"/>
  <c r="O41" i="63"/>
  <c r="N41" i="63"/>
  <c r="O40" i="63"/>
  <c r="N40" i="63"/>
  <c r="O39" i="63"/>
  <c r="N39" i="63"/>
  <c r="O38" i="63"/>
  <c r="N38" i="63"/>
  <c r="O37" i="63"/>
  <c r="N37" i="63"/>
  <c r="O36" i="63"/>
  <c r="N36" i="63"/>
  <c r="O35" i="63"/>
  <c r="N35" i="63"/>
  <c r="O34" i="63"/>
  <c r="N34" i="63"/>
  <c r="O33" i="63"/>
  <c r="N33" i="63"/>
  <c r="O32" i="63"/>
  <c r="N32" i="63"/>
  <c r="O31" i="63"/>
  <c r="N31" i="63"/>
  <c r="O30" i="63"/>
  <c r="O46" i="63" s="1"/>
  <c r="N30" i="63"/>
  <c r="N46" i="63" s="1"/>
  <c r="O29" i="63"/>
  <c r="N29" i="63"/>
  <c r="O27" i="63"/>
  <c r="N27" i="63"/>
  <c r="N26" i="63"/>
  <c r="N25" i="63"/>
  <c r="N24" i="63"/>
  <c r="N23" i="63"/>
  <c r="N22" i="63"/>
  <c r="N21" i="63"/>
  <c r="N20" i="63"/>
  <c r="N28" i="63" s="1"/>
  <c r="O19" i="63"/>
  <c r="N19" i="63"/>
  <c r="O17" i="63"/>
  <c r="N17" i="63"/>
  <c r="N16" i="63"/>
  <c r="N15" i="63"/>
  <c r="N14" i="63"/>
  <c r="N13" i="63"/>
  <c r="N12" i="63"/>
  <c r="N11" i="63"/>
  <c r="N10" i="63"/>
  <c r="N18" i="63" s="1"/>
  <c r="N9" i="63"/>
  <c r="N8" i="63"/>
  <c r="N7" i="63"/>
  <c r="O128" i="62"/>
  <c r="N128" i="62"/>
  <c r="O126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27" i="62" s="1"/>
  <c r="O113" i="62"/>
  <c r="N113" i="62"/>
  <c r="O111" i="62"/>
  <c r="N111" i="62"/>
  <c r="O109" i="62"/>
  <c r="N109" i="62"/>
  <c r="O107" i="62"/>
  <c r="N107" i="62"/>
  <c r="N106" i="62"/>
  <c r="N105" i="62"/>
  <c r="O104" i="62"/>
  <c r="N104" i="62"/>
  <c r="N108" i="62" s="1"/>
  <c r="O103" i="62"/>
  <c r="N103" i="62"/>
  <c r="N102" i="62"/>
  <c r="O101" i="62"/>
  <c r="N101" i="62"/>
  <c r="N100" i="62"/>
  <c r="N99" i="62"/>
  <c r="N98" i="62"/>
  <c r="N97" i="62"/>
  <c r="O96" i="62"/>
  <c r="N96" i="62"/>
  <c r="N95" i="62"/>
  <c r="N94" i="62"/>
  <c r="O93" i="62"/>
  <c r="N93" i="62"/>
  <c r="O92" i="62"/>
  <c r="N92" i="62"/>
  <c r="O90" i="62"/>
  <c r="N90" i="62"/>
  <c r="N89" i="62"/>
  <c r="N88" i="62"/>
  <c r="O87" i="62"/>
  <c r="N87" i="62"/>
  <c r="N86" i="62"/>
  <c r="N85" i="62"/>
  <c r="N84" i="62"/>
  <c r="N83" i="62"/>
  <c r="N82" i="62"/>
  <c r="O81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91" i="62" s="1"/>
  <c r="O66" i="62"/>
  <c r="N66" i="62"/>
  <c r="O64" i="62"/>
  <c r="N64" i="62"/>
  <c r="O63" i="62"/>
  <c r="N63" i="62"/>
  <c r="N62" i="62"/>
  <c r="O61" i="62"/>
  <c r="N61" i="62"/>
  <c r="N60" i="62"/>
  <c r="N59" i="62"/>
  <c r="N58" i="62"/>
  <c r="N57" i="62"/>
  <c r="N56" i="62"/>
  <c r="O55" i="62"/>
  <c r="N55" i="62"/>
  <c r="N54" i="62"/>
  <c r="O53" i="62"/>
  <c r="N53" i="62"/>
  <c r="O52" i="62"/>
  <c r="N52" i="62"/>
  <c r="N51" i="62"/>
  <c r="O50" i="62"/>
  <c r="N50" i="62"/>
  <c r="O49" i="62"/>
  <c r="N49" i="62"/>
  <c r="N65" i="62" s="1"/>
  <c r="N48" i="62"/>
  <c r="O47" i="62"/>
  <c r="N47" i="62"/>
  <c r="O45" i="62"/>
  <c r="N45" i="62"/>
  <c r="N44" i="62"/>
  <c r="N43" i="62"/>
  <c r="N42" i="62"/>
  <c r="N41" i="62"/>
  <c r="N40" i="62"/>
  <c r="N39" i="62"/>
  <c r="N38" i="62"/>
  <c r="N37" i="62"/>
  <c r="N36" i="62"/>
  <c r="N35" i="62"/>
  <c r="O34" i="62"/>
  <c r="N34" i="62"/>
  <c r="N33" i="62"/>
  <c r="N32" i="62"/>
  <c r="N31" i="62"/>
  <c r="N30" i="62"/>
  <c r="N46" i="62" s="1"/>
  <c r="O29" i="62"/>
  <c r="N29" i="62"/>
  <c r="O27" i="62"/>
  <c r="N27" i="62"/>
  <c r="N26" i="62"/>
  <c r="O25" i="62"/>
  <c r="N25" i="62"/>
  <c r="O24" i="62"/>
  <c r="N24" i="62"/>
  <c r="N23" i="62"/>
  <c r="O22" i="62"/>
  <c r="N22" i="62"/>
  <c r="N21" i="62"/>
  <c r="N20" i="62"/>
  <c r="N28" i="62" s="1"/>
  <c r="O19" i="62"/>
  <c r="N19" i="62"/>
  <c r="O17" i="62"/>
  <c r="N17" i="62"/>
  <c r="O16" i="62"/>
  <c r="N16" i="62"/>
  <c r="O15" i="62"/>
  <c r="N15" i="62"/>
  <c r="O14" i="62"/>
  <c r="N14" i="62"/>
  <c r="O13" i="62"/>
  <c r="N13" i="62"/>
  <c r="O12" i="62"/>
  <c r="N12" i="62"/>
  <c r="O11" i="62"/>
  <c r="N11" i="62"/>
  <c r="O10" i="62"/>
  <c r="N10" i="62"/>
  <c r="N18" i="62" s="1"/>
  <c r="O9" i="62"/>
  <c r="N9" i="62"/>
  <c r="O8" i="62"/>
  <c r="O18" i="62" s="1"/>
  <c r="N8" i="62"/>
  <c r="O7" i="62"/>
  <c r="N7" i="62"/>
  <c r="O128" i="61"/>
  <c r="N128" i="61"/>
  <c r="O126" i="61"/>
  <c r="N126" i="61"/>
  <c r="O125" i="61"/>
  <c r="N125" i="61"/>
  <c r="O124" i="61"/>
  <c r="N124" i="61"/>
  <c r="O123" i="61"/>
  <c r="N123" i="61"/>
  <c r="O122" i="61"/>
  <c r="N122" i="61"/>
  <c r="O121" i="61"/>
  <c r="N121" i="61"/>
  <c r="O120" i="61"/>
  <c r="N120" i="61"/>
  <c r="O119" i="61"/>
  <c r="N119" i="61"/>
  <c r="O118" i="61"/>
  <c r="N118" i="61"/>
  <c r="O117" i="61"/>
  <c r="N117" i="61"/>
  <c r="O116" i="61"/>
  <c r="N116" i="61"/>
  <c r="O115" i="61"/>
  <c r="N115" i="61"/>
  <c r="O114" i="61"/>
  <c r="O127" i="61" s="1"/>
  <c r="N114" i="61"/>
  <c r="N127" i="61" s="1"/>
  <c r="O113" i="61"/>
  <c r="N113" i="61"/>
  <c r="O111" i="61"/>
  <c r="N111" i="61"/>
  <c r="O109" i="61"/>
  <c r="N109" i="61"/>
  <c r="O107" i="61"/>
  <c r="N107" i="61"/>
  <c r="O106" i="61"/>
  <c r="N106" i="61"/>
  <c r="O105" i="61"/>
  <c r="N105" i="61"/>
  <c r="O104" i="61"/>
  <c r="O108" i="61" s="1"/>
  <c r="N104" i="61"/>
  <c r="N108" i="61" s="1"/>
  <c r="O103" i="61"/>
  <c r="N103" i="61"/>
  <c r="O101" i="61"/>
  <c r="N101" i="61"/>
  <c r="O100" i="61"/>
  <c r="N100" i="61"/>
  <c r="O99" i="61"/>
  <c r="N99" i="61"/>
  <c r="O98" i="61"/>
  <c r="N98" i="61"/>
  <c r="O97" i="61"/>
  <c r="N97" i="61"/>
  <c r="O96" i="61"/>
  <c r="N96" i="61"/>
  <c r="O95" i="61"/>
  <c r="N95" i="61"/>
  <c r="O94" i="61"/>
  <c r="N94" i="61"/>
  <c r="N102" i="61" s="1"/>
  <c r="O93" i="61"/>
  <c r="N93" i="61"/>
  <c r="O92" i="61"/>
  <c r="N92" i="61"/>
  <c r="O90" i="61"/>
  <c r="N90" i="61"/>
  <c r="O89" i="61"/>
  <c r="N89" i="61"/>
  <c r="O88" i="61"/>
  <c r="N88" i="61"/>
  <c r="O87" i="61"/>
  <c r="N87" i="61"/>
  <c r="O86" i="61"/>
  <c r="N86" i="61"/>
  <c r="O85" i="61"/>
  <c r="N85" i="61"/>
  <c r="O84" i="61"/>
  <c r="N84" i="61"/>
  <c r="O83" i="61"/>
  <c r="N83" i="61"/>
  <c r="O82" i="61"/>
  <c r="N82" i="61"/>
  <c r="O81" i="61"/>
  <c r="N81" i="61"/>
  <c r="O80" i="61"/>
  <c r="N80" i="61"/>
  <c r="O79" i="61"/>
  <c r="N79" i="61"/>
  <c r="O78" i="61"/>
  <c r="N78" i="61"/>
  <c r="O77" i="61"/>
  <c r="N77" i="61"/>
  <c r="O76" i="61"/>
  <c r="N76" i="61"/>
  <c r="O75" i="61"/>
  <c r="N75" i="61"/>
  <c r="O74" i="61"/>
  <c r="N74" i="61"/>
  <c r="O73" i="61"/>
  <c r="N73" i="61"/>
  <c r="O72" i="61"/>
  <c r="N72" i="61"/>
  <c r="O71" i="61"/>
  <c r="N71" i="61"/>
  <c r="O70" i="61"/>
  <c r="N70" i="61"/>
  <c r="O69" i="61"/>
  <c r="N69" i="61"/>
  <c r="O68" i="61"/>
  <c r="N68" i="61"/>
  <c r="O67" i="61"/>
  <c r="N67" i="61"/>
  <c r="N91" i="61" s="1"/>
  <c r="O66" i="61"/>
  <c r="N66" i="61"/>
  <c r="O64" i="61"/>
  <c r="N64" i="61"/>
  <c r="O63" i="61"/>
  <c r="N63" i="61"/>
  <c r="O62" i="61"/>
  <c r="N62" i="61"/>
  <c r="O61" i="61"/>
  <c r="N61" i="61"/>
  <c r="O60" i="61"/>
  <c r="N60" i="61"/>
  <c r="O59" i="61"/>
  <c r="N59" i="61"/>
  <c r="N58" i="61"/>
  <c r="O57" i="61"/>
  <c r="N57" i="61"/>
  <c r="O56" i="61"/>
  <c r="N56" i="61"/>
  <c r="N55" i="61"/>
  <c r="O54" i="61"/>
  <c r="N54" i="61"/>
  <c r="N53" i="61"/>
  <c r="O52" i="61"/>
  <c r="N52" i="61"/>
  <c r="O51" i="61"/>
  <c r="N51" i="61"/>
  <c r="O50" i="61"/>
  <c r="N50" i="61"/>
  <c r="O49" i="61"/>
  <c r="N49" i="61"/>
  <c r="O48" i="61"/>
  <c r="N48" i="61"/>
  <c r="N65" i="61" s="1"/>
  <c r="O47" i="61"/>
  <c r="N47" i="61"/>
  <c r="O45" i="61"/>
  <c r="N45" i="61"/>
  <c r="N44" i="61"/>
  <c r="N43" i="61"/>
  <c r="N42" i="61"/>
  <c r="N41" i="61"/>
  <c r="N40" i="61"/>
  <c r="N39" i="61"/>
  <c r="N38" i="61"/>
  <c r="N37" i="61"/>
  <c r="N36" i="61"/>
  <c r="N35" i="61"/>
  <c r="N34" i="61"/>
  <c r="N33" i="61"/>
  <c r="N32" i="61"/>
  <c r="N31" i="61"/>
  <c r="N30" i="61"/>
  <c r="N46" i="61" s="1"/>
  <c r="O29" i="61"/>
  <c r="N29" i="61"/>
  <c r="O27" i="61"/>
  <c r="N27" i="61"/>
  <c r="N26" i="61"/>
  <c r="N25" i="61"/>
  <c r="N24" i="61"/>
  <c r="N23" i="61"/>
  <c r="N22" i="61"/>
  <c r="N21" i="61"/>
  <c r="N20" i="61"/>
  <c r="N28" i="61" s="1"/>
  <c r="N110" i="61" s="1"/>
  <c r="O19" i="61"/>
  <c r="N19" i="61"/>
  <c r="O17" i="61"/>
  <c r="N17" i="61"/>
  <c r="O16" i="61"/>
  <c r="N16" i="61"/>
  <c r="O15" i="61"/>
  <c r="N15" i="61"/>
  <c r="O14" i="61"/>
  <c r="N14" i="61"/>
  <c r="N13" i="61"/>
  <c r="O12" i="61"/>
  <c r="N12" i="61"/>
  <c r="O11" i="61"/>
  <c r="N11" i="61"/>
  <c r="O10" i="61"/>
  <c r="N10" i="61"/>
  <c r="N18" i="61" s="1"/>
  <c r="O9" i="61"/>
  <c r="N9" i="61"/>
  <c r="O8" i="61"/>
  <c r="N8" i="61"/>
  <c r="O7" i="61"/>
  <c r="N7" i="61"/>
  <c r="O128" i="60"/>
  <c r="N128" i="60"/>
  <c r="O126" i="60"/>
  <c r="N126" i="60"/>
  <c r="N125" i="60"/>
  <c r="N124" i="60"/>
  <c r="N123" i="60"/>
  <c r="N122" i="60"/>
  <c r="N121" i="60"/>
  <c r="N120" i="60"/>
  <c r="N119" i="60"/>
  <c r="N118" i="60"/>
  <c r="N117" i="60"/>
  <c r="N116" i="60"/>
  <c r="N115" i="60"/>
  <c r="N127" i="60" s="1"/>
  <c r="N114" i="60"/>
  <c r="O113" i="60"/>
  <c r="N113" i="60"/>
  <c r="O111" i="60"/>
  <c r="N111" i="60"/>
  <c r="O109" i="60"/>
  <c r="N109" i="60"/>
  <c r="O107" i="60"/>
  <c r="N107" i="60"/>
  <c r="N106" i="60"/>
  <c r="N105" i="60"/>
  <c r="O104" i="60"/>
  <c r="N104" i="60"/>
  <c r="N108" i="60" s="1"/>
  <c r="O103" i="60"/>
  <c r="N103" i="60"/>
  <c r="O101" i="60"/>
  <c r="N101" i="60"/>
  <c r="O100" i="60"/>
  <c r="N100" i="60"/>
  <c r="N99" i="60"/>
  <c r="O98" i="60"/>
  <c r="N98" i="60"/>
  <c r="N97" i="60"/>
  <c r="O96" i="60"/>
  <c r="N96" i="60"/>
  <c r="N95" i="60"/>
  <c r="N94" i="60"/>
  <c r="N93" i="60"/>
  <c r="N102" i="60" s="1"/>
  <c r="O92" i="60"/>
  <c r="N92" i="60"/>
  <c r="O90" i="60"/>
  <c r="N90" i="60"/>
  <c r="N89" i="60"/>
  <c r="N88" i="60"/>
  <c r="N87" i="60"/>
  <c r="N86" i="60"/>
  <c r="N85" i="60"/>
  <c r="N84" i="60"/>
  <c r="N83" i="60"/>
  <c r="N82" i="60"/>
  <c r="O81" i="60"/>
  <c r="N81" i="60"/>
  <c r="N80" i="60"/>
  <c r="N79" i="60"/>
  <c r="N78" i="60"/>
  <c r="N77" i="60"/>
  <c r="N76" i="60"/>
  <c r="N75" i="60"/>
  <c r="N74" i="60"/>
  <c r="N73" i="60"/>
  <c r="N72" i="60"/>
  <c r="N71" i="60"/>
  <c r="N70" i="60"/>
  <c r="N69" i="60"/>
  <c r="N68" i="60"/>
  <c r="N67" i="60"/>
  <c r="N91" i="60" s="1"/>
  <c r="O66" i="60"/>
  <c r="N66" i="60"/>
  <c r="O64" i="60"/>
  <c r="N64" i="60"/>
  <c r="N63" i="60"/>
  <c r="N62" i="60"/>
  <c r="N61" i="60"/>
  <c r="N60" i="60"/>
  <c r="N59" i="60"/>
  <c r="N58" i="60"/>
  <c r="N57" i="60"/>
  <c r="N56" i="60"/>
  <c r="N55" i="60"/>
  <c r="N54" i="60"/>
  <c r="N53" i="60"/>
  <c r="N52" i="60"/>
  <c r="N51" i="60"/>
  <c r="N50" i="60"/>
  <c r="N49" i="60"/>
  <c r="N48" i="60"/>
  <c r="O47" i="60"/>
  <c r="N47" i="60"/>
  <c r="O45" i="60"/>
  <c r="N45" i="60"/>
  <c r="N44" i="60"/>
  <c r="N43" i="60"/>
  <c r="N42" i="60"/>
  <c r="N41" i="60"/>
  <c r="N40" i="60"/>
  <c r="N39" i="60"/>
  <c r="N38" i="60"/>
  <c r="N37" i="60"/>
  <c r="N36" i="60"/>
  <c r="N35" i="60"/>
  <c r="N34" i="60"/>
  <c r="N33" i="60"/>
  <c r="N32" i="60"/>
  <c r="N31" i="60"/>
  <c r="N30" i="60"/>
  <c r="O29" i="60"/>
  <c r="N29" i="60"/>
  <c r="O27" i="60"/>
  <c r="N27" i="60"/>
  <c r="N26" i="60"/>
  <c r="N25" i="60"/>
  <c r="N24" i="60"/>
  <c r="N23" i="60"/>
  <c r="N22" i="60"/>
  <c r="N21" i="60"/>
  <c r="N20" i="60"/>
  <c r="N28" i="60" s="1"/>
  <c r="O19" i="60"/>
  <c r="N19" i="60"/>
  <c r="O17" i="60"/>
  <c r="N17" i="60"/>
  <c r="O16" i="60"/>
  <c r="N16" i="60"/>
  <c r="N15" i="60"/>
  <c r="N14" i="60"/>
  <c r="O13" i="60"/>
  <c r="N13" i="60"/>
  <c r="N12" i="60"/>
  <c r="O11" i="60"/>
  <c r="N11" i="60"/>
  <c r="O10" i="60"/>
  <c r="N10" i="60"/>
  <c r="O9" i="60"/>
  <c r="N9" i="60"/>
  <c r="N8" i="60"/>
  <c r="O7" i="60"/>
  <c r="N7" i="60"/>
  <c r="N18" i="60" s="1"/>
  <c r="O128" i="58"/>
  <c r="N128" i="58"/>
  <c r="O126" i="58"/>
  <c r="N126" i="58"/>
  <c r="O125" i="58"/>
  <c r="N125" i="58"/>
  <c r="N124" i="58"/>
  <c r="N123" i="58"/>
  <c r="N122" i="58"/>
  <c r="N121" i="58"/>
  <c r="N120" i="58"/>
  <c r="N119" i="58"/>
  <c r="N118" i="58"/>
  <c r="N117" i="58"/>
  <c r="N116" i="58"/>
  <c r="N115" i="58"/>
  <c r="N127" i="58" s="1"/>
  <c r="N114" i="58"/>
  <c r="O113" i="58"/>
  <c r="N113" i="58"/>
  <c r="O111" i="58"/>
  <c r="N111" i="58"/>
  <c r="O109" i="58"/>
  <c r="N109" i="58"/>
  <c r="O107" i="58"/>
  <c r="N107" i="58"/>
  <c r="N106" i="58"/>
  <c r="O105" i="58"/>
  <c r="N105" i="58"/>
  <c r="O104" i="58"/>
  <c r="N104" i="58"/>
  <c r="N108" i="58" s="1"/>
  <c r="O103" i="58"/>
  <c r="N103" i="58"/>
  <c r="O101" i="58"/>
  <c r="N101" i="58"/>
  <c r="N100" i="58"/>
  <c r="N99" i="58"/>
  <c r="N98" i="58"/>
  <c r="N97" i="58"/>
  <c r="O96" i="58"/>
  <c r="N96" i="58"/>
  <c r="N95" i="58"/>
  <c r="N94" i="58"/>
  <c r="O93" i="58"/>
  <c r="N93" i="58"/>
  <c r="N102" i="58" s="1"/>
  <c r="O92" i="58"/>
  <c r="N92" i="58"/>
  <c r="O90" i="58"/>
  <c r="N90" i="58"/>
  <c r="O89" i="58"/>
  <c r="N89" i="58"/>
  <c r="O88" i="58"/>
  <c r="N88" i="58"/>
  <c r="O87" i="58"/>
  <c r="N87" i="58"/>
  <c r="O86" i="58"/>
  <c r="N86" i="58"/>
  <c r="O85" i="58"/>
  <c r="N85" i="58"/>
  <c r="O84" i="58"/>
  <c r="N84" i="58"/>
  <c r="O83" i="58"/>
  <c r="N83" i="58"/>
  <c r="O82" i="58"/>
  <c r="N82" i="58"/>
  <c r="O81" i="58"/>
  <c r="N81" i="58"/>
  <c r="O80" i="58"/>
  <c r="N80" i="58"/>
  <c r="O79" i="58"/>
  <c r="N79" i="58"/>
  <c r="O78" i="58"/>
  <c r="N78" i="58"/>
  <c r="O77" i="58"/>
  <c r="N77" i="58"/>
  <c r="O76" i="58"/>
  <c r="N76" i="58"/>
  <c r="O75" i="58"/>
  <c r="N75" i="58"/>
  <c r="O74" i="58"/>
  <c r="N74" i="58"/>
  <c r="O73" i="58"/>
  <c r="N73" i="58"/>
  <c r="O72" i="58"/>
  <c r="N72" i="58"/>
  <c r="O71" i="58"/>
  <c r="N71" i="58"/>
  <c r="O70" i="58"/>
  <c r="N70" i="58"/>
  <c r="O69" i="58"/>
  <c r="N69" i="58"/>
  <c r="O68" i="58"/>
  <c r="N68" i="58"/>
  <c r="O67" i="58"/>
  <c r="N67" i="58"/>
  <c r="N91" i="58" s="1"/>
  <c r="O66" i="58"/>
  <c r="N66" i="58"/>
  <c r="O64" i="58"/>
  <c r="N64" i="58"/>
  <c r="O63" i="58"/>
  <c r="N63" i="58"/>
  <c r="O62" i="58"/>
  <c r="N62" i="58"/>
  <c r="O61" i="58"/>
  <c r="N61" i="58"/>
  <c r="O60" i="58"/>
  <c r="N60" i="58"/>
  <c r="O59" i="58"/>
  <c r="N59" i="58"/>
  <c r="N58" i="58"/>
  <c r="N57" i="58"/>
  <c r="O56" i="58"/>
  <c r="N56" i="58"/>
  <c r="O55" i="58"/>
  <c r="N55" i="58"/>
  <c r="O54" i="58"/>
  <c r="N54" i="58"/>
  <c r="O53" i="58"/>
  <c r="N53" i="58"/>
  <c r="O52" i="58"/>
  <c r="N52" i="58"/>
  <c r="O51" i="58"/>
  <c r="N51" i="58"/>
  <c r="O50" i="58"/>
  <c r="N50" i="58"/>
  <c r="O49" i="58"/>
  <c r="N49" i="58"/>
  <c r="O48" i="58"/>
  <c r="N48" i="58"/>
  <c r="N65" i="58" s="1"/>
  <c r="O47" i="58"/>
  <c r="N47" i="58"/>
  <c r="O45" i="58"/>
  <c r="N45" i="58"/>
  <c r="N44" i="58"/>
  <c r="O43" i="58"/>
  <c r="N43" i="58"/>
  <c r="O42" i="58"/>
  <c r="N42" i="58"/>
  <c r="O41" i="58"/>
  <c r="N41" i="58"/>
  <c r="O40" i="58"/>
  <c r="N40" i="58"/>
  <c r="O39" i="58"/>
  <c r="N39" i="58"/>
  <c r="O38" i="58"/>
  <c r="N38" i="58"/>
  <c r="O37" i="58"/>
  <c r="N37" i="58"/>
  <c r="O36" i="58"/>
  <c r="N36" i="58"/>
  <c r="O35" i="58"/>
  <c r="N35" i="58"/>
  <c r="O34" i="58"/>
  <c r="N34" i="58"/>
  <c r="O33" i="58"/>
  <c r="N33" i="58"/>
  <c r="O32" i="58"/>
  <c r="N32" i="58"/>
  <c r="O31" i="58"/>
  <c r="N31" i="58"/>
  <c r="O30" i="58"/>
  <c r="N30" i="58"/>
  <c r="N46" i="58" s="1"/>
  <c r="O29" i="58"/>
  <c r="N29" i="58"/>
  <c r="O27" i="58"/>
  <c r="N27" i="58"/>
  <c r="N26" i="58"/>
  <c r="O25" i="58"/>
  <c r="N25" i="58"/>
  <c r="O24" i="58"/>
  <c r="N24" i="58"/>
  <c r="O23" i="58"/>
  <c r="N23" i="58"/>
  <c r="O22" i="58"/>
  <c r="N22" i="58"/>
  <c r="O21" i="58"/>
  <c r="N21" i="58"/>
  <c r="O20" i="58"/>
  <c r="N20" i="58"/>
  <c r="N28" i="58" s="1"/>
  <c r="N110" i="58" s="1"/>
  <c r="O19" i="58"/>
  <c r="N19" i="58"/>
  <c r="O17" i="58"/>
  <c r="N17" i="58"/>
  <c r="O16" i="58"/>
  <c r="N16" i="58"/>
  <c r="O15" i="58"/>
  <c r="N15" i="58"/>
  <c r="O14" i="58"/>
  <c r="N14" i="58"/>
  <c r="O13" i="58"/>
  <c r="N13" i="58"/>
  <c r="O12" i="58"/>
  <c r="N12" i="58"/>
  <c r="O11" i="58"/>
  <c r="N11" i="58"/>
  <c r="O10" i="58"/>
  <c r="N10" i="58"/>
  <c r="O9" i="58"/>
  <c r="N9" i="58"/>
  <c r="O8" i="58"/>
  <c r="N8" i="58"/>
  <c r="O7" i="58"/>
  <c r="N7" i="58"/>
  <c r="N18" i="58" s="1"/>
  <c r="N125" i="57"/>
  <c r="N124" i="57"/>
  <c r="N123" i="57"/>
  <c r="N122" i="57"/>
  <c r="N121" i="57"/>
  <c r="N120" i="57"/>
  <c r="N119" i="57"/>
  <c r="N118" i="57"/>
  <c r="N117" i="57"/>
  <c r="N116" i="57"/>
  <c r="N115" i="57"/>
  <c r="N114" i="57"/>
  <c r="O106" i="57"/>
  <c r="N106" i="57"/>
  <c r="O105" i="57"/>
  <c r="N105" i="57"/>
  <c r="O104" i="57"/>
  <c r="N104" i="57"/>
  <c r="N100" i="57"/>
  <c r="N99" i="57"/>
  <c r="N98" i="57"/>
  <c r="N97" i="57"/>
  <c r="N96" i="57"/>
  <c r="N95" i="57"/>
  <c r="N94" i="57"/>
  <c r="N93" i="57"/>
  <c r="O89" i="57"/>
  <c r="N89" i="57"/>
  <c r="O88" i="57"/>
  <c r="N88" i="57"/>
  <c r="O87" i="57"/>
  <c r="N87" i="57"/>
  <c r="O86" i="57"/>
  <c r="N86" i="57"/>
  <c r="O85" i="57"/>
  <c r="N85" i="57"/>
  <c r="O84" i="57"/>
  <c r="N84" i="57"/>
  <c r="O83" i="57"/>
  <c r="N83" i="57"/>
  <c r="O82" i="57"/>
  <c r="N82" i="57"/>
  <c r="O81" i="57"/>
  <c r="N81" i="57"/>
  <c r="O80" i="57"/>
  <c r="N80" i="57"/>
  <c r="O79" i="57"/>
  <c r="N79" i="57"/>
  <c r="O78" i="57"/>
  <c r="N78" i="57"/>
  <c r="O77" i="57"/>
  <c r="N77" i="57"/>
  <c r="O76" i="57"/>
  <c r="N76" i="57"/>
  <c r="O75" i="57"/>
  <c r="N75" i="57"/>
  <c r="O74" i="57"/>
  <c r="N74" i="57"/>
  <c r="O73" i="57"/>
  <c r="N73" i="57"/>
  <c r="O72" i="57"/>
  <c r="N72" i="57"/>
  <c r="O71" i="57"/>
  <c r="N71" i="57"/>
  <c r="O70" i="57"/>
  <c r="N70" i="57"/>
  <c r="O69" i="57"/>
  <c r="N69" i="57"/>
  <c r="O68" i="57"/>
  <c r="N68" i="57"/>
  <c r="O67" i="57"/>
  <c r="N67" i="57"/>
  <c r="N63" i="57"/>
  <c r="N62" i="57"/>
  <c r="N61" i="57"/>
  <c r="N60" i="57"/>
  <c r="N59" i="57"/>
  <c r="N58" i="57"/>
  <c r="N57" i="57"/>
  <c r="N56" i="57"/>
  <c r="N55" i="57"/>
  <c r="N54" i="57"/>
  <c r="N53" i="57"/>
  <c r="N52" i="57"/>
  <c r="O51" i="57"/>
  <c r="N51" i="57"/>
  <c r="N50" i="57"/>
  <c r="N49" i="57"/>
  <c r="N48" i="57"/>
  <c r="O44" i="57"/>
  <c r="N44" i="57"/>
  <c r="O43" i="57"/>
  <c r="N43" i="57"/>
  <c r="O42" i="57"/>
  <c r="N42" i="57"/>
  <c r="O41" i="57"/>
  <c r="N41" i="57"/>
  <c r="O40" i="57"/>
  <c r="N40" i="57"/>
  <c r="O39" i="57"/>
  <c r="N39" i="57"/>
  <c r="O38" i="57"/>
  <c r="N38" i="57"/>
  <c r="O37" i="57"/>
  <c r="N37" i="57"/>
  <c r="O36" i="57"/>
  <c r="N36" i="57"/>
  <c r="O35" i="57"/>
  <c r="N35" i="57"/>
  <c r="O34" i="57"/>
  <c r="N34" i="57"/>
  <c r="O33" i="57"/>
  <c r="N33" i="57"/>
  <c r="O32" i="57"/>
  <c r="N32" i="57"/>
  <c r="O31" i="57"/>
  <c r="N31" i="57"/>
  <c r="O30" i="57"/>
  <c r="N30" i="57"/>
  <c r="O26" i="57"/>
  <c r="N26" i="57"/>
  <c r="O25" i="57"/>
  <c r="N25" i="57"/>
  <c r="O24" i="57"/>
  <c r="N24" i="57"/>
  <c r="O23" i="57"/>
  <c r="N23" i="57"/>
  <c r="O22" i="57"/>
  <c r="N22" i="57"/>
  <c r="O21" i="57"/>
  <c r="N21" i="57"/>
  <c r="O20" i="57"/>
  <c r="N20" i="57"/>
  <c r="N8" i="57"/>
  <c r="N9" i="57"/>
  <c r="N10" i="57"/>
  <c r="N11" i="57"/>
  <c r="N12" i="57"/>
  <c r="N13" i="57"/>
  <c r="N14" i="57"/>
  <c r="N15" i="57"/>
  <c r="N16" i="57"/>
  <c r="O8" i="57"/>
  <c r="O9" i="57"/>
  <c r="O10" i="57"/>
  <c r="O11" i="57"/>
  <c r="O12" i="57"/>
  <c r="O13" i="57"/>
  <c r="O14" i="57"/>
  <c r="O15" i="57"/>
  <c r="O16" i="57"/>
  <c r="N7" i="57"/>
  <c r="B61" i="62"/>
  <c r="C61" i="62"/>
  <c r="D61" i="62"/>
  <c r="E61" i="62"/>
  <c r="F61" i="62"/>
  <c r="G61" i="62"/>
  <c r="H61" i="62"/>
  <c r="I61" i="62"/>
  <c r="J61" i="62"/>
  <c r="K61" i="62"/>
  <c r="A61" i="62"/>
  <c r="E52" i="61"/>
  <c r="F50" i="61"/>
  <c r="E49" i="61"/>
  <c r="L49" i="64"/>
  <c r="J49" i="64"/>
  <c r="H49" i="64"/>
  <c r="G49" i="64"/>
  <c r="D49" i="64"/>
  <c r="B49" i="64"/>
  <c r="H53" i="63"/>
  <c r="E53" i="63"/>
  <c r="B53" i="63"/>
  <c r="G49" i="63"/>
  <c r="C49" i="63"/>
  <c r="B63" i="62"/>
  <c r="C63" i="62"/>
  <c r="D63" i="62"/>
  <c r="E63" i="62"/>
  <c r="F63" i="62"/>
  <c r="G63" i="62"/>
  <c r="H63" i="62"/>
  <c r="I63" i="62"/>
  <c r="J63" i="62"/>
  <c r="K63" i="62"/>
  <c r="A63" i="62"/>
  <c r="H55" i="62"/>
  <c r="E55" i="62"/>
  <c r="B53" i="62"/>
  <c r="C53" i="62"/>
  <c r="D53" i="62"/>
  <c r="E53" i="62"/>
  <c r="F53" i="62"/>
  <c r="G53" i="62"/>
  <c r="H53" i="62"/>
  <c r="I53" i="62"/>
  <c r="J53" i="62"/>
  <c r="K53" i="62"/>
  <c r="L53" i="62"/>
  <c r="A53" i="62"/>
  <c r="E52" i="62"/>
  <c r="F50" i="62"/>
  <c r="E49" i="62"/>
  <c r="B49" i="60"/>
  <c r="C49" i="60"/>
  <c r="D49" i="60"/>
  <c r="E49" i="60"/>
  <c r="F49" i="60"/>
  <c r="G49" i="60"/>
  <c r="H49" i="60"/>
  <c r="I49" i="60"/>
  <c r="J49" i="60"/>
  <c r="K49" i="60"/>
  <c r="L49" i="60"/>
  <c r="B51" i="60"/>
  <c r="C51" i="60"/>
  <c r="D51" i="60"/>
  <c r="E51" i="60"/>
  <c r="F51" i="60"/>
  <c r="G51" i="60"/>
  <c r="H51" i="60"/>
  <c r="I51" i="60"/>
  <c r="J51" i="60"/>
  <c r="K51" i="60"/>
  <c r="L51" i="60"/>
  <c r="B52" i="60"/>
  <c r="C52" i="60"/>
  <c r="D52" i="60"/>
  <c r="E52" i="60"/>
  <c r="F52" i="60"/>
  <c r="G52" i="60"/>
  <c r="H52" i="60"/>
  <c r="I52" i="60"/>
  <c r="J52" i="60"/>
  <c r="K52" i="60"/>
  <c r="L52" i="60"/>
  <c r="B53" i="60"/>
  <c r="C53" i="60"/>
  <c r="D53" i="60"/>
  <c r="E53" i="60"/>
  <c r="F53" i="60"/>
  <c r="G53" i="60"/>
  <c r="H53" i="60"/>
  <c r="I53" i="60"/>
  <c r="J53" i="60"/>
  <c r="K53" i="60"/>
  <c r="L53" i="60"/>
  <c r="B54" i="60"/>
  <c r="C54" i="60"/>
  <c r="D54" i="60"/>
  <c r="E54" i="60"/>
  <c r="F54" i="60"/>
  <c r="G54" i="60"/>
  <c r="H54" i="60"/>
  <c r="I54" i="60"/>
  <c r="J54" i="60"/>
  <c r="K54" i="60"/>
  <c r="L54" i="60"/>
  <c r="B55" i="60"/>
  <c r="C55" i="60"/>
  <c r="D55" i="60"/>
  <c r="E55" i="60"/>
  <c r="F55" i="60"/>
  <c r="G55" i="60"/>
  <c r="H55" i="60"/>
  <c r="I55" i="60"/>
  <c r="J55" i="60"/>
  <c r="K55" i="60"/>
  <c r="L55" i="60"/>
  <c r="B56" i="60"/>
  <c r="C56" i="60"/>
  <c r="D56" i="60"/>
  <c r="E56" i="60"/>
  <c r="F56" i="60"/>
  <c r="G56" i="60"/>
  <c r="H56" i="60"/>
  <c r="I56" i="60"/>
  <c r="J56" i="60"/>
  <c r="K56" i="60"/>
  <c r="L56" i="60"/>
  <c r="B57" i="60"/>
  <c r="C57" i="60"/>
  <c r="D57" i="60"/>
  <c r="E57" i="60"/>
  <c r="F57" i="60"/>
  <c r="G57" i="60"/>
  <c r="H57" i="60"/>
  <c r="I57" i="60"/>
  <c r="J57" i="60"/>
  <c r="K57" i="60"/>
  <c r="L57" i="60"/>
  <c r="A55" i="60"/>
  <c r="A53" i="60"/>
  <c r="A52" i="60"/>
  <c r="O52" i="60" s="1"/>
  <c r="A49" i="60"/>
  <c r="O49" i="60" s="1"/>
  <c r="B49" i="59"/>
  <c r="C49" i="59"/>
  <c r="D49" i="59"/>
  <c r="E49" i="59"/>
  <c r="F49" i="59"/>
  <c r="G49" i="59"/>
  <c r="H49" i="59"/>
  <c r="I49" i="59"/>
  <c r="J49" i="59"/>
  <c r="K49" i="59"/>
  <c r="L49" i="59"/>
  <c r="B50" i="59"/>
  <c r="C50" i="59"/>
  <c r="D50" i="59"/>
  <c r="E50" i="59"/>
  <c r="F50" i="59"/>
  <c r="G50" i="59"/>
  <c r="H50" i="59"/>
  <c r="I50" i="59"/>
  <c r="J50" i="59"/>
  <c r="K50" i="59"/>
  <c r="L50" i="59"/>
  <c r="B51" i="59"/>
  <c r="C51" i="59"/>
  <c r="D51" i="59"/>
  <c r="E51" i="59"/>
  <c r="F51" i="59"/>
  <c r="G51" i="59"/>
  <c r="H51" i="59"/>
  <c r="I51" i="59"/>
  <c r="J51" i="59"/>
  <c r="K51" i="59"/>
  <c r="L51" i="59"/>
  <c r="B52" i="59"/>
  <c r="C52" i="59"/>
  <c r="D52" i="59"/>
  <c r="E52" i="59"/>
  <c r="F52" i="59"/>
  <c r="G52" i="59"/>
  <c r="H52" i="59"/>
  <c r="I52" i="59"/>
  <c r="J52" i="59"/>
  <c r="K52" i="59"/>
  <c r="L52" i="59"/>
  <c r="B53" i="59"/>
  <c r="C53" i="59"/>
  <c r="D53" i="59"/>
  <c r="E53" i="59"/>
  <c r="F53" i="59"/>
  <c r="G53" i="59"/>
  <c r="H53" i="59"/>
  <c r="I53" i="59"/>
  <c r="J53" i="59"/>
  <c r="K53" i="59"/>
  <c r="L53" i="59"/>
  <c r="B54" i="59"/>
  <c r="C54" i="59"/>
  <c r="D54" i="59"/>
  <c r="E54" i="59"/>
  <c r="F54" i="59"/>
  <c r="G54" i="59"/>
  <c r="H54" i="59"/>
  <c r="I54" i="59"/>
  <c r="J54" i="59"/>
  <c r="K54" i="59"/>
  <c r="L54" i="59"/>
  <c r="B55" i="59"/>
  <c r="C55" i="59"/>
  <c r="D55" i="59"/>
  <c r="E55" i="59"/>
  <c r="F55" i="59"/>
  <c r="G55" i="59"/>
  <c r="H55" i="59"/>
  <c r="I55" i="59"/>
  <c r="J55" i="59"/>
  <c r="K55" i="59"/>
  <c r="L55" i="59"/>
  <c r="B56" i="59"/>
  <c r="C56" i="59"/>
  <c r="D56" i="59"/>
  <c r="E56" i="59"/>
  <c r="F56" i="59"/>
  <c r="G56" i="59"/>
  <c r="H56" i="59"/>
  <c r="I56" i="59"/>
  <c r="J56" i="59"/>
  <c r="K56" i="59"/>
  <c r="L56" i="59"/>
  <c r="B57" i="59"/>
  <c r="C57" i="59"/>
  <c r="D57" i="59"/>
  <c r="E57" i="59"/>
  <c r="F57" i="59"/>
  <c r="G57" i="59"/>
  <c r="H57" i="59"/>
  <c r="I57" i="59"/>
  <c r="J57" i="59"/>
  <c r="K57" i="59"/>
  <c r="L57" i="59"/>
  <c r="A53" i="59"/>
  <c r="A52" i="59"/>
  <c r="A50" i="59"/>
  <c r="A49" i="59"/>
  <c r="A55" i="57"/>
  <c r="A53" i="57"/>
  <c r="A50" i="57"/>
  <c r="B49" i="58"/>
  <c r="C49" i="58"/>
  <c r="D49" i="58"/>
  <c r="E49" i="58"/>
  <c r="F49" i="58"/>
  <c r="G49" i="58"/>
  <c r="H49" i="58"/>
  <c r="I49" i="58"/>
  <c r="J49" i="58"/>
  <c r="K49" i="58"/>
  <c r="B50" i="58"/>
  <c r="C50" i="58"/>
  <c r="D50" i="58"/>
  <c r="E50" i="58"/>
  <c r="F50" i="58"/>
  <c r="G50" i="58"/>
  <c r="H50" i="58"/>
  <c r="I50" i="58"/>
  <c r="J50" i="58"/>
  <c r="K50" i="58"/>
  <c r="L50" i="58"/>
  <c r="B52" i="58"/>
  <c r="C52" i="58"/>
  <c r="D52" i="58"/>
  <c r="E52" i="58"/>
  <c r="F52" i="58"/>
  <c r="G52" i="58"/>
  <c r="H52" i="58"/>
  <c r="I52" i="58"/>
  <c r="J52" i="58"/>
  <c r="K52" i="58"/>
  <c r="B53" i="58"/>
  <c r="C53" i="58"/>
  <c r="D53" i="58"/>
  <c r="E53" i="58"/>
  <c r="F53" i="58"/>
  <c r="G53" i="58"/>
  <c r="H53" i="58"/>
  <c r="I53" i="58"/>
  <c r="J53" i="58"/>
  <c r="K53" i="58"/>
  <c r="L53" i="58"/>
  <c r="A53" i="58"/>
  <c r="A52" i="58"/>
  <c r="A50" i="58"/>
  <c r="A49" i="58"/>
  <c r="A49" i="57"/>
  <c r="L31" i="59"/>
  <c r="L34" i="58"/>
  <c r="L33" i="58"/>
  <c r="L32" i="58"/>
  <c r="L43" i="58"/>
  <c r="L42" i="58"/>
  <c r="L41" i="59"/>
  <c r="L40" i="59"/>
  <c r="L39" i="59"/>
  <c r="L38" i="59"/>
  <c r="B38" i="59"/>
  <c r="C38" i="59"/>
  <c r="D38" i="59"/>
  <c r="E38" i="59"/>
  <c r="F38" i="59"/>
  <c r="G38" i="59"/>
  <c r="H38" i="59"/>
  <c r="I38" i="59"/>
  <c r="J38" i="59"/>
  <c r="K38" i="59"/>
  <c r="B39" i="59"/>
  <c r="C39" i="59"/>
  <c r="D39" i="59"/>
  <c r="E39" i="59"/>
  <c r="F39" i="59"/>
  <c r="G39" i="59"/>
  <c r="H39" i="59"/>
  <c r="I39" i="59"/>
  <c r="J39" i="59"/>
  <c r="K39" i="59"/>
  <c r="B40" i="59"/>
  <c r="C40" i="59"/>
  <c r="D40" i="59"/>
  <c r="E40" i="59"/>
  <c r="F40" i="59"/>
  <c r="G40" i="59"/>
  <c r="H40" i="59"/>
  <c r="I40" i="59"/>
  <c r="J40" i="59"/>
  <c r="K40" i="59"/>
  <c r="B41" i="59"/>
  <c r="C41" i="59"/>
  <c r="D41" i="59"/>
  <c r="E41" i="59"/>
  <c r="F41" i="59"/>
  <c r="G41" i="59"/>
  <c r="H41" i="59"/>
  <c r="I41" i="59"/>
  <c r="J41" i="59"/>
  <c r="K41" i="59"/>
  <c r="A41" i="59"/>
  <c r="A40" i="59"/>
  <c r="A39" i="59"/>
  <c r="A38" i="59"/>
  <c r="L37" i="59"/>
  <c r="B37" i="59"/>
  <c r="C37" i="59"/>
  <c r="D37" i="59"/>
  <c r="E37" i="59"/>
  <c r="F37" i="59"/>
  <c r="G37" i="59"/>
  <c r="H37" i="59"/>
  <c r="I37" i="59"/>
  <c r="J37" i="59"/>
  <c r="K37" i="59"/>
  <c r="A37" i="59"/>
  <c r="B34" i="59"/>
  <c r="C34" i="59"/>
  <c r="D34" i="59"/>
  <c r="E34" i="59"/>
  <c r="F34" i="59"/>
  <c r="G34" i="59"/>
  <c r="H34" i="59"/>
  <c r="I34" i="59"/>
  <c r="J34" i="59"/>
  <c r="K34" i="59"/>
  <c r="L34" i="59"/>
  <c r="A34" i="59"/>
  <c r="B34" i="62"/>
  <c r="C34" i="62"/>
  <c r="D34" i="62"/>
  <c r="E34" i="62"/>
  <c r="F34" i="62"/>
  <c r="G34" i="62"/>
  <c r="H34" i="62"/>
  <c r="I34" i="62"/>
  <c r="J34" i="62"/>
  <c r="K34" i="62"/>
  <c r="L34" i="62"/>
  <c r="A34" i="62"/>
  <c r="B42" i="58"/>
  <c r="C42" i="58"/>
  <c r="D42" i="58"/>
  <c r="E42" i="58"/>
  <c r="F42" i="58"/>
  <c r="G42" i="58"/>
  <c r="H42" i="58"/>
  <c r="I42" i="58"/>
  <c r="J42" i="58"/>
  <c r="K42" i="58"/>
  <c r="B43" i="58"/>
  <c r="C43" i="58"/>
  <c r="D43" i="58"/>
  <c r="E43" i="58"/>
  <c r="F43" i="58"/>
  <c r="G43" i="58"/>
  <c r="H43" i="58"/>
  <c r="I43" i="58"/>
  <c r="J43" i="58"/>
  <c r="K43" i="58"/>
  <c r="A43" i="58"/>
  <c r="A42" i="58"/>
  <c r="B32" i="58"/>
  <c r="C32" i="58"/>
  <c r="D32" i="58"/>
  <c r="E32" i="58"/>
  <c r="F32" i="58"/>
  <c r="G32" i="58"/>
  <c r="H32" i="58"/>
  <c r="I32" i="58"/>
  <c r="J32" i="58"/>
  <c r="K32" i="58"/>
  <c r="B33" i="58"/>
  <c r="C33" i="58"/>
  <c r="D33" i="58"/>
  <c r="E33" i="58"/>
  <c r="F33" i="58"/>
  <c r="G33" i="58"/>
  <c r="H33" i="58"/>
  <c r="I33" i="58"/>
  <c r="J33" i="58"/>
  <c r="K33" i="58"/>
  <c r="B34" i="58"/>
  <c r="C34" i="58"/>
  <c r="D34" i="58"/>
  <c r="E34" i="58"/>
  <c r="F34" i="58"/>
  <c r="G34" i="58"/>
  <c r="H34" i="58"/>
  <c r="I34" i="58"/>
  <c r="J34" i="58"/>
  <c r="K34" i="58"/>
  <c r="A34" i="58"/>
  <c r="A33" i="58"/>
  <c r="A32" i="58"/>
  <c r="B31" i="59"/>
  <c r="C31" i="59"/>
  <c r="D31" i="59"/>
  <c r="E31" i="59"/>
  <c r="F31" i="59"/>
  <c r="G31" i="59"/>
  <c r="H31" i="59"/>
  <c r="I31" i="59"/>
  <c r="J31" i="59"/>
  <c r="K31" i="59"/>
  <c r="A31" i="59"/>
  <c r="E30" i="59"/>
  <c r="D30" i="59"/>
  <c r="C30" i="59"/>
  <c r="B30" i="59"/>
  <c r="AC171" i="77"/>
  <c r="AC169" i="77"/>
  <c r="AC168" i="77"/>
  <c r="AC167" i="77"/>
  <c r="AC166" i="77"/>
  <c r="AC165" i="77"/>
  <c r="AC164" i="77"/>
  <c r="AC163" i="77"/>
  <c r="AC161" i="77"/>
  <c r="AC160" i="77"/>
  <c r="AC159" i="77"/>
  <c r="AC158" i="77"/>
  <c r="AC157" i="77"/>
  <c r="AC156" i="77"/>
  <c r="AC155" i="77"/>
  <c r="AC154" i="77"/>
  <c r="AC153" i="77"/>
  <c r="AC152" i="77"/>
  <c r="AC151" i="77"/>
  <c r="AC150" i="77"/>
  <c r="AC149" i="77"/>
  <c r="AC148" i="77"/>
  <c r="AC147" i="77"/>
  <c r="AC146" i="77"/>
  <c r="AC145" i="77"/>
  <c r="AC144" i="77"/>
  <c r="AC143" i="77"/>
  <c r="AC142" i="77"/>
  <c r="AC141" i="77"/>
  <c r="AC140" i="77"/>
  <c r="AC139" i="77"/>
  <c r="AC138" i="77"/>
  <c r="AC137" i="77"/>
  <c r="AC136" i="77"/>
  <c r="AC135" i="77"/>
  <c r="AC134" i="77"/>
  <c r="AC133" i="77"/>
  <c r="AC132" i="77"/>
  <c r="AC130" i="77"/>
  <c r="AC128" i="77"/>
  <c r="AC126" i="77"/>
  <c r="AC113" i="77"/>
  <c r="AC111" i="77"/>
  <c r="AC109" i="77"/>
  <c r="AC107" i="77"/>
  <c r="AC103" i="77"/>
  <c r="AC101" i="77"/>
  <c r="AC90" i="77"/>
  <c r="AC64" i="77"/>
  <c r="AC45" i="77"/>
  <c r="L25" i="62"/>
  <c r="B25" i="58"/>
  <c r="C25" i="58"/>
  <c r="D25" i="58"/>
  <c r="E25" i="58"/>
  <c r="F25" i="58"/>
  <c r="G25" i="58"/>
  <c r="H25" i="58"/>
  <c r="I25" i="58"/>
  <c r="J25" i="58"/>
  <c r="K25" i="58"/>
  <c r="L25" i="58"/>
  <c r="A25" i="58"/>
  <c r="B25" i="62"/>
  <c r="C25" i="62"/>
  <c r="D25" i="62"/>
  <c r="E25" i="62"/>
  <c r="F25" i="62"/>
  <c r="G25" i="62"/>
  <c r="H25" i="62"/>
  <c r="I25" i="62"/>
  <c r="J25" i="62"/>
  <c r="K25" i="62"/>
  <c r="A25" i="62"/>
  <c r="L24" i="62"/>
  <c r="B24" i="62"/>
  <c r="C24" i="62"/>
  <c r="D24" i="62"/>
  <c r="E24" i="62"/>
  <c r="F24" i="62"/>
  <c r="G24" i="62"/>
  <c r="H24" i="62"/>
  <c r="I24" i="62"/>
  <c r="J24" i="62"/>
  <c r="K24" i="62"/>
  <c r="A24" i="62"/>
  <c r="L22" i="62"/>
  <c r="B22" i="62"/>
  <c r="C22" i="62"/>
  <c r="D22" i="62"/>
  <c r="E22" i="62"/>
  <c r="F22" i="62"/>
  <c r="G22" i="62"/>
  <c r="H22" i="62"/>
  <c r="I22" i="62"/>
  <c r="J22" i="62"/>
  <c r="K22" i="62"/>
  <c r="A22" i="62"/>
  <c r="L21" i="60"/>
  <c r="B21" i="60"/>
  <c r="C21" i="60"/>
  <c r="O21" i="60" s="1"/>
  <c r="D21" i="60"/>
  <c r="E21" i="60"/>
  <c r="F21" i="60"/>
  <c r="G21" i="60"/>
  <c r="H21" i="60"/>
  <c r="I21" i="60"/>
  <c r="J21" i="60"/>
  <c r="K21" i="60"/>
  <c r="A21" i="60"/>
  <c r="AC27" i="77"/>
  <c r="B20" i="58"/>
  <c r="C20" i="58"/>
  <c r="D20" i="58"/>
  <c r="E20" i="58"/>
  <c r="F20" i="58"/>
  <c r="G20" i="58"/>
  <c r="H20" i="58"/>
  <c r="I20" i="58"/>
  <c r="J20" i="58"/>
  <c r="K20" i="58"/>
  <c r="L20" i="58"/>
  <c r="A20" i="58"/>
  <c r="L15" i="62"/>
  <c r="D15" i="62"/>
  <c r="H15" i="61"/>
  <c r="E15" i="60"/>
  <c r="E15" i="59"/>
  <c r="B15" i="59"/>
  <c r="H14" i="62"/>
  <c r="H14" i="61"/>
  <c r="H14" i="60"/>
  <c r="O14" i="60" s="1"/>
  <c r="H14" i="59"/>
  <c r="H14" i="58"/>
  <c r="H14" i="57"/>
  <c r="J49" i="78" l="1"/>
  <c r="J49" i="79"/>
  <c r="B49" i="78"/>
  <c r="B49" i="79"/>
  <c r="C49" i="79"/>
  <c r="C49" i="78"/>
  <c r="J55" i="79"/>
  <c r="J55" i="78"/>
  <c r="I49" i="79"/>
  <c r="I49" i="78"/>
  <c r="J52" i="79"/>
  <c r="J52" i="78"/>
  <c r="H49" i="79"/>
  <c r="H49" i="78"/>
  <c r="N65" i="60"/>
  <c r="O53" i="60"/>
  <c r="J53" i="78"/>
  <c r="J53" i="79"/>
  <c r="G49" i="79"/>
  <c r="G49" i="78"/>
  <c r="J50" i="79"/>
  <c r="J50" i="78"/>
  <c r="J58" i="78"/>
  <c r="J58" i="79"/>
  <c r="O58" i="60"/>
  <c r="F49" i="79"/>
  <c r="F49" i="78"/>
  <c r="K49" i="79"/>
  <c r="K49" i="78"/>
  <c r="A49" i="79"/>
  <c r="A49" i="78"/>
  <c r="E49" i="79"/>
  <c r="E49" i="78"/>
  <c r="O15" i="60"/>
  <c r="L49" i="79"/>
  <c r="L49" i="78"/>
  <c r="D49" i="79"/>
  <c r="D49" i="78"/>
  <c r="N46" i="60"/>
  <c r="O55" i="60"/>
  <c r="U129" i="59"/>
  <c r="X129" i="59"/>
  <c r="O102" i="61"/>
  <c r="O91" i="61"/>
  <c r="O58" i="62"/>
  <c r="O58" i="58"/>
  <c r="O58" i="61"/>
  <c r="O58" i="57"/>
  <c r="O57" i="58"/>
  <c r="N112" i="77"/>
  <c r="N129" i="77" s="1"/>
  <c r="O55" i="61"/>
  <c r="O53" i="61"/>
  <c r="O65" i="63"/>
  <c r="O50" i="60"/>
  <c r="O91" i="58"/>
  <c r="O18" i="58"/>
  <c r="N110" i="64"/>
  <c r="N112" i="64" s="1"/>
  <c r="N129" i="64" s="1"/>
  <c r="N110" i="63"/>
  <c r="N112" i="63" s="1"/>
  <c r="N129" i="63" s="1"/>
  <c r="N110" i="62"/>
  <c r="N112" i="62" s="1"/>
  <c r="N129" i="62" s="1"/>
  <c r="N112" i="61"/>
  <c r="N129" i="61" s="1"/>
  <c r="N110" i="60"/>
  <c r="N112" i="60" s="1"/>
  <c r="N129" i="60" s="1"/>
  <c r="N112" i="58"/>
  <c r="N129" i="58" s="1"/>
  <c r="O49" i="79" l="1"/>
  <c r="P49" i="79" s="1"/>
  <c r="O49" i="78"/>
  <c r="P49" i="78" s="1"/>
  <c r="O65" i="58"/>
  <c r="O65" i="61"/>
  <c r="J13" i="77" l="1"/>
  <c r="L8" i="61"/>
  <c r="B8" i="61"/>
  <c r="C8" i="61"/>
  <c r="D8" i="61"/>
  <c r="E8" i="61"/>
  <c r="F8" i="61"/>
  <c r="G8" i="61"/>
  <c r="H8" i="61"/>
  <c r="I8" i="61"/>
  <c r="J8" i="61"/>
  <c r="K8" i="61"/>
  <c r="A8" i="61"/>
  <c r="L8" i="62"/>
  <c r="A8" i="62"/>
  <c r="B12" i="61"/>
  <c r="C12" i="61"/>
  <c r="D12" i="61"/>
  <c r="E12" i="61"/>
  <c r="F12" i="61"/>
  <c r="G12" i="61"/>
  <c r="H12" i="61"/>
  <c r="I12" i="61"/>
  <c r="J12" i="61"/>
  <c r="K12" i="61"/>
  <c r="L12" i="61"/>
  <c r="A12" i="61"/>
  <c r="L8" i="60"/>
  <c r="D8" i="60"/>
  <c r="E8" i="60"/>
  <c r="F8" i="60"/>
  <c r="G8" i="60"/>
  <c r="H8" i="60"/>
  <c r="I8" i="60"/>
  <c r="J8" i="60"/>
  <c r="K8" i="60"/>
  <c r="C8" i="60"/>
  <c r="B12" i="60"/>
  <c r="C12" i="60"/>
  <c r="D12" i="60"/>
  <c r="E12" i="60"/>
  <c r="F12" i="60"/>
  <c r="G12" i="60"/>
  <c r="H12" i="60"/>
  <c r="I12" i="60"/>
  <c r="J12" i="60"/>
  <c r="K12" i="60"/>
  <c r="L12" i="60"/>
  <c r="A12" i="60"/>
  <c r="B8" i="60"/>
  <c r="A8" i="60"/>
  <c r="L8" i="57"/>
  <c r="L8" i="58"/>
  <c r="L8" i="59"/>
  <c r="A8" i="59"/>
  <c r="B8" i="59"/>
  <c r="C8" i="59"/>
  <c r="D8" i="59"/>
  <c r="E8" i="59"/>
  <c r="F8" i="59"/>
  <c r="G8" i="59"/>
  <c r="H8" i="59"/>
  <c r="I8" i="59"/>
  <c r="J8" i="59"/>
  <c r="K8" i="59"/>
  <c r="B12" i="59"/>
  <c r="C12" i="59"/>
  <c r="D12" i="59"/>
  <c r="E12" i="59"/>
  <c r="F12" i="59"/>
  <c r="G12" i="59"/>
  <c r="H12" i="59"/>
  <c r="I12" i="59"/>
  <c r="J12" i="59"/>
  <c r="K12" i="59"/>
  <c r="L12" i="59"/>
  <c r="A12" i="59"/>
  <c r="B12" i="58"/>
  <c r="C12" i="58"/>
  <c r="D12" i="58"/>
  <c r="E12" i="58"/>
  <c r="F12" i="58"/>
  <c r="G12" i="58"/>
  <c r="H12" i="58"/>
  <c r="I12" i="58"/>
  <c r="J12" i="58"/>
  <c r="K12" i="58"/>
  <c r="L12" i="58"/>
  <c r="A12" i="58"/>
  <c r="B8" i="58"/>
  <c r="A8" i="58"/>
  <c r="B8" i="57"/>
  <c r="A8" i="57"/>
  <c r="B12" i="57"/>
  <c r="A12" i="57"/>
  <c r="B12" i="62"/>
  <c r="C12" i="62"/>
  <c r="D12" i="62"/>
  <c r="E12" i="62"/>
  <c r="F12" i="62"/>
  <c r="G12" i="62"/>
  <c r="H12" i="62"/>
  <c r="I12" i="62"/>
  <c r="J12" i="62"/>
  <c r="K12" i="62"/>
  <c r="L12" i="62"/>
  <c r="A12" i="62"/>
  <c r="C12" i="57"/>
  <c r="D12" i="57"/>
  <c r="E12" i="57"/>
  <c r="F12" i="57"/>
  <c r="G12" i="57"/>
  <c r="H12" i="57"/>
  <c r="I12" i="57"/>
  <c r="J12" i="57"/>
  <c r="K12" i="57"/>
  <c r="L12" i="57"/>
  <c r="C8" i="58"/>
  <c r="D8" i="58"/>
  <c r="E8" i="58"/>
  <c r="F8" i="58"/>
  <c r="G8" i="58"/>
  <c r="H8" i="58"/>
  <c r="I8" i="58"/>
  <c r="J8" i="58"/>
  <c r="K8" i="58"/>
  <c r="C8" i="57"/>
  <c r="D8" i="57"/>
  <c r="E8" i="57"/>
  <c r="F8" i="57"/>
  <c r="G8" i="57"/>
  <c r="H8" i="57"/>
  <c r="I8" i="57"/>
  <c r="J8" i="57"/>
  <c r="K8" i="57"/>
  <c r="J12" i="79" l="1"/>
  <c r="J12" i="78"/>
  <c r="O8" i="60"/>
  <c r="O18" i="60" s="1"/>
  <c r="J8" i="79"/>
  <c r="J8" i="78"/>
  <c r="O12" i="60"/>
  <c r="O13" i="61"/>
  <c r="O18" i="61" s="1"/>
  <c r="AC17" i="77"/>
  <c r="X16" i="79" l="1"/>
  <c r="Y16" i="79" s="1"/>
  <c r="X16" i="78"/>
  <c r="Y16" i="78" s="1"/>
  <c r="AD8" i="51"/>
  <c r="B8" i="62"/>
  <c r="C8" i="62"/>
  <c r="D8" i="62"/>
  <c r="E8" i="62"/>
  <c r="F8" i="62"/>
  <c r="G8" i="62"/>
  <c r="H8" i="62"/>
  <c r="I8" i="62"/>
  <c r="J8" i="62"/>
  <c r="K8" i="62"/>
  <c r="P12" i="58"/>
  <c r="P8" i="58"/>
  <c r="Z8" i="57"/>
  <c r="X13" i="79" l="1"/>
  <c r="Y13" i="79" s="1"/>
  <c r="X13" i="78"/>
  <c r="Y13" i="78" s="1"/>
  <c r="X9" i="79"/>
  <c r="Y9" i="79" s="1"/>
  <c r="X9" i="78"/>
  <c r="Y9" i="78" s="1"/>
  <c r="X12" i="79"/>
  <c r="Y12" i="79" s="1"/>
  <c r="X12" i="78"/>
  <c r="Y12" i="78" s="1"/>
  <c r="X10" i="79"/>
  <c r="Y10" i="79" s="1"/>
  <c r="X10" i="78"/>
  <c r="Y10" i="78" s="1"/>
  <c r="X8" i="79"/>
  <c r="Y8" i="79" s="1"/>
  <c r="X8" i="78"/>
  <c r="Y8" i="78" s="1"/>
  <c r="X15" i="79"/>
  <c r="Y15" i="79" s="1"/>
  <c r="X15" i="78"/>
  <c r="Y15" i="78" s="1"/>
  <c r="X14" i="79"/>
  <c r="Y14" i="79" s="1"/>
  <c r="X14" i="78"/>
  <c r="Y14" i="78" s="1"/>
  <c r="AC8" i="77" l="1"/>
  <c r="T171" i="77"/>
  <c r="S171" i="77"/>
  <c r="O171" i="77"/>
  <c r="N171" i="77"/>
  <c r="P171" i="77" s="1"/>
  <c r="R171" i="77" s="1"/>
  <c r="T170" i="77"/>
  <c r="T169" i="77"/>
  <c r="S169" i="77"/>
  <c r="O169" i="77"/>
  <c r="N169" i="77"/>
  <c r="T168" i="77"/>
  <c r="S168" i="77"/>
  <c r="P168" i="77"/>
  <c r="R168" i="77" s="1"/>
  <c r="T167" i="77"/>
  <c r="U167" i="77" s="1"/>
  <c r="S167" i="77"/>
  <c r="P167" i="77"/>
  <c r="R167" i="77" s="1"/>
  <c r="T166" i="77"/>
  <c r="U166" i="77" s="1"/>
  <c r="P166" i="77"/>
  <c r="R166" i="77" s="1"/>
  <c r="T165" i="77"/>
  <c r="S165" i="77"/>
  <c r="AA164" i="77"/>
  <c r="T164" i="77"/>
  <c r="U164" i="77" s="1"/>
  <c r="T163" i="77"/>
  <c r="S163" i="77"/>
  <c r="O163" i="77"/>
  <c r="N163" i="77"/>
  <c r="T162" i="77"/>
  <c r="S162" i="77"/>
  <c r="T161" i="77"/>
  <c r="S161" i="77"/>
  <c r="O161" i="77"/>
  <c r="N161" i="77"/>
  <c r="P161" i="77" s="1"/>
  <c r="R161" i="77" s="1"/>
  <c r="AA160" i="77"/>
  <c r="T160" i="77"/>
  <c r="U160" i="77" s="1"/>
  <c r="AA159" i="77"/>
  <c r="T159" i="77"/>
  <c r="U159" i="77" s="1"/>
  <c r="AA158" i="77"/>
  <c r="T158" i="77"/>
  <c r="U158" i="77" s="1"/>
  <c r="AA157" i="77"/>
  <c r="T157" i="77"/>
  <c r="U157" i="77" s="1"/>
  <c r="AA156" i="77"/>
  <c r="T156" i="77"/>
  <c r="U156" i="77" s="1"/>
  <c r="T155" i="77"/>
  <c r="AA155" i="77"/>
  <c r="AA154" i="77"/>
  <c r="T154" i="77"/>
  <c r="U154" i="77" s="1"/>
  <c r="AA153" i="77"/>
  <c r="T153" i="77"/>
  <c r="U153" i="77" s="1"/>
  <c r="AA152" i="77"/>
  <c r="T152" i="77"/>
  <c r="U152" i="77" s="1"/>
  <c r="AA151" i="77"/>
  <c r="T151" i="77"/>
  <c r="U151" i="77" s="1"/>
  <c r="AA150" i="77"/>
  <c r="T150" i="77"/>
  <c r="U150" i="77" s="1"/>
  <c r="AA149" i="77"/>
  <c r="T149" i="77"/>
  <c r="U149" i="77" s="1"/>
  <c r="AA148" i="77"/>
  <c r="T148" i="77"/>
  <c r="U148" i="77" s="1"/>
  <c r="AA147" i="77"/>
  <c r="T147" i="77"/>
  <c r="U147" i="77" s="1"/>
  <c r="AA146" i="77"/>
  <c r="T146" i="77"/>
  <c r="U146" i="77" s="1"/>
  <c r="AA145" i="77"/>
  <c r="T145" i="77"/>
  <c r="U145" i="77" s="1"/>
  <c r="AA144" i="77"/>
  <c r="T144" i="77"/>
  <c r="U144" i="77" s="1"/>
  <c r="AA143" i="77"/>
  <c r="T143" i="77"/>
  <c r="U143" i="77" s="1"/>
  <c r="AA142" i="77"/>
  <c r="T142" i="77"/>
  <c r="U142" i="77" s="1"/>
  <c r="AA141" i="77"/>
  <c r="T141" i="77"/>
  <c r="U141" i="77" s="1"/>
  <c r="AA140" i="77"/>
  <c r="T140" i="77"/>
  <c r="U140" i="77" s="1"/>
  <c r="AA139" i="77"/>
  <c r="T139" i="77"/>
  <c r="U139" i="77" s="1"/>
  <c r="AA138" i="77"/>
  <c r="T138" i="77"/>
  <c r="U138" i="77" s="1"/>
  <c r="AA137" i="77"/>
  <c r="T137" i="77"/>
  <c r="U137" i="77" s="1"/>
  <c r="AA136" i="77"/>
  <c r="T136" i="77"/>
  <c r="U136" i="77" s="1"/>
  <c r="AA135" i="77"/>
  <c r="T135" i="77"/>
  <c r="U135" i="77" s="1"/>
  <c r="AA134" i="77"/>
  <c r="T134" i="77"/>
  <c r="U134" i="77" s="1"/>
  <c r="AA133" i="77"/>
  <c r="T133" i="77"/>
  <c r="U133" i="77" s="1"/>
  <c r="AA132" i="77"/>
  <c r="T132" i="77"/>
  <c r="U132" i="77" s="1"/>
  <c r="AA131" i="77"/>
  <c r="T131" i="77"/>
  <c r="U131" i="77" s="1"/>
  <c r="F162" i="77"/>
  <c r="F170" i="77" s="1"/>
  <c r="D131" i="77"/>
  <c r="A131" i="77"/>
  <c r="Y130" i="77"/>
  <c r="T130" i="77"/>
  <c r="U130" i="77" s="1"/>
  <c r="S130" i="77"/>
  <c r="P130" i="77"/>
  <c r="R130" i="77" s="1"/>
  <c r="O130" i="77"/>
  <c r="N130" i="77"/>
  <c r="T128" i="77"/>
  <c r="U128" i="77" s="1"/>
  <c r="P128" i="77"/>
  <c r="R128" i="77" s="1"/>
  <c r="S127" i="77"/>
  <c r="T126" i="77"/>
  <c r="U126" i="77" s="1"/>
  <c r="P126" i="77"/>
  <c r="R126" i="77" s="1"/>
  <c r="AA125" i="77"/>
  <c r="T125" i="77"/>
  <c r="T124" i="77"/>
  <c r="T123" i="77"/>
  <c r="T122" i="77"/>
  <c r="T121" i="77"/>
  <c r="T120" i="77"/>
  <c r="T119" i="77"/>
  <c r="T118" i="77"/>
  <c r="T117" i="77"/>
  <c r="T116" i="77"/>
  <c r="AA115" i="77"/>
  <c r="T115" i="77"/>
  <c r="T113" i="77"/>
  <c r="U113" i="77" s="1"/>
  <c r="P113" i="77"/>
  <c r="R113" i="77" s="1"/>
  <c r="T111" i="77"/>
  <c r="U111" i="77" s="1"/>
  <c r="P111" i="77"/>
  <c r="R111" i="77" s="1"/>
  <c r="T109" i="77"/>
  <c r="U109" i="77" s="1"/>
  <c r="P109" i="77"/>
  <c r="R109" i="77" s="1"/>
  <c r="S108" i="77"/>
  <c r="T107" i="77"/>
  <c r="U107" i="77" s="1"/>
  <c r="T106" i="77"/>
  <c r="T105" i="77"/>
  <c r="T104" i="77"/>
  <c r="T103" i="77"/>
  <c r="U103" i="77" s="1"/>
  <c r="P103" i="77"/>
  <c r="R103" i="77" s="1"/>
  <c r="S102" i="77"/>
  <c r="T101" i="77"/>
  <c r="U101" i="77" s="1"/>
  <c r="P101" i="77"/>
  <c r="R101" i="77" s="1"/>
  <c r="T100" i="77"/>
  <c r="T99" i="77"/>
  <c r="T98" i="77"/>
  <c r="T97" i="77"/>
  <c r="T96" i="77"/>
  <c r="T95" i="77"/>
  <c r="T94" i="77"/>
  <c r="AA93" i="77"/>
  <c r="T93" i="77"/>
  <c r="T92" i="77"/>
  <c r="U92" i="77" s="1"/>
  <c r="S91" i="77"/>
  <c r="T90" i="77"/>
  <c r="U90" i="77" s="1"/>
  <c r="P90" i="77"/>
  <c r="R90" i="77" s="1"/>
  <c r="T89" i="77"/>
  <c r="Q89" i="77"/>
  <c r="X89" i="77" s="1"/>
  <c r="T88" i="77"/>
  <c r="Q88" i="77"/>
  <c r="X88" i="77" s="1"/>
  <c r="T87" i="77"/>
  <c r="Q87" i="77"/>
  <c r="AA86" i="77"/>
  <c r="T86" i="77"/>
  <c r="Q86" i="77"/>
  <c r="T85" i="77"/>
  <c r="Q85" i="77"/>
  <c r="X85" i="77" s="1"/>
  <c r="T84" i="77"/>
  <c r="Q84" i="77"/>
  <c r="T83" i="77"/>
  <c r="Q83" i="77"/>
  <c r="X83" i="77" s="1"/>
  <c r="T82" i="77"/>
  <c r="Q82" i="77"/>
  <c r="T81" i="77"/>
  <c r="AA80" i="77"/>
  <c r="T80" i="77"/>
  <c r="Q80" i="77"/>
  <c r="T79" i="77"/>
  <c r="AA78" i="77"/>
  <c r="T78" i="77"/>
  <c r="Q78" i="77"/>
  <c r="T77" i="77"/>
  <c r="Q77" i="77"/>
  <c r="X77" i="77" s="1"/>
  <c r="T76" i="77"/>
  <c r="T75" i="77"/>
  <c r="T74" i="77"/>
  <c r="T73" i="77"/>
  <c r="Q73" i="77"/>
  <c r="AA72" i="77"/>
  <c r="T72" i="77"/>
  <c r="T71" i="77"/>
  <c r="T70" i="77"/>
  <c r="Q70" i="77"/>
  <c r="AA69" i="77"/>
  <c r="T69" i="77"/>
  <c r="AA68" i="77"/>
  <c r="T68" i="77"/>
  <c r="Q68" i="77"/>
  <c r="AA67" i="77"/>
  <c r="T67" i="77"/>
  <c r="Y66" i="77"/>
  <c r="T66" i="77"/>
  <c r="U66" i="77" s="1"/>
  <c r="S65" i="77"/>
  <c r="T64" i="77"/>
  <c r="U64" i="77" s="1"/>
  <c r="T63" i="77"/>
  <c r="T62" i="77"/>
  <c r="T61" i="77"/>
  <c r="AA60" i="77"/>
  <c r="T60" i="77"/>
  <c r="T59" i="77"/>
  <c r="T58" i="77"/>
  <c r="AA57" i="77"/>
  <c r="T57" i="77"/>
  <c r="T56" i="77"/>
  <c r="T55" i="77"/>
  <c r="T54" i="77"/>
  <c r="T53" i="77"/>
  <c r="T52" i="77"/>
  <c r="T51" i="77"/>
  <c r="T50" i="77"/>
  <c r="T49" i="77"/>
  <c r="T48" i="77"/>
  <c r="Q48" i="77"/>
  <c r="T47" i="77"/>
  <c r="U47" i="77" s="1"/>
  <c r="P47" i="77"/>
  <c r="R47" i="77" s="1"/>
  <c r="S46" i="77"/>
  <c r="T45" i="77"/>
  <c r="U45" i="77" s="1"/>
  <c r="AA44" i="77"/>
  <c r="T44" i="77"/>
  <c r="Q44" i="77"/>
  <c r="T43" i="77"/>
  <c r="AA42" i="77"/>
  <c r="T42" i="77"/>
  <c r="T41" i="77"/>
  <c r="T40" i="77"/>
  <c r="AA39" i="77"/>
  <c r="T39" i="77"/>
  <c r="T38" i="77"/>
  <c r="T37" i="77"/>
  <c r="AA36" i="77"/>
  <c r="T36" i="77"/>
  <c r="Q36" i="77"/>
  <c r="T35" i="77"/>
  <c r="Q35" i="77"/>
  <c r="AA34" i="77"/>
  <c r="T34" i="77"/>
  <c r="AA33" i="77"/>
  <c r="T33" i="77"/>
  <c r="T32" i="77"/>
  <c r="AA31" i="77"/>
  <c r="T31" i="77"/>
  <c r="T30" i="77"/>
  <c r="T29" i="77"/>
  <c r="U29" i="77" s="1"/>
  <c r="P29" i="77"/>
  <c r="R29" i="77" s="1"/>
  <c r="S28" i="77"/>
  <c r="T27" i="77"/>
  <c r="U27" i="77" s="1"/>
  <c r="P27" i="77"/>
  <c r="R27" i="77" s="1"/>
  <c r="T26" i="77"/>
  <c r="Q26" i="77"/>
  <c r="X26" i="77" s="1"/>
  <c r="T25" i="77"/>
  <c r="T24" i="77"/>
  <c r="T23" i="77"/>
  <c r="Q23" i="77"/>
  <c r="X23" i="77" s="1"/>
  <c r="AA22" i="77"/>
  <c r="T22" i="77"/>
  <c r="AA21" i="77"/>
  <c r="T21" i="77"/>
  <c r="T20" i="77"/>
  <c r="Y19" i="77"/>
  <c r="T19" i="77"/>
  <c r="U19" i="77" s="1"/>
  <c r="S18" i="77"/>
  <c r="T17" i="77"/>
  <c r="U17" i="77" s="1"/>
  <c r="AA16" i="77"/>
  <c r="T16" i="77"/>
  <c r="T15" i="77"/>
  <c r="J15" i="77"/>
  <c r="T14" i="77"/>
  <c r="AC14" i="77"/>
  <c r="J14" i="77"/>
  <c r="AA13" i="77"/>
  <c r="T13" i="77"/>
  <c r="AA12" i="77"/>
  <c r="T12" i="77"/>
  <c r="J12" i="77"/>
  <c r="T11" i="77"/>
  <c r="J11" i="77"/>
  <c r="AA10" i="77"/>
  <c r="T10" i="77"/>
  <c r="T9" i="77"/>
  <c r="AC9" i="77"/>
  <c r="J9" i="77"/>
  <c r="T8" i="77"/>
  <c r="J8" i="77"/>
  <c r="T7" i="77"/>
  <c r="AC7" i="77"/>
  <c r="K1" i="77"/>
  <c r="AC80" i="77" l="1"/>
  <c r="X80" i="77"/>
  <c r="Y80" i="77" s="1"/>
  <c r="AC48" i="77"/>
  <c r="X48" i="77"/>
  <c r="Y48" i="77" s="1"/>
  <c r="AC44" i="77"/>
  <c r="X44" i="77"/>
  <c r="Y44" i="77" s="1"/>
  <c r="AC87" i="77"/>
  <c r="X87" i="77"/>
  <c r="Y87" i="77" s="1"/>
  <c r="AC70" i="77"/>
  <c r="X70" i="77"/>
  <c r="Y70" i="77" s="1"/>
  <c r="AC84" i="77"/>
  <c r="X84" i="77"/>
  <c r="AC73" i="77"/>
  <c r="X73" i="77"/>
  <c r="Y73" i="77" s="1"/>
  <c r="AC78" i="77"/>
  <c r="X78" i="77"/>
  <c r="Y78" i="77" s="1"/>
  <c r="AC36" i="77"/>
  <c r="X36" i="77"/>
  <c r="Y36" i="77" s="1"/>
  <c r="AC68" i="77"/>
  <c r="X68" i="77"/>
  <c r="Y68" i="77" s="1"/>
  <c r="AC35" i="77"/>
  <c r="X35" i="77"/>
  <c r="AC82" i="77"/>
  <c r="X82" i="77"/>
  <c r="Y82" i="77" s="1"/>
  <c r="AC86" i="77"/>
  <c r="X86" i="77"/>
  <c r="Y86" i="77" s="1"/>
  <c r="V166" i="77"/>
  <c r="Y26" i="77"/>
  <c r="V29" i="77"/>
  <c r="V101" i="77"/>
  <c r="AA83" i="77"/>
  <c r="AC83" i="77"/>
  <c r="U88" i="77"/>
  <c r="AC88" i="77"/>
  <c r="AA77" i="77"/>
  <c r="AC77" i="77"/>
  <c r="AA75" i="77"/>
  <c r="U89" i="77"/>
  <c r="AC89" i="77"/>
  <c r="U68" i="77"/>
  <c r="AA85" i="77"/>
  <c r="AC85" i="77"/>
  <c r="AA26" i="77"/>
  <c r="AC26" i="77"/>
  <c r="U26" i="77"/>
  <c r="AA23" i="77"/>
  <c r="AC23" i="77"/>
  <c r="U48" i="77"/>
  <c r="AA59" i="77"/>
  <c r="AA62" i="77"/>
  <c r="AA49" i="77"/>
  <c r="AA38" i="77"/>
  <c r="AA41" i="77"/>
  <c r="AA24" i="77"/>
  <c r="P45" i="77"/>
  <c r="R45" i="77" s="1"/>
  <c r="P64" i="77"/>
  <c r="R64" i="77" s="1"/>
  <c r="P107" i="77"/>
  <c r="R107" i="77" s="1"/>
  <c r="V113" i="77"/>
  <c r="P155" i="77"/>
  <c r="P164" i="77"/>
  <c r="R164" i="77" s="1"/>
  <c r="P165" i="77"/>
  <c r="R165" i="77" s="1"/>
  <c r="V167" i="77"/>
  <c r="U36" i="77"/>
  <c r="V90" i="77"/>
  <c r="P157" i="77"/>
  <c r="U80" i="77"/>
  <c r="P133" i="77"/>
  <c r="P137" i="77"/>
  <c r="V137" i="77" s="1"/>
  <c r="P139" i="77"/>
  <c r="P141" i="77"/>
  <c r="P143" i="77"/>
  <c r="P145" i="77"/>
  <c r="P163" i="77"/>
  <c r="R163" i="77" s="1"/>
  <c r="P160" i="77"/>
  <c r="P66" i="77"/>
  <c r="R66" i="77" s="1"/>
  <c r="U70" i="77"/>
  <c r="V128" i="77"/>
  <c r="B162" i="77"/>
  <c r="B170" i="77" s="1"/>
  <c r="J162" i="77"/>
  <c r="J170" i="77" s="1"/>
  <c r="P148" i="77"/>
  <c r="P149" i="77"/>
  <c r="C162" i="77"/>
  <c r="C170" i="77" s="1"/>
  <c r="K162" i="77"/>
  <c r="K170" i="77" s="1"/>
  <c r="P151" i="77"/>
  <c r="V151" i="77" s="1"/>
  <c r="P152" i="77"/>
  <c r="P153" i="77"/>
  <c r="P156" i="77"/>
  <c r="V156" i="77" s="1"/>
  <c r="V103" i="77"/>
  <c r="V47" i="77"/>
  <c r="D162" i="77"/>
  <c r="D170" i="77" s="1"/>
  <c r="L162" i="77"/>
  <c r="L170" i="77" s="1"/>
  <c r="U161" i="77"/>
  <c r="V161" i="77" s="1"/>
  <c r="P169" i="77"/>
  <c r="R169" i="77" s="1"/>
  <c r="U84" i="77"/>
  <c r="AA88" i="77"/>
  <c r="Y89" i="77"/>
  <c r="U23" i="77"/>
  <c r="Y23" i="77"/>
  <c r="U83" i="77"/>
  <c r="Y85" i="77"/>
  <c r="Y83" i="77"/>
  <c r="U155" i="77"/>
  <c r="Y88" i="77"/>
  <c r="U169" i="77"/>
  <c r="V169" i="77" s="1"/>
  <c r="Y12" i="77"/>
  <c r="Y15" i="77"/>
  <c r="AA9" i="77"/>
  <c r="U15" i="77"/>
  <c r="AC15" i="77"/>
  <c r="AC12" i="77"/>
  <c r="Y9" i="77"/>
  <c r="Y8" i="77"/>
  <c r="AA51" i="77"/>
  <c r="U12" i="77"/>
  <c r="U44" i="77"/>
  <c r="Y84" i="77"/>
  <c r="U9" i="77"/>
  <c r="AA15" i="77"/>
  <c r="U171" i="77"/>
  <c r="U85" i="77"/>
  <c r="AA95" i="77"/>
  <c r="U165" i="77"/>
  <c r="U73" i="77"/>
  <c r="U163" i="77"/>
  <c r="V163" i="77" s="1"/>
  <c r="U77" i="77"/>
  <c r="AA54" i="77"/>
  <c r="Y77" i="77"/>
  <c r="U82" i="77"/>
  <c r="T108" i="77"/>
  <c r="U168" i="77"/>
  <c r="V168" i="77" s="1"/>
  <c r="AA7" i="77"/>
  <c r="V27" i="77"/>
  <c r="S110" i="77"/>
  <c r="AA32" i="77"/>
  <c r="Y7" i="77"/>
  <c r="P17" i="77"/>
  <c r="R17" i="77" s="1"/>
  <c r="AA35" i="77"/>
  <c r="U35" i="77"/>
  <c r="AA40" i="77"/>
  <c r="AA52" i="77"/>
  <c r="AA8" i="77"/>
  <c r="U14" i="77"/>
  <c r="Y35" i="77"/>
  <c r="AA25" i="77"/>
  <c r="U8" i="77"/>
  <c r="Y14" i="77"/>
  <c r="P19" i="77"/>
  <c r="R19" i="77" s="1"/>
  <c r="AA43" i="77"/>
  <c r="AA14" i="77"/>
  <c r="AA20" i="77"/>
  <c r="AA28" i="77" s="1"/>
  <c r="Z28" i="77"/>
  <c r="AA71" i="77"/>
  <c r="AA53" i="77"/>
  <c r="V66" i="77"/>
  <c r="P92" i="77"/>
  <c r="R92" i="77" s="1"/>
  <c r="AA94" i="77"/>
  <c r="AA70" i="77"/>
  <c r="AA61" i="77"/>
  <c r="AA79" i="77"/>
  <c r="U87" i="77"/>
  <c r="AA87" i="77"/>
  <c r="AA55" i="77"/>
  <c r="AA63" i="77"/>
  <c r="AA73" i="77"/>
  <c r="AA81" i="77"/>
  <c r="AA89" i="77"/>
  <c r="AA96" i="77"/>
  <c r="V111" i="77"/>
  <c r="P158" i="77"/>
  <c r="P159" i="77"/>
  <c r="AA56" i="77"/>
  <c r="AA74" i="77"/>
  <c r="U78" i="77"/>
  <c r="AA82" i="77"/>
  <c r="U86" i="77"/>
  <c r="E162" i="77"/>
  <c r="E170" i="77" s="1"/>
  <c r="V171" i="77"/>
  <c r="V109" i="77"/>
  <c r="P142" i="77"/>
  <c r="P146" i="77"/>
  <c r="P150" i="77"/>
  <c r="P154" i="77"/>
  <c r="AA58" i="77"/>
  <c r="AA76" i="77"/>
  <c r="AA84" i="77"/>
  <c r="V107" i="77"/>
  <c r="V126" i="77"/>
  <c r="V130" i="77"/>
  <c r="G162" i="77"/>
  <c r="G170" i="77" s="1"/>
  <c r="AA162" i="77"/>
  <c r="AA170" i="77" s="1"/>
  <c r="P138" i="77"/>
  <c r="H162" i="77"/>
  <c r="H170" i="77" s="1"/>
  <c r="P134" i="77"/>
  <c r="P135" i="77"/>
  <c r="A162" i="77"/>
  <c r="A170" i="77" s="1"/>
  <c r="I162" i="77"/>
  <c r="I170" i="77" s="1"/>
  <c r="S170" i="77"/>
  <c r="Z162" i="77"/>
  <c r="Z170" i="77" s="1"/>
  <c r="Q162" i="77"/>
  <c r="R133" i="77" l="1"/>
  <c r="AB133" i="77"/>
  <c r="R150" i="77"/>
  <c r="AB150" i="77"/>
  <c r="R149" i="77"/>
  <c r="AB149" i="77"/>
  <c r="R157" i="77"/>
  <c r="AB157" i="77"/>
  <c r="R146" i="77"/>
  <c r="AB146" i="77"/>
  <c r="R153" i="77"/>
  <c r="AB153" i="77"/>
  <c r="R143" i="77"/>
  <c r="AB143" i="77"/>
  <c r="R138" i="77"/>
  <c r="AB138" i="77"/>
  <c r="R154" i="77"/>
  <c r="AB154" i="77"/>
  <c r="R148" i="77"/>
  <c r="AB148" i="77"/>
  <c r="R142" i="77"/>
  <c r="AB142" i="77"/>
  <c r="R135" i="77"/>
  <c r="AB135" i="77"/>
  <c r="R159" i="77"/>
  <c r="AB159" i="77"/>
  <c r="V153" i="77"/>
  <c r="R152" i="77"/>
  <c r="AB152" i="77"/>
  <c r="R141" i="77"/>
  <c r="AB141" i="77"/>
  <c r="R145" i="77"/>
  <c r="AB145" i="77"/>
  <c r="R158" i="77"/>
  <c r="AB158" i="77"/>
  <c r="R151" i="77"/>
  <c r="AB151" i="77"/>
  <c r="R139" i="77"/>
  <c r="AB139" i="77"/>
  <c r="R160" i="77"/>
  <c r="AB160" i="77"/>
  <c r="R156" i="77"/>
  <c r="AB156" i="77"/>
  <c r="R134" i="77"/>
  <c r="AB134" i="77"/>
  <c r="R137" i="77"/>
  <c r="AB137" i="77"/>
  <c r="R155" i="77"/>
  <c r="AB155" i="77"/>
  <c r="V157" i="77"/>
  <c r="V133" i="77"/>
  <c r="P144" i="77"/>
  <c r="AB144" i="77" s="1"/>
  <c r="V141" i="77"/>
  <c r="V146" i="77"/>
  <c r="V149" i="77"/>
  <c r="Q170" i="77"/>
  <c r="AC170" i="77" s="1"/>
  <c r="V45" i="77"/>
  <c r="V64" i="77"/>
  <c r="V155" i="77"/>
  <c r="V154" i="77"/>
  <c r="V148" i="77"/>
  <c r="P147" i="77"/>
  <c r="AB147" i="77" s="1"/>
  <c r="P140" i="77"/>
  <c r="AB140" i="77" s="1"/>
  <c r="P132" i="77"/>
  <c r="AB132" i="77" s="1"/>
  <c r="V152" i="77"/>
  <c r="V138" i="77"/>
  <c r="V145" i="77"/>
  <c r="V143" i="77"/>
  <c r="V159" i="77"/>
  <c r="P136" i="77"/>
  <c r="AB136" i="77" s="1"/>
  <c r="V139" i="77"/>
  <c r="O162" i="77"/>
  <c r="O170" i="77" s="1"/>
  <c r="V160" i="77"/>
  <c r="V164" i="77"/>
  <c r="U162" i="77"/>
  <c r="AA91" i="77"/>
  <c r="AA104" i="77"/>
  <c r="V92" i="77"/>
  <c r="V134" i="77"/>
  <c r="V135" i="77"/>
  <c r="V150" i="77"/>
  <c r="Z91" i="77"/>
  <c r="V19" i="77"/>
  <c r="Z46" i="77"/>
  <c r="AA30" i="77"/>
  <c r="V165" i="77"/>
  <c r="Z18" i="77"/>
  <c r="P131" i="77"/>
  <c r="AB131" i="77" s="1"/>
  <c r="N162" i="77"/>
  <c r="V158" i="77"/>
  <c r="Z102" i="77"/>
  <c r="S112" i="77"/>
  <c r="V142" i="77"/>
  <c r="V17" i="77"/>
  <c r="Z65" i="77"/>
  <c r="AA48" i="77"/>
  <c r="N170" i="77" l="1"/>
  <c r="X170" i="77" s="1"/>
  <c r="X162" i="77"/>
  <c r="U170" i="77"/>
  <c r="R144" i="77"/>
  <c r="V144" i="77"/>
  <c r="R132" i="77"/>
  <c r="V132" i="77"/>
  <c r="R140" i="77"/>
  <c r="V140" i="77"/>
  <c r="R136" i="77"/>
  <c r="V136" i="77"/>
  <c r="R147" i="77"/>
  <c r="V147" i="77"/>
  <c r="S129" i="77"/>
  <c r="P162" i="77"/>
  <c r="AC162" i="77" s="1"/>
  <c r="R131" i="77"/>
  <c r="V131" i="77"/>
  <c r="AB115" i="51"/>
  <c r="Z164" i="51"/>
  <c r="R162" i="77" l="1"/>
  <c r="R170" i="77" s="1"/>
  <c r="AA99" i="77"/>
  <c r="S172" i="77"/>
  <c r="P170" i="77"/>
  <c r="V170" i="77" s="1"/>
  <c r="V162" i="77"/>
  <c r="C165" i="51"/>
  <c r="E165" i="51"/>
  <c r="H165" i="51"/>
  <c r="K165" i="51"/>
  <c r="Z165" i="51"/>
  <c r="AA97" i="77" l="1"/>
  <c r="AA102" i="77" s="1"/>
  <c r="J10" i="77" l="1"/>
  <c r="L7" i="64"/>
  <c r="J7" i="64"/>
  <c r="H7" i="64"/>
  <c r="G7" i="64"/>
  <c r="D7" i="64"/>
  <c r="B7" i="64"/>
  <c r="O7" i="64" s="1"/>
  <c r="L89" i="63"/>
  <c r="K89" i="63"/>
  <c r="J89" i="63"/>
  <c r="I89" i="63"/>
  <c r="H89" i="63"/>
  <c r="G89" i="63"/>
  <c r="F89" i="63"/>
  <c r="E89" i="63"/>
  <c r="D89" i="63"/>
  <c r="C89" i="63"/>
  <c r="B89" i="63"/>
  <c r="A89" i="63"/>
  <c r="L88" i="63"/>
  <c r="K88" i="63"/>
  <c r="J88" i="63"/>
  <c r="I88" i="63"/>
  <c r="H88" i="63"/>
  <c r="G88" i="63"/>
  <c r="F88" i="63"/>
  <c r="E88" i="63"/>
  <c r="D88" i="63"/>
  <c r="C88" i="63"/>
  <c r="B88" i="63"/>
  <c r="A88" i="63"/>
  <c r="L87" i="63"/>
  <c r="K87" i="63"/>
  <c r="J87" i="63"/>
  <c r="I87" i="63"/>
  <c r="H87" i="63"/>
  <c r="G87" i="63"/>
  <c r="F87" i="63"/>
  <c r="E87" i="63"/>
  <c r="D87" i="63"/>
  <c r="C87" i="63"/>
  <c r="B87" i="63"/>
  <c r="A87" i="63"/>
  <c r="L86" i="63"/>
  <c r="K86" i="63"/>
  <c r="J86" i="63"/>
  <c r="I86" i="63"/>
  <c r="H86" i="63"/>
  <c r="G86" i="63"/>
  <c r="F86" i="63"/>
  <c r="E86" i="63"/>
  <c r="D86" i="63"/>
  <c r="C86" i="63"/>
  <c r="B86" i="63"/>
  <c r="A86" i="63"/>
  <c r="L85" i="63"/>
  <c r="K85" i="63"/>
  <c r="J85" i="63"/>
  <c r="I85" i="63"/>
  <c r="H85" i="63"/>
  <c r="G85" i="63"/>
  <c r="F85" i="63"/>
  <c r="E85" i="63"/>
  <c r="D85" i="63"/>
  <c r="C85" i="63"/>
  <c r="B85" i="63"/>
  <c r="A85" i="63"/>
  <c r="L84" i="63"/>
  <c r="K84" i="63"/>
  <c r="J84" i="63"/>
  <c r="I84" i="63"/>
  <c r="H84" i="63"/>
  <c r="G84" i="63"/>
  <c r="F84" i="63"/>
  <c r="E84" i="63"/>
  <c r="D84" i="63"/>
  <c r="C84" i="63"/>
  <c r="B84" i="63"/>
  <c r="A84" i="63"/>
  <c r="L83" i="63"/>
  <c r="K83" i="63"/>
  <c r="J83" i="63"/>
  <c r="I83" i="63"/>
  <c r="H83" i="63"/>
  <c r="G83" i="63"/>
  <c r="F83" i="63"/>
  <c r="E83" i="63"/>
  <c r="D83" i="63"/>
  <c r="C83" i="63"/>
  <c r="B83" i="63"/>
  <c r="A83" i="63"/>
  <c r="L82" i="63"/>
  <c r="K82" i="63"/>
  <c r="J82" i="63"/>
  <c r="I82" i="63"/>
  <c r="H82" i="63"/>
  <c r="G82" i="63"/>
  <c r="F82" i="63"/>
  <c r="E82" i="63"/>
  <c r="D82" i="63"/>
  <c r="C82" i="63"/>
  <c r="B82" i="63"/>
  <c r="A82" i="63"/>
  <c r="L81" i="63"/>
  <c r="K81" i="63"/>
  <c r="J81" i="63"/>
  <c r="I81" i="63"/>
  <c r="H81" i="63"/>
  <c r="G81" i="63"/>
  <c r="F81" i="63"/>
  <c r="E81" i="63"/>
  <c r="D81" i="63"/>
  <c r="C81" i="63"/>
  <c r="B81" i="63"/>
  <c r="A81" i="63"/>
  <c r="L80" i="63"/>
  <c r="K80" i="63"/>
  <c r="J80" i="63"/>
  <c r="I80" i="63"/>
  <c r="H80" i="63"/>
  <c r="G80" i="63"/>
  <c r="F80" i="63"/>
  <c r="E80" i="63"/>
  <c r="D80" i="63"/>
  <c r="C80" i="63"/>
  <c r="B80" i="63"/>
  <c r="A80" i="63"/>
  <c r="L78" i="63"/>
  <c r="K78" i="63"/>
  <c r="J78" i="63"/>
  <c r="I78" i="63"/>
  <c r="H78" i="63"/>
  <c r="G78" i="63"/>
  <c r="F78" i="63"/>
  <c r="E78" i="63"/>
  <c r="D78" i="63"/>
  <c r="C78" i="63"/>
  <c r="B78" i="63"/>
  <c r="A78" i="63"/>
  <c r="L77" i="63"/>
  <c r="K77" i="63"/>
  <c r="J77" i="63"/>
  <c r="I77" i="63"/>
  <c r="H77" i="63"/>
  <c r="G77" i="63"/>
  <c r="F77" i="63"/>
  <c r="E77" i="63"/>
  <c r="D77" i="63"/>
  <c r="C77" i="63"/>
  <c r="B77" i="63"/>
  <c r="A77" i="63"/>
  <c r="L73" i="63"/>
  <c r="K73" i="63"/>
  <c r="J73" i="63"/>
  <c r="I73" i="63"/>
  <c r="H73" i="63"/>
  <c r="G73" i="63"/>
  <c r="F73" i="63"/>
  <c r="E73" i="63"/>
  <c r="D73" i="63"/>
  <c r="C73" i="63"/>
  <c r="B73" i="63"/>
  <c r="A73" i="63"/>
  <c r="L71" i="63"/>
  <c r="K71" i="63"/>
  <c r="J71" i="63"/>
  <c r="I71" i="63"/>
  <c r="H71" i="63"/>
  <c r="G71" i="63"/>
  <c r="F71" i="63"/>
  <c r="E71" i="63"/>
  <c r="D71" i="63"/>
  <c r="C71" i="63"/>
  <c r="B71" i="63"/>
  <c r="A71" i="63"/>
  <c r="L70" i="63"/>
  <c r="K70" i="63"/>
  <c r="J70" i="63"/>
  <c r="I70" i="63"/>
  <c r="H70" i="63"/>
  <c r="G70" i="63"/>
  <c r="F70" i="63"/>
  <c r="E70" i="63"/>
  <c r="D70" i="63"/>
  <c r="C70" i="63"/>
  <c r="B70" i="63"/>
  <c r="A70" i="63"/>
  <c r="L69" i="63"/>
  <c r="K69" i="63"/>
  <c r="J69" i="63"/>
  <c r="I69" i="63"/>
  <c r="H69" i="63"/>
  <c r="G69" i="63"/>
  <c r="F69" i="63"/>
  <c r="E69" i="63"/>
  <c r="D69" i="63"/>
  <c r="C69" i="63"/>
  <c r="B69" i="63"/>
  <c r="A69" i="63"/>
  <c r="L68" i="63"/>
  <c r="K68" i="63"/>
  <c r="J68" i="63"/>
  <c r="I68" i="63"/>
  <c r="H68" i="63"/>
  <c r="G68" i="63"/>
  <c r="F68" i="63"/>
  <c r="E68" i="63"/>
  <c r="D68" i="63"/>
  <c r="C68" i="63"/>
  <c r="B68" i="63"/>
  <c r="A68" i="63"/>
  <c r="K67" i="63"/>
  <c r="J67" i="63"/>
  <c r="I67" i="63"/>
  <c r="H67" i="63"/>
  <c r="G67" i="63"/>
  <c r="F67" i="63"/>
  <c r="E67" i="63"/>
  <c r="D67" i="63"/>
  <c r="C67" i="63"/>
  <c r="B67" i="63"/>
  <c r="A67" i="63"/>
  <c r="L67" i="63"/>
  <c r="L89" i="62"/>
  <c r="K89" i="62"/>
  <c r="J89" i="62"/>
  <c r="I89" i="62"/>
  <c r="H89" i="62"/>
  <c r="G89" i="62"/>
  <c r="F89" i="62"/>
  <c r="E89" i="62"/>
  <c r="D89" i="62"/>
  <c r="C89" i="62"/>
  <c r="B89" i="62"/>
  <c r="A89" i="62"/>
  <c r="L88" i="62"/>
  <c r="K88" i="62"/>
  <c r="J88" i="62"/>
  <c r="I88" i="62"/>
  <c r="H88" i="62"/>
  <c r="G88" i="62"/>
  <c r="F88" i="62"/>
  <c r="E88" i="62"/>
  <c r="D88" i="62"/>
  <c r="C88" i="62"/>
  <c r="B88" i="62"/>
  <c r="A88" i="62"/>
  <c r="L86" i="62"/>
  <c r="K86" i="62"/>
  <c r="J86" i="62"/>
  <c r="I86" i="62"/>
  <c r="H86" i="62"/>
  <c r="G86" i="62"/>
  <c r="F86" i="62"/>
  <c r="E86" i="62"/>
  <c r="D86" i="62"/>
  <c r="C86" i="62"/>
  <c r="B86" i="62"/>
  <c r="A86" i="62"/>
  <c r="L85" i="62"/>
  <c r="K85" i="62"/>
  <c r="J85" i="62"/>
  <c r="I85" i="62"/>
  <c r="H85" i="62"/>
  <c r="G85" i="62"/>
  <c r="F85" i="62"/>
  <c r="E85" i="62"/>
  <c r="D85" i="62"/>
  <c r="C85" i="62"/>
  <c r="B85" i="62"/>
  <c r="A85" i="62"/>
  <c r="K84" i="62"/>
  <c r="J84" i="62"/>
  <c r="I84" i="62"/>
  <c r="H84" i="62"/>
  <c r="G84" i="62"/>
  <c r="F84" i="62"/>
  <c r="E84" i="62"/>
  <c r="D84" i="62"/>
  <c r="C84" i="62"/>
  <c r="B84" i="62"/>
  <c r="A84" i="62"/>
  <c r="L83" i="62"/>
  <c r="K83" i="62"/>
  <c r="J83" i="62"/>
  <c r="I83" i="62"/>
  <c r="H83" i="62"/>
  <c r="G83" i="62"/>
  <c r="F83" i="62"/>
  <c r="E83" i="62"/>
  <c r="D83" i="62"/>
  <c r="C83" i="62"/>
  <c r="B83" i="62"/>
  <c r="A83" i="62"/>
  <c r="L82" i="62"/>
  <c r="K82" i="62"/>
  <c r="J82" i="62"/>
  <c r="I82" i="62"/>
  <c r="H82" i="62"/>
  <c r="G82" i="62"/>
  <c r="F82" i="62"/>
  <c r="E82" i="62"/>
  <c r="D82" i="62"/>
  <c r="C82" i="62"/>
  <c r="B82" i="62"/>
  <c r="A82" i="62"/>
  <c r="L84" i="62"/>
  <c r="L100" i="62"/>
  <c r="K100" i="62"/>
  <c r="J100" i="62"/>
  <c r="I100" i="62"/>
  <c r="H100" i="62"/>
  <c r="G100" i="62"/>
  <c r="F100" i="62"/>
  <c r="E100" i="62"/>
  <c r="D100" i="62"/>
  <c r="C100" i="62"/>
  <c r="B100" i="62"/>
  <c r="A100" i="62"/>
  <c r="L99" i="62"/>
  <c r="K99" i="62"/>
  <c r="J99" i="62"/>
  <c r="I99" i="62"/>
  <c r="H99" i="62"/>
  <c r="G99" i="62"/>
  <c r="F99" i="62"/>
  <c r="E99" i="62"/>
  <c r="D99" i="62"/>
  <c r="C99" i="62"/>
  <c r="B99" i="62"/>
  <c r="A99" i="62"/>
  <c r="L98" i="62"/>
  <c r="K98" i="62"/>
  <c r="J98" i="62"/>
  <c r="I98" i="62"/>
  <c r="H98" i="62"/>
  <c r="G98" i="62"/>
  <c r="F98" i="62"/>
  <c r="E98" i="62"/>
  <c r="D98" i="62"/>
  <c r="C98" i="62"/>
  <c r="B98" i="62"/>
  <c r="A98" i="62"/>
  <c r="L97" i="62"/>
  <c r="K97" i="62"/>
  <c r="J97" i="62"/>
  <c r="I97" i="62"/>
  <c r="H97" i="62"/>
  <c r="G97" i="62"/>
  <c r="F97" i="62"/>
  <c r="E97" i="62"/>
  <c r="D97" i="62"/>
  <c r="C97" i="62"/>
  <c r="B97" i="62"/>
  <c r="A97" i="62"/>
  <c r="L95" i="62"/>
  <c r="K95" i="62"/>
  <c r="J95" i="62"/>
  <c r="I95" i="62"/>
  <c r="H95" i="62"/>
  <c r="G95" i="62"/>
  <c r="F95" i="62"/>
  <c r="E95" i="62"/>
  <c r="D95" i="62"/>
  <c r="C95" i="62"/>
  <c r="B95" i="62"/>
  <c r="A95" i="62"/>
  <c r="L48" i="62"/>
  <c r="K48" i="62"/>
  <c r="J48" i="62"/>
  <c r="I48" i="62"/>
  <c r="H48" i="62"/>
  <c r="G48" i="62"/>
  <c r="F48" i="62"/>
  <c r="E48" i="62"/>
  <c r="D48" i="62"/>
  <c r="C48" i="62"/>
  <c r="B48" i="62"/>
  <c r="A48" i="62"/>
  <c r="L44" i="62"/>
  <c r="K44" i="62"/>
  <c r="J44" i="62"/>
  <c r="I44" i="62"/>
  <c r="H44" i="62"/>
  <c r="G44" i="62"/>
  <c r="F44" i="62"/>
  <c r="E44" i="62"/>
  <c r="D44" i="62"/>
  <c r="C44" i="62"/>
  <c r="B44" i="62"/>
  <c r="A44" i="62"/>
  <c r="L43" i="62"/>
  <c r="K43" i="62"/>
  <c r="J43" i="62"/>
  <c r="I43" i="62"/>
  <c r="H43" i="62"/>
  <c r="G43" i="62"/>
  <c r="F43" i="62"/>
  <c r="E43" i="62"/>
  <c r="D43" i="62"/>
  <c r="C43" i="62"/>
  <c r="B43" i="62"/>
  <c r="A43" i="62"/>
  <c r="L42" i="62"/>
  <c r="K42" i="62"/>
  <c r="J42" i="62"/>
  <c r="I42" i="62"/>
  <c r="H42" i="62"/>
  <c r="G42" i="62"/>
  <c r="F42" i="62"/>
  <c r="E42" i="62"/>
  <c r="D42" i="62"/>
  <c r="C42" i="62"/>
  <c r="B42" i="62"/>
  <c r="A42" i="62"/>
  <c r="L41" i="62"/>
  <c r="K41" i="62"/>
  <c r="J41" i="62"/>
  <c r="I41" i="62"/>
  <c r="H41" i="62"/>
  <c r="G41" i="62"/>
  <c r="F41" i="62"/>
  <c r="E41" i="62"/>
  <c r="D41" i="62"/>
  <c r="C41" i="62"/>
  <c r="B41" i="62"/>
  <c r="A41" i="62"/>
  <c r="L40" i="62"/>
  <c r="K40" i="62"/>
  <c r="J40" i="62"/>
  <c r="I40" i="62"/>
  <c r="H40" i="62"/>
  <c r="G40" i="62"/>
  <c r="F40" i="62"/>
  <c r="E40" i="62"/>
  <c r="D40" i="62"/>
  <c r="C40" i="62"/>
  <c r="B40" i="62"/>
  <c r="A40" i="62"/>
  <c r="L39" i="62"/>
  <c r="K39" i="62"/>
  <c r="J39" i="62"/>
  <c r="I39" i="62"/>
  <c r="H39" i="62"/>
  <c r="G39" i="62"/>
  <c r="F39" i="62"/>
  <c r="E39" i="62"/>
  <c r="D39" i="62"/>
  <c r="C39" i="62"/>
  <c r="B39" i="62"/>
  <c r="A39" i="62"/>
  <c r="L38" i="62"/>
  <c r="K38" i="62"/>
  <c r="J38" i="62"/>
  <c r="I38" i="62"/>
  <c r="H38" i="62"/>
  <c r="G38" i="62"/>
  <c r="F38" i="62"/>
  <c r="E38" i="62"/>
  <c r="D38" i="62"/>
  <c r="C38" i="62"/>
  <c r="B38" i="62"/>
  <c r="A38" i="62"/>
  <c r="L37" i="62"/>
  <c r="K37" i="62"/>
  <c r="J37" i="62"/>
  <c r="I37" i="62"/>
  <c r="H37" i="62"/>
  <c r="G37" i="62"/>
  <c r="F37" i="62"/>
  <c r="E37" i="62"/>
  <c r="D37" i="62"/>
  <c r="C37" i="62"/>
  <c r="B37" i="62"/>
  <c r="A37" i="62"/>
  <c r="L36" i="62"/>
  <c r="K36" i="62"/>
  <c r="J36" i="62"/>
  <c r="I36" i="62"/>
  <c r="H36" i="62"/>
  <c r="G36" i="62"/>
  <c r="F36" i="62"/>
  <c r="E36" i="62"/>
  <c r="D36" i="62"/>
  <c r="C36" i="62"/>
  <c r="B36" i="62"/>
  <c r="A36" i="62"/>
  <c r="L35" i="62"/>
  <c r="K35" i="62"/>
  <c r="J35" i="62"/>
  <c r="I35" i="62"/>
  <c r="H35" i="62"/>
  <c r="G35" i="62"/>
  <c r="F35" i="62"/>
  <c r="E35" i="62"/>
  <c r="D35" i="62"/>
  <c r="C35" i="62"/>
  <c r="B35" i="62"/>
  <c r="A35" i="62"/>
  <c r="L33" i="62"/>
  <c r="K33" i="62"/>
  <c r="J33" i="62"/>
  <c r="I33" i="62"/>
  <c r="H33" i="62"/>
  <c r="G33" i="62"/>
  <c r="F33" i="62"/>
  <c r="E33" i="62"/>
  <c r="D33" i="62"/>
  <c r="C33" i="62"/>
  <c r="B33" i="62"/>
  <c r="A33" i="62"/>
  <c r="L32" i="62"/>
  <c r="K32" i="62"/>
  <c r="J32" i="62"/>
  <c r="I32" i="62"/>
  <c r="H32" i="62"/>
  <c r="G32" i="62"/>
  <c r="F32" i="62"/>
  <c r="E32" i="62"/>
  <c r="D32" i="62"/>
  <c r="C32" i="62"/>
  <c r="B32" i="62"/>
  <c r="A32" i="62"/>
  <c r="L31" i="62"/>
  <c r="K31" i="62"/>
  <c r="J31" i="62"/>
  <c r="I31" i="62"/>
  <c r="H31" i="62"/>
  <c r="G31" i="62"/>
  <c r="F31" i="62"/>
  <c r="E31" i="62"/>
  <c r="D31" i="62"/>
  <c r="C31" i="62"/>
  <c r="B31" i="62"/>
  <c r="A31" i="62"/>
  <c r="L30" i="62"/>
  <c r="K30" i="62"/>
  <c r="J30" i="62"/>
  <c r="I30" i="62"/>
  <c r="H30" i="62"/>
  <c r="G30" i="62"/>
  <c r="F30" i="62"/>
  <c r="E30" i="62"/>
  <c r="D30" i="62"/>
  <c r="C30" i="62"/>
  <c r="B30" i="62"/>
  <c r="A30" i="62"/>
  <c r="L26" i="62"/>
  <c r="K26" i="62"/>
  <c r="J26" i="62"/>
  <c r="I26" i="62"/>
  <c r="H26" i="62"/>
  <c r="G26" i="62"/>
  <c r="F26" i="62"/>
  <c r="E26" i="62"/>
  <c r="D26" i="62"/>
  <c r="C26" i="62"/>
  <c r="B26" i="62"/>
  <c r="A26" i="62"/>
  <c r="L23" i="62"/>
  <c r="K23" i="62"/>
  <c r="J23" i="62"/>
  <c r="I23" i="62"/>
  <c r="H23" i="62"/>
  <c r="G23" i="62"/>
  <c r="F23" i="62"/>
  <c r="E23" i="62"/>
  <c r="D23" i="62"/>
  <c r="C23" i="62"/>
  <c r="B23" i="62"/>
  <c r="A23" i="62"/>
  <c r="L21" i="62"/>
  <c r="K21" i="62"/>
  <c r="J21" i="62"/>
  <c r="I21" i="62"/>
  <c r="H21" i="62"/>
  <c r="G21" i="62"/>
  <c r="F21" i="62"/>
  <c r="E21" i="62"/>
  <c r="D21" i="62"/>
  <c r="C21" i="62"/>
  <c r="B21" i="62"/>
  <c r="A21" i="62"/>
  <c r="K20" i="62"/>
  <c r="J20" i="62"/>
  <c r="I20" i="62"/>
  <c r="H20" i="62"/>
  <c r="G20" i="62"/>
  <c r="F20" i="62"/>
  <c r="E20" i="62"/>
  <c r="D20" i="62"/>
  <c r="C20" i="62"/>
  <c r="B20" i="62"/>
  <c r="A20" i="62"/>
  <c r="L20" i="62"/>
  <c r="L44" i="61"/>
  <c r="K44" i="61"/>
  <c r="J44" i="61"/>
  <c r="I44" i="61"/>
  <c r="H44" i="61"/>
  <c r="G44" i="61"/>
  <c r="F44" i="61"/>
  <c r="E44" i="61"/>
  <c r="D44" i="61"/>
  <c r="C44" i="61"/>
  <c r="B44" i="61"/>
  <c r="A44" i="61"/>
  <c r="L43" i="61"/>
  <c r="K43" i="61"/>
  <c r="J43" i="61"/>
  <c r="I43" i="61"/>
  <c r="H43" i="61"/>
  <c r="G43" i="61"/>
  <c r="F43" i="61"/>
  <c r="E43" i="61"/>
  <c r="D43" i="61"/>
  <c r="C43" i="61"/>
  <c r="B43" i="61"/>
  <c r="A43" i="61"/>
  <c r="L42" i="61"/>
  <c r="K42" i="61"/>
  <c r="J42" i="61"/>
  <c r="I42" i="61"/>
  <c r="H42" i="61"/>
  <c r="G42" i="61"/>
  <c r="F42" i="61"/>
  <c r="E42" i="61"/>
  <c r="D42" i="61"/>
  <c r="C42" i="61"/>
  <c r="B42" i="61"/>
  <c r="A42" i="61"/>
  <c r="L41" i="61"/>
  <c r="K41" i="61"/>
  <c r="J41" i="61"/>
  <c r="I41" i="61"/>
  <c r="H41" i="61"/>
  <c r="G41" i="61"/>
  <c r="F41" i="61"/>
  <c r="E41" i="61"/>
  <c r="D41" i="61"/>
  <c r="C41" i="61"/>
  <c r="B41" i="61"/>
  <c r="A41" i="61"/>
  <c r="L40" i="61"/>
  <c r="K40" i="61"/>
  <c r="J40" i="61"/>
  <c r="I40" i="61"/>
  <c r="H40" i="61"/>
  <c r="G40" i="61"/>
  <c r="F40" i="61"/>
  <c r="E40" i="61"/>
  <c r="D40" i="61"/>
  <c r="C40" i="61"/>
  <c r="B40" i="61"/>
  <c r="A40" i="61"/>
  <c r="L39" i="61"/>
  <c r="K39" i="61"/>
  <c r="J39" i="61"/>
  <c r="I39" i="61"/>
  <c r="H39" i="61"/>
  <c r="G39" i="61"/>
  <c r="F39" i="61"/>
  <c r="E39" i="61"/>
  <c r="D39" i="61"/>
  <c r="C39" i="61"/>
  <c r="B39" i="61"/>
  <c r="A39" i="61"/>
  <c r="L38" i="61"/>
  <c r="K38" i="61"/>
  <c r="J38" i="61"/>
  <c r="I38" i="61"/>
  <c r="H38" i="61"/>
  <c r="G38" i="61"/>
  <c r="F38" i="61"/>
  <c r="E38" i="61"/>
  <c r="D38" i="61"/>
  <c r="C38" i="61"/>
  <c r="B38" i="61"/>
  <c r="A38" i="61"/>
  <c r="L37" i="61"/>
  <c r="K37" i="61"/>
  <c r="J37" i="61"/>
  <c r="I37" i="61"/>
  <c r="H37" i="61"/>
  <c r="G37" i="61"/>
  <c r="F37" i="61"/>
  <c r="E37" i="61"/>
  <c r="D37" i="61"/>
  <c r="C37" i="61"/>
  <c r="B37" i="61"/>
  <c r="A37" i="61"/>
  <c r="L36" i="61"/>
  <c r="K36" i="61"/>
  <c r="J36" i="61"/>
  <c r="I36" i="61"/>
  <c r="H36" i="61"/>
  <c r="G36" i="61"/>
  <c r="F36" i="61"/>
  <c r="E36" i="61"/>
  <c r="D36" i="61"/>
  <c r="C36" i="61"/>
  <c r="B36" i="61"/>
  <c r="A36" i="61"/>
  <c r="L35" i="61"/>
  <c r="K35" i="61"/>
  <c r="J35" i="61"/>
  <c r="I35" i="61"/>
  <c r="H35" i="61"/>
  <c r="G35" i="61"/>
  <c r="F35" i="61"/>
  <c r="E35" i="61"/>
  <c r="D35" i="61"/>
  <c r="C35" i="61"/>
  <c r="B35" i="61"/>
  <c r="A35" i="61"/>
  <c r="L34" i="61"/>
  <c r="K34" i="61"/>
  <c r="J34" i="61"/>
  <c r="I34" i="61"/>
  <c r="H34" i="61"/>
  <c r="G34" i="61"/>
  <c r="F34" i="61"/>
  <c r="E34" i="61"/>
  <c r="D34" i="61"/>
  <c r="C34" i="61"/>
  <c r="B34" i="61"/>
  <c r="A34" i="61"/>
  <c r="L33" i="61"/>
  <c r="K33" i="61"/>
  <c r="J33" i="61"/>
  <c r="I33" i="61"/>
  <c r="H33" i="61"/>
  <c r="G33" i="61"/>
  <c r="F33" i="61"/>
  <c r="E33" i="61"/>
  <c r="D33" i="61"/>
  <c r="C33" i="61"/>
  <c r="B33" i="61"/>
  <c r="A33" i="61"/>
  <c r="L32" i="61"/>
  <c r="K32" i="61"/>
  <c r="J32" i="61"/>
  <c r="I32" i="61"/>
  <c r="H32" i="61"/>
  <c r="G32" i="61"/>
  <c r="F32" i="61"/>
  <c r="E32" i="61"/>
  <c r="D32" i="61"/>
  <c r="C32" i="61"/>
  <c r="B32" i="61"/>
  <c r="A32" i="61"/>
  <c r="L31" i="61"/>
  <c r="K31" i="61"/>
  <c r="J31" i="61"/>
  <c r="I31" i="61"/>
  <c r="H31" i="61"/>
  <c r="G31" i="61"/>
  <c r="F31" i="61"/>
  <c r="E31" i="61"/>
  <c r="D31" i="61"/>
  <c r="C31" i="61"/>
  <c r="B31" i="61"/>
  <c r="A31" i="61"/>
  <c r="L30" i="61"/>
  <c r="K30" i="61"/>
  <c r="J30" i="61"/>
  <c r="I30" i="61"/>
  <c r="H30" i="61"/>
  <c r="G30" i="61"/>
  <c r="F30" i="61"/>
  <c r="E30" i="61"/>
  <c r="D30" i="61"/>
  <c r="C30" i="61"/>
  <c r="B30" i="61"/>
  <c r="A30" i="61"/>
  <c r="L26" i="61"/>
  <c r="K26" i="61"/>
  <c r="J26" i="61"/>
  <c r="I26" i="61"/>
  <c r="H26" i="61"/>
  <c r="G26" i="61"/>
  <c r="F26" i="61"/>
  <c r="E26" i="61"/>
  <c r="D26" i="61"/>
  <c r="C26" i="61"/>
  <c r="B26" i="61"/>
  <c r="A26" i="61"/>
  <c r="L25" i="61"/>
  <c r="K25" i="61"/>
  <c r="J25" i="61"/>
  <c r="I25" i="61"/>
  <c r="H25" i="61"/>
  <c r="G25" i="61"/>
  <c r="F25" i="61"/>
  <c r="E25" i="61"/>
  <c r="D25" i="61"/>
  <c r="C25" i="61"/>
  <c r="B25" i="61"/>
  <c r="A25" i="61"/>
  <c r="L24" i="61"/>
  <c r="K24" i="61"/>
  <c r="J24" i="61"/>
  <c r="I24" i="61"/>
  <c r="H24" i="61"/>
  <c r="G24" i="61"/>
  <c r="F24" i="61"/>
  <c r="E24" i="61"/>
  <c r="D24" i="61"/>
  <c r="C24" i="61"/>
  <c r="B24" i="61"/>
  <c r="A24" i="61"/>
  <c r="L23" i="61"/>
  <c r="K23" i="61"/>
  <c r="J23" i="61"/>
  <c r="I23" i="61"/>
  <c r="H23" i="61"/>
  <c r="G23" i="61"/>
  <c r="F23" i="61"/>
  <c r="E23" i="61"/>
  <c r="D23" i="61"/>
  <c r="C23" i="61"/>
  <c r="B23" i="61"/>
  <c r="A23" i="61"/>
  <c r="L22" i="61"/>
  <c r="K22" i="61"/>
  <c r="J22" i="61"/>
  <c r="I22" i="61"/>
  <c r="H22" i="61"/>
  <c r="G22" i="61"/>
  <c r="F22" i="61"/>
  <c r="E22" i="61"/>
  <c r="D22" i="61"/>
  <c r="C22" i="61"/>
  <c r="B22" i="61"/>
  <c r="A22" i="61"/>
  <c r="L21" i="61"/>
  <c r="K21" i="61"/>
  <c r="J21" i="61"/>
  <c r="I21" i="61"/>
  <c r="H21" i="61"/>
  <c r="G21" i="61"/>
  <c r="F21" i="61"/>
  <c r="E21" i="61"/>
  <c r="D21" i="61"/>
  <c r="C21" i="61"/>
  <c r="B21" i="61"/>
  <c r="A21" i="61"/>
  <c r="K20" i="61"/>
  <c r="J20" i="61"/>
  <c r="I20" i="61"/>
  <c r="H20" i="61"/>
  <c r="G20" i="61"/>
  <c r="F20" i="61"/>
  <c r="E20" i="61"/>
  <c r="D20" i="61"/>
  <c r="C20" i="61"/>
  <c r="B20" i="61"/>
  <c r="A20" i="61"/>
  <c r="L20" i="61"/>
  <c r="A18" i="60"/>
  <c r="A20" i="60"/>
  <c r="A22" i="60"/>
  <c r="A23" i="60"/>
  <c r="A24" i="60"/>
  <c r="A25" i="60"/>
  <c r="A26" i="60"/>
  <c r="A30" i="60"/>
  <c r="A31" i="60"/>
  <c r="A32" i="60"/>
  <c r="A33" i="60"/>
  <c r="A34" i="60"/>
  <c r="A35" i="60"/>
  <c r="L125" i="60"/>
  <c r="K125" i="60"/>
  <c r="J125" i="60"/>
  <c r="I125" i="60"/>
  <c r="H125" i="60"/>
  <c r="G125" i="60"/>
  <c r="F125" i="60"/>
  <c r="E125" i="60"/>
  <c r="D125" i="60"/>
  <c r="C125" i="60"/>
  <c r="B125" i="60"/>
  <c r="A125" i="60"/>
  <c r="L124" i="60"/>
  <c r="K124" i="60"/>
  <c r="J124" i="60"/>
  <c r="I124" i="60"/>
  <c r="H124" i="60"/>
  <c r="G124" i="60"/>
  <c r="F124" i="60"/>
  <c r="E124" i="60"/>
  <c r="D124" i="60"/>
  <c r="C124" i="60"/>
  <c r="B124" i="60"/>
  <c r="A124" i="60"/>
  <c r="L123" i="60"/>
  <c r="K123" i="60"/>
  <c r="J123" i="60"/>
  <c r="I123" i="60"/>
  <c r="H123" i="60"/>
  <c r="G123" i="60"/>
  <c r="F123" i="60"/>
  <c r="E123" i="60"/>
  <c r="D123" i="60"/>
  <c r="C123" i="60"/>
  <c r="B123" i="60"/>
  <c r="A123" i="60"/>
  <c r="L122" i="60"/>
  <c r="K122" i="60"/>
  <c r="J122" i="60"/>
  <c r="I122" i="60"/>
  <c r="H122" i="60"/>
  <c r="G122" i="60"/>
  <c r="F122" i="60"/>
  <c r="E122" i="60"/>
  <c r="D122" i="60"/>
  <c r="C122" i="60"/>
  <c r="B122" i="60"/>
  <c r="A122" i="60"/>
  <c r="L121" i="60"/>
  <c r="K121" i="60"/>
  <c r="J121" i="60"/>
  <c r="I121" i="60"/>
  <c r="H121" i="60"/>
  <c r="G121" i="60"/>
  <c r="F121" i="60"/>
  <c r="E121" i="60"/>
  <c r="D121" i="60"/>
  <c r="C121" i="60"/>
  <c r="B121" i="60"/>
  <c r="A121" i="60"/>
  <c r="L120" i="60"/>
  <c r="K120" i="60"/>
  <c r="J120" i="60"/>
  <c r="I120" i="60"/>
  <c r="H120" i="60"/>
  <c r="G120" i="60"/>
  <c r="F120" i="60"/>
  <c r="E120" i="60"/>
  <c r="D120" i="60"/>
  <c r="C120" i="60"/>
  <c r="B120" i="60"/>
  <c r="A120" i="60"/>
  <c r="L119" i="60"/>
  <c r="K119" i="60"/>
  <c r="J119" i="60"/>
  <c r="I119" i="60"/>
  <c r="H119" i="60"/>
  <c r="G119" i="60"/>
  <c r="F119" i="60"/>
  <c r="E119" i="60"/>
  <c r="D119" i="60"/>
  <c r="C119" i="60"/>
  <c r="B119" i="60"/>
  <c r="A119" i="60"/>
  <c r="L118" i="60"/>
  <c r="K118" i="60"/>
  <c r="J118" i="60"/>
  <c r="I118" i="60"/>
  <c r="H118" i="60"/>
  <c r="G118" i="60"/>
  <c r="F118" i="60"/>
  <c r="E118" i="60"/>
  <c r="D118" i="60"/>
  <c r="C118" i="60"/>
  <c r="B118" i="60"/>
  <c r="A118" i="60"/>
  <c r="L117" i="60"/>
  <c r="K117" i="60"/>
  <c r="J117" i="60"/>
  <c r="I117" i="60"/>
  <c r="H117" i="60"/>
  <c r="G117" i="60"/>
  <c r="F117" i="60"/>
  <c r="E117" i="60"/>
  <c r="D117" i="60"/>
  <c r="C117" i="60"/>
  <c r="B117" i="60"/>
  <c r="A117" i="60"/>
  <c r="L116" i="60"/>
  <c r="K116" i="60"/>
  <c r="J116" i="60"/>
  <c r="I116" i="60"/>
  <c r="H116" i="60"/>
  <c r="G116" i="60"/>
  <c r="F116" i="60"/>
  <c r="E116" i="60"/>
  <c r="D116" i="60"/>
  <c r="C116" i="60"/>
  <c r="B116" i="60"/>
  <c r="A116" i="60"/>
  <c r="L115" i="60"/>
  <c r="K115" i="60"/>
  <c r="J115" i="60"/>
  <c r="I115" i="60"/>
  <c r="H115" i="60"/>
  <c r="G115" i="60"/>
  <c r="F115" i="60"/>
  <c r="E115" i="60"/>
  <c r="D115" i="60"/>
  <c r="C115" i="60"/>
  <c r="B115" i="60"/>
  <c r="A115" i="60"/>
  <c r="L114" i="60"/>
  <c r="K114" i="60"/>
  <c r="J114" i="60"/>
  <c r="I114" i="60"/>
  <c r="H114" i="60"/>
  <c r="G114" i="60"/>
  <c r="F114" i="60"/>
  <c r="E114" i="60"/>
  <c r="D114" i="60"/>
  <c r="C114" i="60"/>
  <c r="B114" i="60"/>
  <c r="A114" i="60"/>
  <c r="L106" i="60"/>
  <c r="K106" i="60"/>
  <c r="J106" i="60"/>
  <c r="I106" i="60"/>
  <c r="H106" i="60"/>
  <c r="G106" i="60"/>
  <c r="F106" i="60"/>
  <c r="E106" i="60"/>
  <c r="D106" i="60"/>
  <c r="C106" i="60"/>
  <c r="B106" i="60"/>
  <c r="A106" i="60"/>
  <c r="L105" i="60"/>
  <c r="K105" i="60"/>
  <c r="J105" i="60"/>
  <c r="I105" i="60"/>
  <c r="H105" i="60"/>
  <c r="G105" i="60"/>
  <c r="F105" i="60"/>
  <c r="E105" i="60"/>
  <c r="D105" i="60"/>
  <c r="C105" i="60"/>
  <c r="B105" i="60"/>
  <c r="A105" i="60"/>
  <c r="L99" i="60"/>
  <c r="K99" i="60"/>
  <c r="J99" i="60"/>
  <c r="I99" i="60"/>
  <c r="H99" i="60"/>
  <c r="G99" i="60"/>
  <c r="F99" i="60"/>
  <c r="E99" i="60"/>
  <c r="D99" i="60"/>
  <c r="C99" i="60"/>
  <c r="B99" i="60"/>
  <c r="A99" i="60"/>
  <c r="L97" i="60"/>
  <c r="K97" i="60"/>
  <c r="J97" i="60"/>
  <c r="I97" i="60"/>
  <c r="H97" i="60"/>
  <c r="G97" i="60"/>
  <c r="F97" i="60"/>
  <c r="E97" i="60"/>
  <c r="D97" i="60"/>
  <c r="C97" i="60"/>
  <c r="B97" i="60"/>
  <c r="A97" i="60"/>
  <c r="L95" i="60"/>
  <c r="K95" i="60"/>
  <c r="J95" i="60"/>
  <c r="I95" i="60"/>
  <c r="H95" i="60"/>
  <c r="G95" i="60"/>
  <c r="F95" i="60"/>
  <c r="E95" i="60"/>
  <c r="D95" i="60"/>
  <c r="C95" i="60"/>
  <c r="B95" i="60"/>
  <c r="A95" i="60"/>
  <c r="L94" i="60"/>
  <c r="K94" i="60"/>
  <c r="J94" i="60"/>
  <c r="I94" i="60"/>
  <c r="H94" i="60"/>
  <c r="G94" i="60"/>
  <c r="F94" i="60"/>
  <c r="E94" i="60"/>
  <c r="D94" i="60"/>
  <c r="C94" i="60"/>
  <c r="B94" i="60"/>
  <c r="A94" i="60"/>
  <c r="K93" i="60"/>
  <c r="J93" i="60"/>
  <c r="I93" i="60"/>
  <c r="H93" i="60"/>
  <c r="G93" i="60"/>
  <c r="F93" i="60"/>
  <c r="E93" i="60"/>
  <c r="D93" i="60"/>
  <c r="C93" i="60"/>
  <c r="B93" i="60"/>
  <c r="A93" i="60"/>
  <c r="L93" i="60"/>
  <c r="L63" i="60"/>
  <c r="K63" i="60"/>
  <c r="J63" i="60"/>
  <c r="I63" i="60"/>
  <c r="H63" i="60"/>
  <c r="G63" i="60"/>
  <c r="F63" i="60"/>
  <c r="E63" i="60"/>
  <c r="D63" i="60"/>
  <c r="C63" i="60"/>
  <c r="B63" i="60"/>
  <c r="A63" i="60"/>
  <c r="L62" i="60"/>
  <c r="K62" i="60"/>
  <c r="J62" i="60"/>
  <c r="I62" i="60"/>
  <c r="H62" i="60"/>
  <c r="G62" i="60"/>
  <c r="F62" i="60"/>
  <c r="E62" i="60"/>
  <c r="D62" i="60"/>
  <c r="C62" i="60"/>
  <c r="B62" i="60"/>
  <c r="A62" i="60"/>
  <c r="L61" i="60"/>
  <c r="K61" i="60"/>
  <c r="J61" i="60"/>
  <c r="I61" i="60"/>
  <c r="H61" i="60"/>
  <c r="G61" i="60"/>
  <c r="F61" i="60"/>
  <c r="E61" i="60"/>
  <c r="D61" i="60"/>
  <c r="C61" i="60"/>
  <c r="B61" i="60"/>
  <c r="A61" i="60"/>
  <c r="L60" i="60"/>
  <c r="K60" i="60"/>
  <c r="J60" i="60"/>
  <c r="I60" i="60"/>
  <c r="H60" i="60"/>
  <c r="G60" i="60"/>
  <c r="F60" i="60"/>
  <c r="E60" i="60"/>
  <c r="D60" i="60"/>
  <c r="C60" i="60"/>
  <c r="B60" i="60"/>
  <c r="A60" i="60"/>
  <c r="L59" i="60"/>
  <c r="K59" i="60"/>
  <c r="J59" i="60"/>
  <c r="I59" i="60"/>
  <c r="H59" i="60"/>
  <c r="G59" i="60"/>
  <c r="F59" i="60"/>
  <c r="E59" i="60"/>
  <c r="D59" i="60"/>
  <c r="C59" i="60"/>
  <c r="B59" i="60"/>
  <c r="A59" i="60"/>
  <c r="A57" i="60"/>
  <c r="O57" i="60" s="1"/>
  <c r="A56" i="60"/>
  <c r="O56" i="60" s="1"/>
  <c r="A54" i="60"/>
  <c r="O54" i="60" s="1"/>
  <c r="A51" i="60"/>
  <c r="O51" i="60" s="1"/>
  <c r="L48" i="60"/>
  <c r="K48" i="60"/>
  <c r="J48" i="60"/>
  <c r="I48" i="60"/>
  <c r="H48" i="60"/>
  <c r="G48" i="60"/>
  <c r="F48" i="60"/>
  <c r="E48" i="60"/>
  <c r="D48" i="60"/>
  <c r="C48" i="60"/>
  <c r="B48" i="60"/>
  <c r="A48" i="60"/>
  <c r="L44" i="60"/>
  <c r="K44" i="60"/>
  <c r="J44" i="60"/>
  <c r="I44" i="60"/>
  <c r="H44" i="60"/>
  <c r="G44" i="60"/>
  <c r="F44" i="60"/>
  <c r="E44" i="60"/>
  <c r="D44" i="60"/>
  <c r="C44" i="60"/>
  <c r="B44" i="60"/>
  <c r="A44" i="60"/>
  <c r="L43" i="60"/>
  <c r="K43" i="60"/>
  <c r="J43" i="60"/>
  <c r="I43" i="60"/>
  <c r="H43" i="60"/>
  <c r="G43" i="60"/>
  <c r="F43" i="60"/>
  <c r="E43" i="60"/>
  <c r="D43" i="60"/>
  <c r="C43" i="60"/>
  <c r="B43" i="60"/>
  <c r="A43" i="60"/>
  <c r="L42" i="60"/>
  <c r="K42" i="60"/>
  <c r="J42" i="60"/>
  <c r="I42" i="60"/>
  <c r="H42" i="60"/>
  <c r="G42" i="60"/>
  <c r="F42" i="60"/>
  <c r="E42" i="60"/>
  <c r="D42" i="60"/>
  <c r="C42" i="60"/>
  <c r="B42" i="60"/>
  <c r="A42" i="60"/>
  <c r="L41" i="60"/>
  <c r="K41" i="60"/>
  <c r="J41" i="60"/>
  <c r="J41" i="77" s="1"/>
  <c r="I41" i="60"/>
  <c r="H41" i="60"/>
  <c r="G41" i="60"/>
  <c r="F41" i="60"/>
  <c r="E41" i="60"/>
  <c r="D41" i="60"/>
  <c r="C41" i="60"/>
  <c r="B41" i="60"/>
  <c r="A41" i="60"/>
  <c r="L40" i="60"/>
  <c r="K40" i="60"/>
  <c r="J40" i="60"/>
  <c r="J40" i="77" s="1"/>
  <c r="I40" i="60"/>
  <c r="H40" i="60"/>
  <c r="G40" i="60"/>
  <c r="F40" i="60"/>
  <c r="E40" i="60"/>
  <c r="D40" i="60"/>
  <c r="C40" i="60"/>
  <c r="B40" i="60"/>
  <c r="A40" i="60"/>
  <c r="L39" i="60"/>
  <c r="K39" i="60"/>
  <c r="J39" i="60"/>
  <c r="I39" i="60"/>
  <c r="H39" i="60"/>
  <c r="G39" i="60"/>
  <c r="F39" i="60"/>
  <c r="E39" i="60"/>
  <c r="D39" i="60"/>
  <c r="C39" i="60"/>
  <c r="B39" i="60"/>
  <c r="A39" i="60"/>
  <c r="L38" i="60"/>
  <c r="K38" i="60"/>
  <c r="J38" i="60"/>
  <c r="J38" i="77" s="1"/>
  <c r="I38" i="60"/>
  <c r="H38" i="60"/>
  <c r="G38" i="60"/>
  <c r="F38" i="60"/>
  <c r="E38" i="60"/>
  <c r="D38" i="60"/>
  <c r="C38" i="60"/>
  <c r="B38" i="60"/>
  <c r="A38" i="60"/>
  <c r="L37" i="60"/>
  <c r="K37" i="60"/>
  <c r="J37" i="60"/>
  <c r="I37" i="60"/>
  <c r="H37" i="60"/>
  <c r="G37" i="60"/>
  <c r="F37" i="60"/>
  <c r="E37" i="60"/>
  <c r="D37" i="60"/>
  <c r="C37" i="60"/>
  <c r="B37" i="60"/>
  <c r="A37" i="60"/>
  <c r="L36" i="60"/>
  <c r="K36" i="60"/>
  <c r="J36" i="60"/>
  <c r="I36" i="60"/>
  <c r="H36" i="60"/>
  <c r="G36" i="60"/>
  <c r="F36" i="60"/>
  <c r="E36" i="60"/>
  <c r="D36" i="60"/>
  <c r="C36" i="60"/>
  <c r="B36" i="60"/>
  <c r="A36" i="60"/>
  <c r="L35" i="60"/>
  <c r="K35" i="60"/>
  <c r="J35" i="60"/>
  <c r="I35" i="60"/>
  <c r="H35" i="60"/>
  <c r="G35" i="60"/>
  <c r="F35" i="60"/>
  <c r="E35" i="60"/>
  <c r="D35" i="60"/>
  <c r="C35" i="60"/>
  <c r="B35" i="60"/>
  <c r="L34" i="60"/>
  <c r="K34" i="60"/>
  <c r="J34" i="60"/>
  <c r="I34" i="60"/>
  <c r="H34" i="60"/>
  <c r="G34" i="60"/>
  <c r="F34" i="60"/>
  <c r="E34" i="60"/>
  <c r="D34" i="60"/>
  <c r="C34" i="60"/>
  <c r="B34" i="60"/>
  <c r="L33" i="60"/>
  <c r="K33" i="60"/>
  <c r="J33" i="60"/>
  <c r="I33" i="60"/>
  <c r="H33" i="60"/>
  <c r="G33" i="60"/>
  <c r="F33" i="60"/>
  <c r="E33" i="60"/>
  <c r="D33" i="60"/>
  <c r="C33" i="60"/>
  <c r="B33" i="60"/>
  <c r="L32" i="60"/>
  <c r="K32" i="60"/>
  <c r="J32" i="60"/>
  <c r="I32" i="60"/>
  <c r="H32" i="60"/>
  <c r="G32" i="60"/>
  <c r="F32" i="60"/>
  <c r="E32" i="60"/>
  <c r="D32" i="60"/>
  <c r="C32" i="60"/>
  <c r="B32" i="60"/>
  <c r="L31" i="60"/>
  <c r="K31" i="60"/>
  <c r="J31" i="60"/>
  <c r="I31" i="60"/>
  <c r="H31" i="60"/>
  <c r="G31" i="60"/>
  <c r="F31" i="60"/>
  <c r="E31" i="60"/>
  <c r="D31" i="60"/>
  <c r="C31" i="60"/>
  <c r="B31" i="60"/>
  <c r="K30" i="60"/>
  <c r="J30" i="60"/>
  <c r="I30" i="60"/>
  <c r="H30" i="60"/>
  <c r="G30" i="60"/>
  <c r="F30" i="60"/>
  <c r="E30" i="60"/>
  <c r="D30" i="60"/>
  <c r="C30" i="60"/>
  <c r="B30" i="60"/>
  <c r="L30" i="60"/>
  <c r="L26" i="60"/>
  <c r="K26" i="60"/>
  <c r="J26" i="60"/>
  <c r="I26" i="60"/>
  <c r="H26" i="60"/>
  <c r="G26" i="60"/>
  <c r="F26" i="60"/>
  <c r="E26" i="60"/>
  <c r="D26" i="60"/>
  <c r="C26" i="60"/>
  <c r="B26" i="60"/>
  <c r="L25" i="60"/>
  <c r="K25" i="60"/>
  <c r="J25" i="60"/>
  <c r="I25" i="60"/>
  <c r="H25" i="60"/>
  <c r="G25" i="60"/>
  <c r="F25" i="60"/>
  <c r="E25" i="60"/>
  <c r="D25" i="60"/>
  <c r="C25" i="60"/>
  <c r="B25" i="60"/>
  <c r="L24" i="60"/>
  <c r="K24" i="60"/>
  <c r="J24" i="60"/>
  <c r="I24" i="60"/>
  <c r="H24" i="60"/>
  <c r="G24" i="60"/>
  <c r="F24" i="60"/>
  <c r="E24" i="60"/>
  <c r="D24" i="60"/>
  <c r="C24" i="60"/>
  <c r="B24" i="60"/>
  <c r="L23" i="60"/>
  <c r="K23" i="60"/>
  <c r="J23" i="60"/>
  <c r="I23" i="60"/>
  <c r="H23" i="60"/>
  <c r="G23" i="60"/>
  <c r="F23" i="60"/>
  <c r="E23" i="60"/>
  <c r="D23" i="60"/>
  <c r="C23" i="60"/>
  <c r="B23" i="60"/>
  <c r="L22" i="60"/>
  <c r="K22" i="60"/>
  <c r="J22" i="60"/>
  <c r="I22" i="60"/>
  <c r="H22" i="60"/>
  <c r="G22" i="60"/>
  <c r="F22" i="60"/>
  <c r="E22" i="60"/>
  <c r="D22" i="60"/>
  <c r="C22" i="60"/>
  <c r="B22" i="60"/>
  <c r="K20" i="60"/>
  <c r="J20" i="60"/>
  <c r="I20" i="60"/>
  <c r="H20" i="60"/>
  <c r="G20" i="60"/>
  <c r="F20" i="60"/>
  <c r="E20" i="60"/>
  <c r="D20" i="60"/>
  <c r="C20" i="60"/>
  <c r="B20" i="60"/>
  <c r="L20" i="60"/>
  <c r="L125" i="59"/>
  <c r="K125" i="59"/>
  <c r="J125" i="59"/>
  <c r="I125" i="59"/>
  <c r="H125" i="59"/>
  <c r="G125" i="59"/>
  <c r="F125" i="59"/>
  <c r="E125" i="59"/>
  <c r="D125" i="59"/>
  <c r="C125" i="59"/>
  <c r="B125" i="59"/>
  <c r="A125" i="59"/>
  <c r="L124" i="59"/>
  <c r="K124" i="59"/>
  <c r="J124" i="59"/>
  <c r="I124" i="59"/>
  <c r="H124" i="59"/>
  <c r="G124" i="59"/>
  <c r="F124" i="59"/>
  <c r="E124" i="59"/>
  <c r="D124" i="59"/>
  <c r="C124" i="59"/>
  <c r="B124" i="59"/>
  <c r="A124" i="59"/>
  <c r="L121" i="59"/>
  <c r="K121" i="59"/>
  <c r="J121" i="59"/>
  <c r="I121" i="59"/>
  <c r="H121" i="59"/>
  <c r="G121" i="59"/>
  <c r="F121" i="59"/>
  <c r="E121" i="59"/>
  <c r="D121" i="59"/>
  <c r="C121" i="59"/>
  <c r="B121" i="59"/>
  <c r="A121" i="59"/>
  <c r="L120" i="59"/>
  <c r="K120" i="59"/>
  <c r="J120" i="59"/>
  <c r="I120" i="59"/>
  <c r="H120" i="59"/>
  <c r="G120" i="59"/>
  <c r="F120" i="59"/>
  <c r="E120" i="59"/>
  <c r="D120" i="59"/>
  <c r="C120" i="59"/>
  <c r="B120" i="59"/>
  <c r="A120" i="59"/>
  <c r="L119" i="59"/>
  <c r="K119" i="59"/>
  <c r="J119" i="59"/>
  <c r="I119" i="59"/>
  <c r="H119" i="59"/>
  <c r="G119" i="59"/>
  <c r="F119" i="59"/>
  <c r="E119" i="59"/>
  <c r="D119" i="59"/>
  <c r="C119" i="59"/>
  <c r="B119" i="59"/>
  <c r="A119" i="59"/>
  <c r="L118" i="59"/>
  <c r="K118" i="59"/>
  <c r="J118" i="59"/>
  <c r="I118" i="59"/>
  <c r="H118" i="59"/>
  <c r="G118" i="59"/>
  <c r="F118" i="59"/>
  <c r="E118" i="59"/>
  <c r="D118" i="59"/>
  <c r="C118" i="59"/>
  <c r="B118" i="59"/>
  <c r="A118" i="59"/>
  <c r="L117" i="59"/>
  <c r="K117" i="59"/>
  <c r="J117" i="59"/>
  <c r="I117" i="59"/>
  <c r="H117" i="59"/>
  <c r="G117" i="59"/>
  <c r="F117" i="59"/>
  <c r="E117" i="59"/>
  <c r="D117" i="59"/>
  <c r="C117" i="59"/>
  <c r="B117" i="59"/>
  <c r="A117" i="59"/>
  <c r="L116" i="59"/>
  <c r="K116" i="59"/>
  <c r="J116" i="59"/>
  <c r="I116" i="59"/>
  <c r="H116" i="59"/>
  <c r="G116" i="59"/>
  <c r="F116" i="59"/>
  <c r="E116" i="59"/>
  <c r="D116" i="59"/>
  <c r="C116" i="59"/>
  <c r="B116" i="59"/>
  <c r="A116" i="59"/>
  <c r="L115" i="59"/>
  <c r="K115" i="59"/>
  <c r="J115" i="59"/>
  <c r="I115" i="59"/>
  <c r="H115" i="59"/>
  <c r="G115" i="59"/>
  <c r="F115" i="59"/>
  <c r="E115" i="59"/>
  <c r="D115" i="59"/>
  <c r="C115" i="59"/>
  <c r="B115" i="59"/>
  <c r="A115" i="59"/>
  <c r="L114" i="59"/>
  <c r="K114" i="59"/>
  <c r="J114" i="59"/>
  <c r="I114" i="59"/>
  <c r="H114" i="59"/>
  <c r="G114" i="59"/>
  <c r="F114" i="59"/>
  <c r="E114" i="59"/>
  <c r="D114" i="59"/>
  <c r="C114" i="59"/>
  <c r="B114" i="59"/>
  <c r="A114" i="59"/>
  <c r="A105" i="59"/>
  <c r="J104" i="77"/>
  <c r="L95" i="59"/>
  <c r="K95" i="59"/>
  <c r="J95" i="59"/>
  <c r="I95" i="59"/>
  <c r="H95" i="59"/>
  <c r="G95" i="59"/>
  <c r="F95" i="59"/>
  <c r="E95" i="59"/>
  <c r="D95" i="59"/>
  <c r="C95" i="59"/>
  <c r="B95" i="59"/>
  <c r="A95" i="59"/>
  <c r="L89" i="59"/>
  <c r="K89" i="59"/>
  <c r="J89" i="59"/>
  <c r="I89" i="59"/>
  <c r="H89" i="59"/>
  <c r="G89" i="59"/>
  <c r="F89" i="59"/>
  <c r="E89" i="59"/>
  <c r="D89" i="59"/>
  <c r="C89" i="59"/>
  <c r="B89" i="59"/>
  <c r="A89" i="59"/>
  <c r="L88" i="59"/>
  <c r="K88" i="59"/>
  <c r="J88" i="59"/>
  <c r="I88" i="59"/>
  <c r="H88" i="59"/>
  <c r="G88" i="59"/>
  <c r="F88" i="59"/>
  <c r="E88" i="59"/>
  <c r="D88" i="59"/>
  <c r="C88" i="59"/>
  <c r="B88" i="59"/>
  <c r="A88" i="59"/>
  <c r="L87" i="59"/>
  <c r="K87" i="59"/>
  <c r="J87" i="59"/>
  <c r="I87" i="59"/>
  <c r="H87" i="59"/>
  <c r="G87" i="59"/>
  <c r="F87" i="59"/>
  <c r="E87" i="59"/>
  <c r="D87" i="59"/>
  <c r="C87" i="59"/>
  <c r="B87" i="59"/>
  <c r="A87" i="59"/>
  <c r="L86" i="59"/>
  <c r="K86" i="59"/>
  <c r="J86" i="59"/>
  <c r="I86" i="59"/>
  <c r="H86" i="59"/>
  <c r="G86" i="59"/>
  <c r="F86" i="59"/>
  <c r="E86" i="59"/>
  <c r="D86" i="59"/>
  <c r="C86" i="59"/>
  <c r="B86" i="59"/>
  <c r="A86" i="59"/>
  <c r="L85" i="59"/>
  <c r="K85" i="59"/>
  <c r="J85" i="59"/>
  <c r="I85" i="59"/>
  <c r="H85" i="59"/>
  <c r="G85" i="59"/>
  <c r="F85" i="59"/>
  <c r="E85" i="59"/>
  <c r="D85" i="59"/>
  <c r="C85" i="59"/>
  <c r="B85" i="59"/>
  <c r="A85" i="59"/>
  <c r="L84" i="59"/>
  <c r="K84" i="59"/>
  <c r="J84" i="59"/>
  <c r="I84" i="59"/>
  <c r="H84" i="59"/>
  <c r="G84" i="59"/>
  <c r="F84" i="59"/>
  <c r="E84" i="59"/>
  <c r="D84" i="59"/>
  <c r="C84" i="59"/>
  <c r="B84" i="59"/>
  <c r="A84" i="59"/>
  <c r="L83" i="59"/>
  <c r="K83" i="59"/>
  <c r="J83" i="59"/>
  <c r="I83" i="59"/>
  <c r="H83" i="59"/>
  <c r="G83" i="59"/>
  <c r="F83" i="59"/>
  <c r="E83" i="59"/>
  <c r="D83" i="59"/>
  <c r="C83" i="59"/>
  <c r="B83" i="59"/>
  <c r="A83" i="59"/>
  <c r="L82" i="59"/>
  <c r="K82" i="59"/>
  <c r="J82" i="59"/>
  <c r="I82" i="59"/>
  <c r="H82" i="59"/>
  <c r="G82" i="59"/>
  <c r="F82" i="59"/>
  <c r="E82" i="59"/>
  <c r="D82" i="59"/>
  <c r="C82" i="59"/>
  <c r="B82" i="59"/>
  <c r="A82" i="59"/>
  <c r="L80" i="59"/>
  <c r="K80" i="59"/>
  <c r="J80" i="59"/>
  <c r="I80" i="59"/>
  <c r="H80" i="59"/>
  <c r="G80" i="59"/>
  <c r="F80" i="59"/>
  <c r="E80" i="59"/>
  <c r="D80" i="59"/>
  <c r="C80" i="59"/>
  <c r="B80" i="59"/>
  <c r="A80" i="59"/>
  <c r="L79" i="59"/>
  <c r="K79" i="59"/>
  <c r="J79" i="59"/>
  <c r="I79" i="59"/>
  <c r="H79" i="59"/>
  <c r="G79" i="59"/>
  <c r="F79" i="59"/>
  <c r="E79" i="59"/>
  <c r="D79" i="59"/>
  <c r="C79" i="59"/>
  <c r="B79" i="59"/>
  <c r="A79" i="59"/>
  <c r="L78" i="59"/>
  <c r="K78" i="59"/>
  <c r="J78" i="59"/>
  <c r="I78" i="59"/>
  <c r="H78" i="59"/>
  <c r="G78" i="59"/>
  <c r="F78" i="59"/>
  <c r="E78" i="59"/>
  <c r="D78" i="59"/>
  <c r="C78" i="59"/>
  <c r="B78" i="59"/>
  <c r="A78" i="59"/>
  <c r="L77" i="59"/>
  <c r="K77" i="59"/>
  <c r="J77" i="59"/>
  <c r="I77" i="59"/>
  <c r="H77" i="59"/>
  <c r="G77" i="59"/>
  <c r="F77" i="59"/>
  <c r="E77" i="59"/>
  <c r="D77" i="59"/>
  <c r="C77" i="59"/>
  <c r="B77" i="59"/>
  <c r="A77" i="59"/>
  <c r="L76" i="59"/>
  <c r="K76" i="59"/>
  <c r="J76" i="59"/>
  <c r="I76" i="59"/>
  <c r="H76" i="59"/>
  <c r="G76" i="59"/>
  <c r="F76" i="59"/>
  <c r="E76" i="59"/>
  <c r="D76" i="59"/>
  <c r="C76" i="59"/>
  <c r="B76" i="59"/>
  <c r="A76" i="59"/>
  <c r="L75" i="59"/>
  <c r="K75" i="59"/>
  <c r="J75" i="59"/>
  <c r="I75" i="59"/>
  <c r="H75" i="59"/>
  <c r="G75" i="59"/>
  <c r="F75" i="59"/>
  <c r="E75" i="59"/>
  <c r="D75" i="59"/>
  <c r="C75" i="59"/>
  <c r="B75" i="59"/>
  <c r="A75" i="59"/>
  <c r="L74" i="59"/>
  <c r="K74" i="59"/>
  <c r="J74" i="59"/>
  <c r="I74" i="59"/>
  <c r="H74" i="59"/>
  <c r="G74" i="59"/>
  <c r="F74" i="59"/>
  <c r="E74" i="59"/>
  <c r="D74" i="59"/>
  <c r="C74" i="59"/>
  <c r="B74" i="59"/>
  <c r="A74" i="59"/>
  <c r="L73" i="59"/>
  <c r="K73" i="59"/>
  <c r="J73" i="59"/>
  <c r="I73" i="59"/>
  <c r="H73" i="59"/>
  <c r="G73" i="59"/>
  <c r="F73" i="59"/>
  <c r="E73" i="59"/>
  <c r="D73" i="59"/>
  <c r="C73" i="59"/>
  <c r="B73" i="59"/>
  <c r="A73" i="59"/>
  <c r="L72" i="59"/>
  <c r="K72" i="59"/>
  <c r="J72" i="59"/>
  <c r="I72" i="59"/>
  <c r="H72" i="59"/>
  <c r="G72" i="59"/>
  <c r="F72" i="59"/>
  <c r="E72" i="59"/>
  <c r="D72" i="59"/>
  <c r="C72" i="59"/>
  <c r="B72" i="59"/>
  <c r="A72" i="59"/>
  <c r="L71" i="59"/>
  <c r="K71" i="59"/>
  <c r="J71" i="59"/>
  <c r="I71" i="59"/>
  <c r="H71" i="59"/>
  <c r="G71" i="59"/>
  <c r="F71" i="59"/>
  <c r="E71" i="59"/>
  <c r="D71" i="59"/>
  <c r="C71" i="59"/>
  <c r="B71" i="59"/>
  <c r="A71" i="59"/>
  <c r="L70" i="59"/>
  <c r="K70" i="59"/>
  <c r="J70" i="59"/>
  <c r="I70" i="59"/>
  <c r="H70" i="59"/>
  <c r="G70" i="59"/>
  <c r="F70" i="59"/>
  <c r="E70" i="59"/>
  <c r="D70" i="59"/>
  <c r="C70" i="59"/>
  <c r="B70" i="59"/>
  <c r="A70" i="59"/>
  <c r="J69" i="77"/>
  <c r="J68" i="77"/>
  <c r="L67" i="59"/>
  <c r="K67" i="59"/>
  <c r="J67" i="59"/>
  <c r="I67" i="59"/>
  <c r="H67" i="59"/>
  <c r="G67" i="59"/>
  <c r="F67" i="59"/>
  <c r="E67" i="59"/>
  <c r="D67" i="59"/>
  <c r="C67" i="59"/>
  <c r="B67" i="59"/>
  <c r="A67" i="59"/>
  <c r="L63" i="59"/>
  <c r="K63" i="59"/>
  <c r="J63" i="59"/>
  <c r="I63" i="59"/>
  <c r="H63" i="59"/>
  <c r="G63" i="59"/>
  <c r="F63" i="59"/>
  <c r="E63" i="59"/>
  <c r="D63" i="59"/>
  <c r="C63" i="59"/>
  <c r="B63" i="59"/>
  <c r="A63" i="59"/>
  <c r="L62" i="59"/>
  <c r="K62" i="59"/>
  <c r="J62" i="59"/>
  <c r="I62" i="59"/>
  <c r="H62" i="59"/>
  <c r="G62" i="59"/>
  <c r="F62" i="59"/>
  <c r="E62" i="59"/>
  <c r="D62" i="59"/>
  <c r="C62" i="59"/>
  <c r="B62" i="59"/>
  <c r="A62" i="59"/>
  <c r="L61" i="59"/>
  <c r="K61" i="59"/>
  <c r="J61" i="59"/>
  <c r="I61" i="59"/>
  <c r="H61" i="59"/>
  <c r="G61" i="59"/>
  <c r="F61" i="59"/>
  <c r="E61" i="59"/>
  <c r="D61" i="59"/>
  <c r="C61" i="59"/>
  <c r="B61" i="59"/>
  <c r="A61" i="59"/>
  <c r="L60" i="59"/>
  <c r="K60" i="59"/>
  <c r="J60" i="59"/>
  <c r="I60" i="59"/>
  <c r="H60" i="59"/>
  <c r="G60" i="59"/>
  <c r="F60" i="59"/>
  <c r="E60" i="59"/>
  <c r="D60" i="59"/>
  <c r="C60" i="59"/>
  <c r="B60" i="59"/>
  <c r="A60" i="59"/>
  <c r="L59" i="59"/>
  <c r="K59" i="59"/>
  <c r="J59" i="59"/>
  <c r="I59" i="59"/>
  <c r="H59" i="59"/>
  <c r="G59" i="59"/>
  <c r="F59" i="59"/>
  <c r="E59" i="59"/>
  <c r="D59" i="59"/>
  <c r="C59" i="59"/>
  <c r="B59" i="59"/>
  <c r="A59" i="59"/>
  <c r="J58" i="77"/>
  <c r="A57" i="59"/>
  <c r="O57" i="59" s="1"/>
  <c r="P57" i="59" s="1"/>
  <c r="A56" i="59"/>
  <c r="O56" i="59" s="1"/>
  <c r="P56" i="59" s="1"/>
  <c r="J55" i="77"/>
  <c r="A54" i="59"/>
  <c r="O54" i="59" s="1"/>
  <c r="P54" i="59" s="1"/>
  <c r="J53" i="77"/>
  <c r="A51" i="59"/>
  <c r="O51" i="59" s="1"/>
  <c r="P51" i="59" s="1"/>
  <c r="J50" i="77"/>
  <c r="L49" i="77"/>
  <c r="K49" i="77"/>
  <c r="J49" i="77"/>
  <c r="I49" i="77"/>
  <c r="H49" i="77"/>
  <c r="G49" i="77"/>
  <c r="F49" i="77"/>
  <c r="E49" i="77"/>
  <c r="D49" i="77"/>
  <c r="C49" i="77"/>
  <c r="B49" i="77"/>
  <c r="A49" i="77"/>
  <c r="L48" i="59"/>
  <c r="K48" i="59"/>
  <c r="J48" i="59"/>
  <c r="I48" i="59"/>
  <c r="H48" i="59"/>
  <c r="G48" i="59"/>
  <c r="F48" i="59"/>
  <c r="E48" i="59"/>
  <c r="D48" i="59"/>
  <c r="C48" i="59"/>
  <c r="B48" i="59"/>
  <c r="A48" i="59"/>
  <c r="L44" i="59"/>
  <c r="K44" i="59"/>
  <c r="J44" i="59"/>
  <c r="I44" i="59"/>
  <c r="H44" i="59"/>
  <c r="G44" i="59"/>
  <c r="F44" i="59"/>
  <c r="E44" i="59"/>
  <c r="D44" i="59"/>
  <c r="C44" i="59"/>
  <c r="B44" i="59"/>
  <c r="A44" i="59"/>
  <c r="L43" i="59"/>
  <c r="K43" i="59"/>
  <c r="J43" i="59"/>
  <c r="I43" i="59"/>
  <c r="H43" i="59"/>
  <c r="G43" i="59"/>
  <c r="F43" i="59"/>
  <c r="E43" i="59"/>
  <c r="D43" i="59"/>
  <c r="C43" i="59"/>
  <c r="B43" i="59"/>
  <c r="A43" i="59"/>
  <c r="L42" i="59"/>
  <c r="K42" i="59"/>
  <c r="J42" i="59"/>
  <c r="I42" i="59"/>
  <c r="H42" i="59"/>
  <c r="G42" i="59"/>
  <c r="F42" i="59"/>
  <c r="E42" i="59"/>
  <c r="D42" i="59"/>
  <c r="C42" i="59"/>
  <c r="B42" i="59"/>
  <c r="A42" i="59"/>
  <c r="J39" i="77"/>
  <c r="L36" i="59"/>
  <c r="K36" i="59"/>
  <c r="J36" i="59"/>
  <c r="I36" i="59"/>
  <c r="H36" i="59"/>
  <c r="G36" i="59"/>
  <c r="F36" i="59"/>
  <c r="E36" i="59"/>
  <c r="D36" i="59"/>
  <c r="C36" i="59"/>
  <c r="B36" i="59"/>
  <c r="A36" i="59"/>
  <c r="L35" i="59"/>
  <c r="K35" i="59"/>
  <c r="J35" i="59"/>
  <c r="I35" i="59"/>
  <c r="H35" i="59"/>
  <c r="G35" i="59"/>
  <c r="F35" i="59"/>
  <c r="E35" i="59"/>
  <c r="D35" i="59"/>
  <c r="C35" i="59"/>
  <c r="B35" i="59"/>
  <c r="A35" i="59"/>
  <c r="J34" i="77"/>
  <c r="L33" i="59"/>
  <c r="K33" i="59"/>
  <c r="J33" i="59"/>
  <c r="I33" i="59"/>
  <c r="H33" i="59"/>
  <c r="G33" i="59"/>
  <c r="F33" i="59"/>
  <c r="E33" i="59"/>
  <c r="D33" i="59"/>
  <c r="C33" i="59"/>
  <c r="B33" i="59"/>
  <c r="A33" i="59"/>
  <c r="L32" i="59"/>
  <c r="K32" i="59"/>
  <c r="J32" i="59"/>
  <c r="I32" i="59"/>
  <c r="H32" i="59"/>
  <c r="G32" i="59"/>
  <c r="F32" i="59"/>
  <c r="E32" i="59"/>
  <c r="D32" i="59"/>
  <c r="C32" i="59"/>
  <c r="B32" i="59"/>
  <c r="A32" i="59"/>
  <c r="L26" i="59"/>
  <c r="K26" i="59"/>
  <c r="J26" i="59"/>
  <c r="I26" i="59"/>
  <c r="H26" i="59"/>
  <c r="G26" i="59"/>
  <c r="F26" i="59"/>
  <c r="E26" i="59"/>
  <c r="D26" i="59"/>
  <c r="C26" i="59"/>
  <c r="B26" i="59"/>
  <c r="A26" i="59"/>
  <c r="L25" i="59"/>
  <c r="K25" i="59"/>
  <c r="J25" i="59"/>
  <c r="I25" i="59"/>
  <c r="H25" i="59"/>
  <c r="G25" i="59"/>
  <c r="F25" i="59"/>
  <c r="E25" i="59"/>
  <c r="D25" i="59"/>
  <c r="C25" i="59"/>
  <c r="B25" i="59"/>
  <c r="A25" i="59"/>
  <c r="L24" i="59"/>
  <c r="K24" i="59"/>
  <c r="J24" i="59"/>
  <c r="I24" i="59"/>
  <c r="H24" i="59"/>
  <c r="G24" i="59"/>
  <c r="F24" i="59"/>
  <c r="E24" i="59"/>
  <c r="D24" i="59"/>
  <c r="C24" i="59"/>
  <c r="B24" i="59"/>
  <c r="A24" i="59"/>
  <c r="L23" i="59"/>
  <c r="K23" i="59"/>
  <c r="J23" i="59"/>
  <c r="I23" i="59"/>
  <c r="H23" i="59"/>
  <c r="G23" i="59"/>
  <c r="F23" i="59"/>
  <c r="E23" i="59"/>
  <c r="D23" i="59"/>
  <c r="C23" i="59"/>
  <c r="B23" i="59"/>
  <c r="A23" i="59"/>
  <c r="L22" i="59"/>
  <c r="K22" i="59"/>
  <c r="J22" i="59"/>
  <c r="I22" i="59"/>
  <c r="H22" i="59"/>
  <c r="G22" i="59"/>
  <c r="F22" i="59"/>
  <c r="E22" i="59"/>
  <c r="D22" i="59"/>
  <c r="C22" i="59"/>
  <c r="B22" i="59"/>
  <c r="A22" i="59"/>
  <c r="L21" i="59"/>
  <c r="K21" i="59"/>
  <c r="J21" i="59"/>
  <c r="I21" i="59"/>
  <c r="H21" i="59"/>
  <c r="G21" i="59"/>
  <c r="F21" i="59"/>
  <c r="E21" i="59"/>
  <c r="D21" i="59"/>
  <c r="C21" i="59"/>
  <c r="B21" i="59"/>
  <c r="A21" i="59"/>
  <c r="K20" i="59"/>
  <c r="J20" i="59"/>
  <c r="I20" i="59"/>
  <c r="H20" i="59"/>
  <c r="G20" i="59"/>
  <c r="F20" i="59"/>
  <c r="E20" i="59"/>
  <c r="D20" i="59"/>
  <c r="C20" i="59"/>
  <c r="B20" i="59"/>
  <c r="A20" i="59"/>
  <c r="L20" i="59"/>
  <c r="L124" i="58"/>
  <c r="K124" i="58"/>
  <c r="J124" i="58"/>
  <c r="I124" i="58"/>
  <c r="H124" i="58"/>
  <c r="G124" i="58"/>
  <c r="F124" i="58"/>
  <c r="E124" i="58"/>
  <c r="D124" i="58"/>
  <c r="C124" i="58"/>
  <c r="B124" i="58"/>
  <c r="A124" i="58"/>
  <c r="L123" i="58"/>
  <c r="K123" i="58"/>
  <c r="J123" i="58"/>
  <c r="I123" i="58"/>
  <c r="H123" i="58"/>
  <c r="G123" i="58"/>
  <c r="F123" i="58"/>
  <c r="E123" i="58"/>
  <c r="D123" i="58"/>
  <c r="C123" i="58"/>
  <c r="B123" i="58"/>
  <c r="A123" i="58"/>
  <c r="L122" i="58"/>
  <c r="K122" i="58"/>
  <c r="J122" i="58"/>
  <c r="I122" i="58"/>
  <c r="H122" i="58"/>
  <c r="G122" i="58"/>
  <c r="F122" i="58"/>
  <c r="E122" i="58"/>
  <c r="D122" i="58"/>
  <c r="C122" i="58"/>
  <c r="B122" i="58"/>
  <c r="A122" i="58"/>
  <c r="L121" i="58"/>
  <c r="K121" i="58"/>
  <c r="J121" i="58"/>
  <c r="I121" i="58"/>
  <c r="H121" i="58"/>
  <c r="G121" i="58"/>
  <c r="F121" i="58"/>
  <c r="E121" i="58"/>
  <c r="D121" i="58"/>
  <c r="C121" i="58"/>
  <c r="B121" i="58"/>
  <c r="A121" i="58"/>
  <c r="L120" i="58"/>
  <c r="K120" i="58"/>
  <c r="J120" i="58"/>
  <c r="I120" i="58"/>
  <c r="H120" i="58"/>
  <c r="G120" i="58"/>
  <c r="F120" i="58"/>
  <c r="E120" i="58"/>
  <c r="D120" i="58"/>
  <c r="C120" i="58"/>
  <c r="B120" i="58"/>
  <c r="A120" i="58"/>
  <c r="L118" i="58"/>
  <c r="K118" i="58"/>
  <c r="J118" i="58"/>
  <c r="I118" i="58"/>
  <c r="H118" i="58"/>
  <c r="G118" i="58"/>
  <c r="F118" i="58"/>
  <c r="E118" i="58"/>
  <c r="D118" i="58"/>
  <c r="C118" i="58"/>
  <c r="B118" i="58"/>
  <c r="A118" i="58"/>
  <c r="L117" i="58"/>
  <c r="K117" i="58"/>
  <c r="J117" i="58"/>
  <c r="I117" i="58"/>
  <c r="H117" i="58"/>
  <c r="G117" i="58"/>
  <c r="F117" i="58"/>
  <c r="E117" i="58"/>
  <c r="D117" i="58"/>
  <c r="C117" i="58"/>
  <c r="B117" i="58"/>
  <c r="A117" i="58"/>
  <c r="L116" i="58"/>
  <c r="K116" i="58"/>
  <c r="J116" i="58"/>
  <c r="I116" i="58"/>
  <c r="H116" i="58"/>
  <c r="G116" i="58"/>
  <c r="F116" i="58"/>
  <c r="E116" i="58"/>
  <c r="D116" i="58"/>
  <c r="C116" i="58"/>
  <c r="B116" i="58"/>
  <c r="A116" i="58"/>
  <c r="L114" i="58"/>
  <c r="K114" i="58"/>
  <c r="J114" i="58"/>
  <c r="I114" i="58"/>
  <c r="H114" i="58"/>
  <c r="G114" i="58"/>
  <c r="F114" i="58"/>
  <c r="E114" i="58"/>
  <c r="D114" i="58"/>
  <c r="C114" i="58"/>
  <c r="B114" i="58"/>
  <c r="A114" i="58"/>
  <c r="L106" i="58"/>
  <c r="K106" i="58"/>
  <c r="J106" i="58"/>
  <c r="I106" i="58"/>
  <c r="H106" i="58"/>
  <c r="G106" i="58"/>
  <c r="F106" i="58"/>
  <c r="E106" i="58"/>
  <c r="D106" i="58"/>
  <c r="C106" i="58"/>
  <c r="B106" i="58"/>
  <c r="A106" i="58"/>
  <c r="L100" i="58"/>
  <c r="K100" i="58"/>
  <c r="J100" i="58"/>
  <c r="I100" i="58"/>
  <c r="H100" i="58"/>
  <c r="G100" i="58"/>
  <c r="F100" i="58"/>
  <c r="E100" i="58"/>
  <c r="D100" i="58"/>
  <c r="C100" i="58"/>
  <c r="B100" i="58"/>
  <c r="A100" i="58"/>
  <c r="L99" i="58"/>
  <c r="K99" i="58"/>
  <c r="J99" i="58"/>
  <c r="I99" i="58"/>
  <c r="H99" i="58"/>
  <c r="G99" i="58"/>
  <c r="F99" i="58"/>
  <c r="E99" i="58"/>
  <c r="D99" i="58"/>
  <c r="C99" i="58"/>
  <c r="B99" i="58"/>
  <c r="A99" i="58"/>
  <c r="L98" i="58"/>
  <c r="K98" i="58"/>
  <c r="J98" i="58"/>
  <c r="I98" i="58"/>
  <c r="H98" i="58"/>
  <c r="G98" i="58"/>
  <c r="F98" i="58"/>
  <c r="E98" i="58"/>
  <c r="D98" i="58"/>
  <c r="C98" i="58"/>
  <c r="B98" i="58"/>
  <c r="A98" i="58"/>
  <c r="L97" i="58"/>
  <c r="K97" i="58"/>
  <c r="J97" i="58"/>
  <c r="I97" i="58"/>
  <c r="H97" i="58"/>
  <c r="G97" i="58"/>
  <c r="F97" i="58"/>
  <c r="E97" i="58"/>
  <c r="D97" i="58"/>
  <c r="C97" i="58"/>
  <c r="B97" i="58"/>
  <c r="A97" i="58"/>
  <c r="L95" i="58"/>
  <c r="K95" i="58"/>
  <c r="J95" i="58"/>
  <c r="I95" i="58"/>
  <c r="H95" i="58"/>
  <c r="G95" i="58"/>
  <c r="F95" i="58"/>
  <c r="E95" i="58"/>
  <c r="D95" i="58"/>
  <c r="C95" i="58"/>
  <c r="B95" i="58"/>
  <c r="A95" i="58"/>
  <c r="L94" i="58"/>
  <c r="K94" i="58"/>
  <c r="J94" i="58"/>
  <c r="I94" i="58"/>
  <c r="H94" i="58"/>
  <c r="G94" i="58"/>
  <c r="F94" i="58"/>
  <c r="E94" i="58"/>
  <c r="D94" i="58"/>
  <c r="C94" i="58"/>
  <c r="B94" i="58"/>
  <c r="A94" i="58"/>
  <c r="A44" i="58"/>
  <c r="O44" i="58" s="1"/>
  <c r="O46" i="58" s="1"/>
  <c r="L26" i="58"/>
  <c r="K26" i="58"/>
  <c r="J26" i="58"/>
  <c r="I26" i="58"/>
  <c r="H26" i="58"/>
  <c r="G26" i="58"/>
  <c r="F26" i="58"/>
  <c r="E26" i="58"/>
  <c r="D26" i="58"/>
  <c r="C26" i="58"/>
  <c r="B26" i="58"/>
  <c r="A26" i="58"/>
  <c r="L125" i="57"/>
  <c r="K125" i="57"/>
  <c r="J125" i="57"/>
  <c r="I125" i="57"/>
  <c r="H125" i="57"/>
  <c r="G125" i="57"/>
  <c r="F125" i="57"/>
  <c r="E125" i="57"/>
  <c r="D125" i="57"/>
  <c r="C125" i="57"/>
  <c r="B125" i="57"/>
  <c r="A125" i="57"/>
  <c r="L124" i="57"/>
  <c r="K124" i="57"/>
  <c r="J124" i="57"/>
  <c r="I124" i="57"/>
  <c r="H124" i="57"/>
  <c r="G124" i="57"/>
  <c r="F124" i="57"/>
  <c r="E124" i="57"/>
  <c r="D124" i="57"/>
  <c r="C124" i="57"/>
  <c r="B124" i="57"/>
  <c r="A124" i="57"/>
  <c r="O124" i="57" s="1"/>
  <c r="L123" i="57"/>
  <c r="K123" i="57"/>
  <c r="J123" i="57"/>
  <c r="I123" i="57"/>
  <c r="H123" i="57"/>
  <c r="G123" i="57"/>
  <c r="F123" i="57"/>
  <c r="E123" i="57"/>
  <c r="D123" i="57"/>
  <c r="C123" i="57"/>
  <c r="B123" i="57"/>
  <c r="A123" i="57"/>
  <c r="L122" i="57"/>
  <c r="K122" i="57"/>
  <c r="J122" i="57"/>
  <c r="I122" i="57"/>
  <c r="H122" i="57"/>
  <c r="G122" i="57"/>
  <c r="F122" i="57"/>
  <c r="E122" i="57"/>
  <c r="D122" i="57"/>
  <c r="C122" i="57"/>
  <c r="B122" i="57"/>
  <c r="A122" i="57"/>
  <c r="O122" i="57" s="1"/>
  <c r="L121" i="57"/>
  <c r="K121" i="57"/>
  <c r="J121" i="57"/>
  <c r="I121" i="57"/>
  <c r="H121" i="57"/>
  <c r="G121" i="57"/>
  <c r="F121" i="57"/>
  <c r="E121" i="57"/>
  <c r="D121" i="57"/>
  <c r="C121" i="57"/>
  <c r="B121" i="57"/>
  <c r="A121" i="57"/>
  <c r="L120" i="57"/>
  <c r="K120" i="57"/>
  <c r="J120" i="57"/>
  <c r="I120" i="57"/>
  <c r="H120" i="57"/>
  <c r="G120" i="57"/>
  <c r="F120" i="57"/>
  <c r="E120" i="57"/>
  <c r="D120" i="57"/>
  <c r="C120" i="57"/>
  <c r="B120" i="57"/>
  <c r="A120" i="57"/>
  <c r="O120" i="57" s="1"/>
  <c r="L119" i="57"/>
  <c r="K119" i="57"/>
  <c r="J119" i="57"/>
  <c r="I119" i="57"/>
  <c r="H119" i="57"/>
  <c r="G119" i="57"/>
  <c r="F119" i="57"/>
  <c r="E119" i="57"/>
  <c r="D119" i="57"/>
  <c r="C119" i="57"/>
  <c r="B119" i="57"/>
  <c r="A119" i="57"/>
  <c r="L118" i="57"/>
  <c r="K118" i="57"/>
  <c r="J118" i="57"/>
  <c r="I118" i="57"/>
  <c r="H118" i="57"/>
  <c r="G118" i="57"/>
  <c r="F118" i="57"/>
  <c r="E118" i="57"/>
  <c r="D118" i="57"/>
  <c r="C118" i="57"/>
  <c r="B118" i="57"/>
  <c r="A118" i="57"/>
  <c r="O118" i="57" s="1"/>
  <c r="L117" i="57"/>
  <c r="K117" i="57"/>
  <c r="J117" i="57"/>
  <c r="I117" i="57"/>
  <c r="H117" i="57"/>
  <c r="G117" i="57"/>
  <c r="F117" i="57"/>
  <c r="E117" i="57"/>
  <c r="D117" i="57"/>
  <c r="C117" i="57"/>
  <c r="B117" i="57"/>
  <c r="A117" i="57"/>
  <c r="L116" i="57"/>
  <c r="K116" i="57"/>
  <c r="J116" i="57"/>
  <c r="I116" i="57"/>
  <c r="H116" i="57"/>
  <c r="G116" i="57"/>
  <c r="F116" i="57"/>
  <c r="E116" i="57"/>
  <c r="D116" i="57"/>
  <c r="C116" i="57"/>
  <c r="B116" i="57"/>
  <c r="A116" i="57"/>
  <c r="O116" i="57" s="1"/>
  <c r="L115" i="57"/>
  <c r="K115" i="57"/>
  <c r="J115" i="57"/>
  <c r="I115" i="57"/>
  <c r="H115" i="57"/>
  <c r="G115" i="57"/>
  <c r="F115" i="57"/>
  <c r="E115" i="57"/>
  <c r="D115" i="57"/>
  <c r="C115" i="57"/>
  <c r="B115" i="57"/>
  <c r="A115" i="57"/>
  <c r="L114" i="57"/>
  <c r="K114" i="57"/>
  <c r="J114" i="57"/>
  <c r="I114" i="57"/>
  <c r="H114" i="57"/>
  <c r="G114" i="57"/>
  <c r="F114" i="57"/>
  <c r="E114" i="57"/>
  <c r="D114" i="57"/>
  <c r="C114" i="57"/>
  <c r="B114" i="57"/>
  <c r="A114" i="57"/>
  <c r="O114" i="57" s="1"/>
  <c r="Z168" i="51"/>
  <c r="Z167" i="51"/>
  <c r="Z166" i="51"/>
  <c r="Z160" i="51"/>
  <c r="AA160" i="51" s="1"/>
  <c r="AB160" i="51" s="1"/>
  <c r="Z159" i="51"/>
  <c r="AA159" i="51" s="1"/>
  <c r="AB159" i="51" s="1"/>
  <c r="Z158" i="51"/>
  <c r="Z157" i="51"/>
  <c r="Z156" i="51"/>
  <c r="AA156" i="51" s="1"/>
  <c r="AB156" i="51" s="1"/>
  <c r="Z154" i="51"/>
  <c r="AA154" i="51" s="1"/>
  <c r="AB154" i="51" s="1"/>
  <c r="Z153" i="51"/>
  <c r="Z152" i="51"/>
  <c r="AA152" i="51" s="1"/>
  <c r="AB152" i="51" s="1"/>
  <c r="Z151" i="51"/>
  <c r="AA151" i="51" s="1"/>
  <c r="AB151" i="51" s="1"/>
  <c r="Z150" i="51"/>
  <c r="Z149" i="51"/>
  <c r="Z148" i="51"/>
  <c r="AA148" i="51" s="1"/>
  <c r="AB148" i="51" s="1"/>
  <c r="Z147" i="51"/>
  <c r="AA147" i="51" s="1"/>
  <c r="AB147" i="51" s="1"/>
  <c r="Z146" i="51"/>
  <c r="AA146" i="51" s="1"/>
  <c r="AB146" i="51" s="1"/>
  <c r="Z145" i="51"/>
  <c r="Z144" i="51"/>
  <c r="AA144" i="51" s="1"/>
  <c r="AB144" i="51" s="1"/>
  <c r="Z143" i="51"/>
  <c r="AA143" i="51" s="1"/>
  <c r="AB143" i="51" s="1"/>
  <c r="Z142" i="51"/>
  <c r="Z141" i="51"/>
  <c r="Z140" i="51"/>
  <c r="AA140" i="51" s="1"/>
  <c r="AB140" i="51" s="1"/>
  <c r="Z139" i="51"/>
  <c r="AA139" i="51" s="1"/>
  <c r="AB139" i="51" s="1"/>
  <c r="Z138" i="51"/>
  <c r="AA138" i="51" s="1"/>
  <c r="AB138" i="51" s="1"/>
  <c r="Z137" i="51"/>
  <c r="Z136" i="51"/>
  <c r="AA136" i="51" s="1"/>
  <c r="AB136" i="51" s="1"/>
  <c r="Z135" i="51"/>
  <c r="AA135" i="51" s="1"/>
  <c r="AB135" i="51" s="1"/>
  <c r="Z134" i="51"/>
  <c r="Z133" i="51"/>
  <c r="Z132" i="51"/>
  <c r="AA132" i="51" s="1"/>
  <c r="AB132" i="51" s="1"/>
  <c r="Z131" i="51"/>
  <c r="AA131" i="51" s="1"/>
  <c r="AA115" i="51"/>
  <c r="AA164" i="51"/>
  <c r="AB164" i="51" s="1"/>
  <c r="AA158" i="51"/>
  <c r="AB158" i="51" s="1"/>
  <c r="AA157" i="51"/>
  <c r="AB157" i="51" s="1"/>
  <c r="AA153" i="51"/>
  <c r="AB153" i="51" s="1"/>
  <c r="AA150" i="51"/>
  <c r="AB150" i="51" s="1"/>
  <c r="AA149" i="51"/>
  <c r="AB149" i="51" s="1"/>
  <c r="AA145" i="51"/>
  <c r="AB145" i="51" s="1"/>
  <c r="AA142" i="51"/>
  <c r="AB142" i="51" s="1"/>
  <c r="AA141" i="51"/>
  <c r="AB141" i="51" s="1"/>
  <c r="AA137" i="51"/>
  <c r="AB137" i="51" s="1"/>
  <c r="AA134" i="51"/>
  <c r="AB134" i="51" s="1"/>
  <c r="AA133" i="51"/>
  <c r="AB133" i="51" s="1"/>
  <c r="AA69" i="51"/>
  <c r="AB69" i="51" s="1"/>
  <c r="AA68" i="51"/>
  <c r="AB68" i="51" s="1"/>
  <c r="AA67" i="51"/>
  <c r="AB67" i="51" s="1"/>
  <c r="AA44" i="51"/>
  <c r="AB44" i="51" s="1"/>
  <c r="Q155" i="51"/>
  <c r="L7" i="57"/>
  <c r="X127" i="79"/>
  <c r="Y127" i="79" s="1"/>
  <c r="J7" i="77" l="1"/>
  <c r="J7" i="79"/>
  <c r="J18" i="79" s="1"/>
  <c r="J7" i="78"/>
  <c r="J18" i="78" s="1"/>
  <c r="O68" i="63"/>
  <c r="O70" i="63"/>
  <c r="O73" i="63"/>
  <c r="O85" i="63"/>
  <c r="O87" i="63"/>
  <c r="J68" i="78"/>
  <c r="J68" i="79"/>
  <c r="J81" i="79"/>
  <c r="J81" i="78"/>
  <c r="J81" i="77"/>
  <c r="O78" i="63"/>
  <c r="O81" i="63"/>
  <c r="O89" i="63"/>
  <c r="O83" i="63"/>
  <c r="O69" i="63"/>
  <c r="O71" i="63"/>
  <c r="O77" i="63"/>
  <c r="O80" i="63"/>
  <c r="O82" i="63"/>
  <c r="O84" i="63"/>
  <c r="O86" i="63"/>
  <c r="O88" i="63"/>
  <c r="O67" i="63"/>
  <c r="J69" i="78"/>
  <c r="J69" i="79"/>
  <c r="O23" i="62"/>
  <c r="O30" i="62"/>
  <c r="O32" i="62"/>
  <c r="O35" i="62"/>
  <c r="O37" i="62"/>
  <c r="O39" i="62"/>
  <c r="O41" i="62"/>
  <c r="O43" i="62"/>
  <c r="O48" i="62"/>
  <c r="O97" i="62"/>
  <c r="O99" i="62"/>
  <c r="O86" i="62"/>
  <c r="O89" i="62"/>
  <c r="O20" i="62"/>
  <c r="O82" i="62"/>
  <c r="O84" i="62"/>
  <c r="O21" i="62"/>
  <c r="O26" i="62"/>
  <c r="O31" i="62"/>
  <c r="O33" i="62"/>
  <c r="O36" i="62"/>
  <c r="O38" i="62"/>
  <c r="O40" i="62"/>
  <c r="O42" i="62"/>
  <c r="O44" i="62"/>
  <c r="O95" i="62"/>
  <c r="O98" i="62"/>
  <c r="O100" i="62"/>
  <c r="O85" i="62"/>
  <c r="O88" i="62"/>
  <c r="O83" i="62"/>
  <c r="O22" i="61"/>
  <c r="O24" i="61"/>
  <c r="O31" i="61"/>
  <c r="O37" i="61"/>
  <c r="O41" i="61"/>
  <c r="O26" i="61"/>
  <c r="O33" i="61"/>
  <c r="O39" i="61"/>
  <c r="O43" i="61"/>
  <c r="O35" i="61"/>
  <c r="O35" i="59"/>
  <c r="P35" i="59" s="1"/>
  <c r="V35" i="59" s="1"/>
  <c r="J122" i="77"/>
  <c r="O115" i="57"/>
  <c r="O117" i="57"/>
  <c r="O119" i="57"/>
  <c r="O121" i="57"/>
  <c r="O123" i="57"/>
  <c r="O125" i="57"/>
  <c r="O7" i="57"/>
  <c r="J123" i="77"/>
  <c r="O95" i="58"/>
  <c r="O98" i="58"/>
  <c r="O100" i="58"/>
  <c r="O114" i="58"/>
  <c r="O117" i="58"/>
  <c r="O120" i="58"/>
  <c r="O122" i="58"/>
  <c r="O124" i="58"/>
  <c r="J98" i="78"/>
  <c r="J98" i="79"/>
  <c r="O97" i="58"/>
  <c r="O99" i="58"/>
  <c r="O106" i="58"/>
  <c r="O108" i="58" s="1"/>
  <c r="O116" i="58"/>
  <c r="O118" i="58"/>
  <c r="O121" i="58"/>
  <c r="O123" i="58"/>
  <c r="O94" i="58"/>
  <c r="J100" i="79"/>
  <c r="J100" i="78"/>
  <c r="O26" i="58"/>
  <c r="O28" i="58" s="1"/>
  <c r="O20" i="60"/>
  <c r="O36" i="60"/>
  <c r="O38" i="60"/>
  <c r="O40" i="60"/>
  <c r="O42" i="60"/>
  <c r="O44" i="60"/>
  <c r="O60" i="60"/>
  <c r="O62" i="60"/>
  <c r="O95" i="60"/>
  <c r="O99" i="60"/>
  <c r="O106" i="60"/>
  <c r="O115" i="60"/>
  <c r="O117" i="60"/>
  <c r="O119" i="60"/>
  <c r="O121" i="60"/>
  <c r="O123" i="60"/>
  <c r="O125" i="60"/>
  <c r="O31" i="60"/>
  <c r="J31" i="79"/>
  <c r="J31" i="78"/>
  <c r="J38" i="79"/>
  <c r="J38" i="78"/>
  <c r="J40" i="79"/>
  <c r="J40" i="78"/>
  <c r="O93" i="60"/>
  <c r="J99" i="78"/>
  <c r="J99" i="79"/>
  <c r="J123" i="79"/>
  <c r="J123" i="78"/>
  <c r="O30" i="60"/>
  <c r="O49" i="77"/>
  <c r="J34" i="79"/>
  <c r="J34" i="78"/>
  <c r="J93" i="79"/>
  <c r="J93" i="78"/>
  <c r="O26" i="60"/>
  <c r="J30" i="79"/>
  <c r="J30" i="78"/>
  <c r="X46" i="79"/>
  <c r="Y46" i="79" s="1"/>
  <c r="X46" i="78"/>
  <c r="Y46" i="78" s="1"/>
  <c r="O25" i="60"/>
  <c r="O37" i="60"/>
  <c r="O39" i="60"/>
  <c r="O41" i="60"/>
  <c r="O43" i="60"/>
  <c r="O48" i="60"/>
  <c r="O59" i="60"/>
  <c r="O61" i="60"/>
  <c r="O63" i="60"/>
  <c r="O94" i="60"/>
  <c r="O97" i="60"/>
  <c r="O105" i="60"/>
  <c r="O108" i="60" s="1"/>
  <c r="O114" i="60"/>
  <c r="O116" i="60"/>
  <c r="O118" i="60"/>
  <c r="O120" i="60"/>
  <c r="O122" i="60"/>
  <c r="O124" i="60"/>
  <c r="O35" i="60"/>
  <c r="O24" i="60"/>
  <c r="O32" i="60"/>
  <c r="J37" i="79"/>
  <c r="J37" i="78"/>
  <c r="J39" i="79"/>
  <c r="J39" i="78"/>
  <c r="J41" i="79"/>
  <c r="J41" i="78"/>
  <c r="J94" i="79"/>
  <c r="J94" i="78"/>
  <c r="J97" i="78"/>
  <c r="J97" i="79"/>
  <c r="J122" i="78"/>
  <c r="J122" i="79"/>
  <c r="O34" i="60"/>
  <c r="O23" i="60"/>
  <c r="O33" i="60"/>
  <c r="O22" i="60"/>
  <c r="J30" i="77"/>
  <c r="O114" i="59"/>
  <c r="R54" i="59"/>
  <c r="V54" i="59"/>
  <c r="O22" i="59"/>
  <c r="P22" i="59" s="1"/>
  <c r="O24" i="59"/>
  <c r="P24" i="59" s="1"/>
  <c r="O26" i="59"/>
  <c r="P26" i="59" s="1"/>
  <c r="O33" i="59"/>
  <c r="P33" i="59" s="1"/>
  <c r="O116" i="59"/>
  <c r="P116" i="59" s="1"/>
  <c r="O42" i="59"/>
  <c r="P42" i="59" s="1"/>
  <c r="O44" i="59"/>
  <c r="P44" i="59" s="1"/>
  <c r="V51" i="59"/>
  <c r="R51" i="59"/>
  <c r="O59" i="59"/>
  <c r="P59" i="59" s="1"/>
  <c r="O61" i="59"/>
  <c r="P61" i="59" s="1"/>
  <c r="O63" i="59"/>
  <c r="P63" i="59" s="1"/>
  <c r="O70" i="59"/>
  <c r="P70" i="59" s="1"/>
  <c r="O72" i="59"/>
  <c r="P72" i="59" s="1"/>
  <c r="O74" i="59"/>
  <c r="P74" i="59" s="1"/>
  <c r="O76" i="59"/>
  <c r="P76" i="59" s="1"/>
  <c r="O78" i="59"/>
  <c r="P78" i="59" s="1"/>
  <c r="O80" i="59"/>
  <c r="P80" i="59" s="1"/>
  <c r="O83" i="59"/>
  <c r="P83" i="59" s="1"/>
  <c r="O85" i="59"/>
  <c r="P85" i="59" s="1"/>
  <c r="O87" i="59"/>
  <c r="P87" i="59" s="1"/>
  <c r="O89" i="59"/>
  <c r="P89" i="59" s="1"/>
  <c r="O20" i="59"/>
  <c r="O120" i="59"/>
  <c r="P120" i="59" s="1"/>
  <c r="O36" i="59"/>
  <c r="P36" i="59" s="1"/>
  <c r="R56" i="59"/>
  <c r="V56" i="59"/>
  <c r="O115" i="59"/>
  <c r="P115" i="59" s="1"/>
  <c r="O117" i="59"/>
  <c r="P117" i="59" s="1"/>
  <c r="O119" i="59"/>
  <c r="P119" i="59" s="1"/>
  <c r="O121" i="59"/>
  <c r="P121" i="59" s="1"/>
  <c r="O124" i="59"/>
  <c r="P124" i="59" s="1"/>
  <c r="R35" i="59"/>
  <c r="O118" i="59"/>
  <c r="P118" i="59" s="1"/>
  <c r="O21" i="59"/>
  <c r="P21" i="59" s="1"/>
  <c r="O23" i="59"/>
  <c r="P23" i="59" s="1"/>
  <c r="O25" i="59"/>
  <c r="P25" i="59" s="1"/>
  <c r="O32" i="59"/>
  <c r="R57" i="59"/>
  <c r="V57" i="59"/>
  <c r="O125" i="59"/>
  <c r="P125" i="59" s="1"/>
  <c r="O43" i="59"/>
  <c r="P43" i="59" s="1"/>
  <c r="O48" i="59"/>
  <c r="O60" i="59"/>
  <c r="P60" i="59" s="1"/>
  <c r="O62" i="59"/>
  <c r="P62" i="59" s="1"/>
  <c r="O67" i="59"/>
  <c r="O71" i="59"/>
  <c r="P71" i="59" s="1"/>
  <c r="O73" i="59"/>
  <c r="P73" i="59" s="1"/>
  <c r="O75" i="59"/>
  <c r="P75" i="59" s="1"/>
  <c r="O77" i="59"/>
  <c r="P77" i="59" s="1"/>
  <c r="O79" i="59"/>
  <c r="P79" i="59" s="1"/>
  <c r="O82" i="59"/>
  <c r="P82" i="59" s="1"/>
  <c r="O84" i="59"/>
  <c r="P84" i="59" s="1"/>
  <c r="O86" i="59"/>
  <c r="P86" i="59" s="1"/>
  <c r="O88" i="59"/>
  <c r="P88" i="59" s="1"/>
  <c r="O95" i="59"/>
  <c r="O105" i="59"/>
  <c r="J43" i="77"/>
  <c r="J43" i="79"/>
  <c r="J43" i="78"/>
  <c r="J48" i="77"/>
  <c r="J48" i="78"/>
  <c r="J48" i="79"/>
  <c r="J67" i="77"/>
  <c r="J67" i="79"/>
  <c r="J67" i="78"/>
  <c r="J71" i="77"/>
  <c r="J71" i="79"/>
  <c r="J71" i="78"/>
  <c r="J73" i="77"/>
  <c r="J73" i="79"/>
  <c r="J73" i="78"/>
  <c r="J75" i="77"/>
  <c r="J75" i="79"/>
  <c r="J75" i="78"/>
  <c r="J77" i="77"/>
  <c r="J77" i="79"/>
  <c r="J77" i="78"/>
  <c r="J79" i="77"/>
  <c r="J79" i="79"/>
  <c r="J79" i="78"/>
  <c r="J82" i="77"/>
  <c r="J82" i="79"/>
  <c r="J82" i="78"/>
  <c r="J84" i="77"/>
  <c r="J84" i="79"/>
  <c r="J84" i="78"/>
  <c r="J86" i="77"/>
  <c r="J86" i="79"/>
  <c r="J86" i="78"/>
  <c r="J88" i="77"/>
  <c r="J88" i="79"/>
  <c r="J88" i="78"/>
  <c r="J95" i="79"/>
  <c r="J95" i="78"/>
  <c r="J35" i="77"/>
  <c r="J35" i="79"/>
  <c r="J35" i="78"/>
  <c r="J114" i="77"/>
  <c r="J114" i="79"/>
  <c r="J114" i="78"/>
  <c r="J116" i="77"/>
  <c r="J116" i="79"/>
  <c r="J116" i="78"/>
  <c r="J118" i="77"/>
  <c r="J118" i="79"/>
  <c r="J118" i="78"/>
  <c r="J120" i="77"/>
  <c r="J120" i="79"/>
  <c r="J120" i="78"/>
  <c r="J125" i="77"/>
  <c r="J125" i="79"/>
  <c r="J125" i="78"/>
  <c r="J22" i="77"/>
  <c r="J22" i="79"/>
  <c r="J22" i="78"/>
  <c r="J24" i="77"/>
  <c r="J24" i="79"/>
  <c r="J24" i="78"/>
  <c r="J26" i="77"/>
  <c r="J26" i="79"/>
  <c r="J26" i="78"/>
  <c r="J33" i="77"/>
  <c r="J33" i="79"/>
  <c r="J33" i="78"/>
  <c r="J20" i="77"/>
  <c r="J20" i="79"/>
  <c r="J20" i="78"/>
  <c r="J42" i="77"/>
  <c r="J42" i="79"/>
  <c r="J42" i="78"/>
  <c r="J44" i="77"/>
  <c r="J44" i="79"/>
  <c r="J44" i="78"/>
  <c r="J61" i="79"/>
  <c r="J61" i="78"/>
  <c r="J63" i="79"/>
  <c r="J63" i="78"/>
  <c r="J70" i="77"/>
  <c r="J70" i="79"/>
  <c r="J70" i="78"/>
  <c r="J72" i="77"/>
  <c r="J72" i="79"/>
  <c r="J72" i="78"/>
  <c r="J74" i="77"/>
  <c r="J74" i="79"/>
  <c r="J74" i="78"/>
  <c r="J76" i="77"/>
  <c r="J76" i="79"/>
  <c r="J76" i="78"/>
  <c r="J78" i="77"/>
  <c r="J78" i="78"/>
  <c r="J78" i="79"/>
  <c r="J80" i="77"/>
  <c r="J80" i="79"/>
  <c r="J80" i="78"/>
  <c r="J83" i="77"/>
  <c r="J83" i="78"/>
  <c r="J83" i="79"/>
  <c r="J85" i="77"/>
  <c r="J85" i="79"/>
  <c r="J85" i="78"/>
  <c r="J87" i="77"/>
  <c r="J87" i="79"/>
  <c r="J87" i="78"/>
  <c r="J89" i="77"/>
  <c r="J89" i="79"/>
  <c r="J89" i="78"/>
  <c r="J36" i="77"/>
  <c r="J36" i="79"/>
  <c r="J36" i="78"/>
  <c r="J115" i="79"/>
  <c r="J115" i="78"/>
  <c r="J117" i="77"/>
  <c r="J117" i="79"/>
  <c r="J117" i="78"/>
  <c r="J121" i="77"/>
  <c r="J121" i="78"/>
  <c r="J121" i="79"/>
  <c r="J124" i="77"/>
  <c r="J124" i="79"/>
  <c r="J124" i="78"/>
  <c r="J21" i="77"/>
  <c r="J21" i="79"/>
  <c r="J21" i="78"/>
  <c r="J23" i="77"/>
  <c r="J23" i="79"/>
  <c r="J23" i="78"/>
  <c r="J25" i="77"/>
  <c r="J25" i="79"/>
  <c r="J25" i="78"/>
  <c r="J32" i="77"/>
  <c r="J32" i="79"/>
  <c r="J32" i="78"/>
  <c r="O20" i="61"/>
  <c r="O21" i="61"/>
  <c r="O23" i="61"/>
  <c r="O25" i="61"/>
  <c r="O30" i="61"/>
  <c r="O32" i="61"/>
  <c r="O34" i="61"/>
  <c r="O36" i="61"/>
  <c r="O38" i="61"/>
  <c r="O40" i="61"/>
  <c r="O42" i="61"/>
  <c r="O44" i="61"/>
  <c r="AA50" i="77"/>
  <c r="AA65" i="77" s="1"/>
  <c r="J18" i="77"/>
  <c r="Z155" i="51"/>
  <c r="AA155" i="51" s="1"/>
  <c r="J31" i="77"/>
  <c r="J37" i="77"/>
  <c r="A28" i="60"/>
  <c r="AB131" i="51"/>
  <c r="O91" i="63" l="1"/>
  <c r="O28" i="62"/>
  <c r="O46" i="62"/>
  <c r="O28" i="61"/>
  <c r="O102" i="60"/>
  <c r="O127" i="60"/>
  <c r="J102" i="78"/>
  <c r="J102" i="79"/>
  <c r="O110" i="58"/>
  <c r="O112" i="58" s="1"/>
  <c r="O102" i="58"/>
  <c r="AB155" i="51"/>
  <c r="AA162" i="51"/>
  <c r="AA170" i="51" s="1"/>
  <c r="J46" i="78"/>
  <c r="O65" i="60"/>
  <c r="O46" i="60"/>
  <c r="O28" i="60"/>
  <c r="R59" i="59"/>
  <c r="V59" i="59"/>
  <c r="R75" i="59"/>
  <c r="V75" i="59"/>
  <c r="R125" i="59"/>
  <c r="V125" i="59"/>
  <c r="R21" i="59"/>
  <c r="V21" i="59"/>
  <c r="V83" i="59"/>
  <c r="R83" i="59"/>
  <c r="R61" i="59"/>
  <c r="V61" i="59"/>
  <c r="R33" i="59"/>
  <c r="V33" i="59"/>
  <c r="P95" i="59"/>
  <c r="O102" i="59"/>
  <c r="R73" i="59"/>
  <c r="V73" i="59"/>
  <c r="R26" i="59"/>
  <c r="V26" i="59"/>
  <c r="R88" i="59"/>
  <c r="V88" i="59"/>
  <c r="R71" i="59"/>
  <c r="V71" i="59"/>
  <c r="R120" i="59"/>
  <c r="V120" i="59"/>
  <c r="R78" i="59"/>
  <c r="V78" i="59"/>
  <c r="R24" i="59"/>
  <c r="V24" i="59"/>
  <c r="J91" i="77"/>
  <c r="R86" i="59"/>
  <c r="V86" i="59"/>
  <c r="O91" i="59"/>
  <c r="P67" i="59"/>
  <c r="R117" i="59"/>
  <c r="V117" i="59"/>
  <c r="R76" i="59"/>
  <c r="V76" i="59"/>
  <c r="R22" i="59"/>
  <c r="V22" i="59"/>
  <c r="R80" i="59"/>
  <c r="V80" i="59"/>
  <c r="R84" i="59"/>
  <c r="V84" i="59"/>
  <c r="R62" i="59"/>
  <c r="V62" i="59"/>
  <c r="O28" i="59"/>
  <c r="P20" i="59"/>
  <c r="V74" i="59"/>
  <c r="R74" i="59"/>
  <c r="R44" i="59"/>
  <c r="V44" i="59"/>
  <c r="R118" i="59"/>
  <c r="V118" i="59"/>
  <c r="R82" i="59"/>
  <c r="V82" i="59"/>
  <c r="R60" i="59"/>
  <c r="V60" i="59"/>
  <c r="O46" i="59"/>
  <c r="P32" i="59"/>
  <c r="R124" i="59"/>
  <c r="V124" i="59"/>
  <c r="R115" i="59"/>
  <c r="V115" i="59"/>
  <c r="R89" i="59"/>
  <c r="V89" i="59"/>
  <c r="R72" i="59"/>
  <c r="V72" i="59"/>
  <c r="R42" i="59"/>
  <c r="V42" i="59"/>
  <c r="V36" i="59"/>
  <c r="R36" i="59"/>
  <c r="R79" i="59"/>
  <c r="V79" i="59"/>
  <c r="O65" i="59"/>
  <c r="P48" i="59"/>
  <c r="V25" i="59"/>
  <c r="R25" i="59"/>
  <c r="R87" i="59"/>
  <c r="V87" i="59"/>
  <c r="R70" i="59"/>
  <c r="V70" i="59"/>
  <c r="R116" i="59"/>
  <c r="V116" i="59"/>
  <c r="O127" i="59"/>
  <c r="P114" i="59"/>
  <c r="R119" i="59"/>
  <c r="V119" i="59"/>
  <c r="J28" i="77"/>
  <c r="O108" i="59"/>
  <c r="P105" i="59"/>
  <c r="R77" i="59"/>
  <c r="V77" i="59"/>
  <c r="R43" i="59"/>
  <c r="V43" i="59"/>
  <c r="R23" i="59"/>
  <c r="V23" i="59"/>
  <c r="V121" i="59"/>
  <c r="R121" i="59"/>
  <c r="R85" i="59"/>
  <c r="V85" i="59"/>
  <c r="V63" i="59"/>
  <c r="R63" i="59"/>
  <c r="J28" i="78"/>
  <c r="J91" i="78"/>
  <c r="J91" i="79"/>
  <c r="J28" i="79"/>
  <c r="J46" i="79"/>
  <c r="O46" i="61"/>
  <c r="O110" i="61" s="1"/>
  <c r="O112" i="61" s="1"/>
  <c r="O129" i="61" s="1"/>
  <c r="P49" i="77"/>
  <c r="J46" i="77"/>
  <c r="AB162" i="51"/>
  <c r="AB170" i="51" s="1"/>
  <c r="Z162" i="51"/>
  <c r="Z170" i="51" s="1"/>
  <c r="AA37" i="77"/>
  <c r="AA46" i="77" s="1"/>
  <c r="L133" i="51"/>
  <c r="K133" i="51"/>
  <c r="J133" i="51"/>
  <c r="I133" i="51"/>
  <c r="H133" i="51"/>
  <c r="G133" i="51"/>
  <c r="F133" i="51"/>
  <c r="E133" i="51"/>
  <c r="D133" i="51"/>
  <c r="C133" i="51"/>
  <c r="B133" i="51"/>
  <c r="A133" i="51"/>
  <c r="L132" i="51"/>
  <c r="K132" i="51"/>
  <c r="J132" i="51"/>
  <c r="I132" i="51"/>
  <c r="H132" i="51"/>
  <c r="G132" i="51"/>
  <c r="F132" i="51"/>
  <c r="E132" i="51"/>
  <c r="D132" i="51"/>
  <c r="C132" i="51"/>
  <c r="B132" i="51"/>
  <c r="A132" i="51"/>
  <c r="L131" i="51"/>
  <c r="K131" i="51"/>
  <c r="J131" i="51"/>
  <c r="I131" i="51"/>
  <c r="H131" i="51"/>
  <c r="G131" i="51"/>
  <c r="F131" i="51"/>
  <c r="E131" i="51"/>
  <c r="D131" i="51"/>
  <c r="C131" i="51"/>
  <c r="B131" i="51"/>
  <c r="A131" i="51"/>
  <c r="P127" i="59" l="1"/>
  <c r="V127" i="59" s="1"/>
  <c r="R114" i="59"/>
  <c r="R127" i="59" s="1"/>
  <c r="V114" i="59"/>
  <c r="R48" i="59"/>
  <c r="R65" i="59" s="1"/>
  <c r="P65" i="59"/>
  <c r="V65" i="59" s="1"/>
  <c r="V48" i="59"/>
  <c r="R105" i="59"/>
  <c r="R108" i="59" s="1"/>
  <c r="V105" i="59"/>
  <c r="P108" i="59"/>
  <c r="V108" i="59" s="1"/>
  <c r="R67" i="59"/>
  <c r="R91" i="59" s="1"/>
  <c r="P91" i="59"/>
  <c r="V91" i="59" s="1"/>
  <c r="V67" i="59"/>
  <c r="R32" i="59"/>
  <c r="R46" i="59" s="1"/>
  <c r="V32" i="59"/>
  <c r="P46" i="59"/>
  <c r="V46" i="59" s="1"/>
  <c r="P28" i="59"/>
  <c r="R20" i="59"/>
  <c r="R28" i="59" s="1"/>
  <c r="V20" i="59"/>
  <c r="O110" i="59"/>
  <c r="O112" i="59" s="1"/>
  <c r="O129" i="59" s="1"/>
  <c r="P102" i="59"/>
  <c r="V102" i="59" s="1"/>
  <c r="R95" i="59"/>
  <c r="R102" i="59" s="1"/>
  <c r="V95" i="59"/>
  <c r="L160" i="51"/>
  <c r="K160" i="51"/>
  <c r="J160" i="51"/>
  <c r="I160" i="51"/>
  <c r="H160" i="51"/>
  <c r="G160" i="51"/>
  <c r="F160" i="51"/>
  <c r="E160" i="51"/>
  <c r="D160" i="51"/>
  <c r="C160" i="51"/>
  <c r="B160" i="51"/>
  <c r="A160" i="51"/>
  <c r="L159" i="51"/>
  <c r="K159" i="51"/>
  <c r="J159" i="51"/>
  <c r="I159" i="51"/>
  <c r="H159" i="51"/>
  <c r="G159" i="51"/>
  <c r="F159" i="51"/>
  <c r="E159" i="51"/>
  <c r="D159" i="51"/>
  <c r="C159" i="51"/>
  <c r="B159" i="51"/>
  <c r="A159" i="51"/>
  <c r="L158" i="51"/>
  <c r="K158" i="51"/>
  <c r="J158" i="51"/>
  <c r="I158" i="51"/>
  <c r="H158" i="51"/>
  <c r="G158" i="51"/>
  <c r="F158" i="51"/>
  <c r="E158" i="51"/>
  <c r="D158" i="51"/>
  <c r="C158" i="51"/>
  <c r="B158" i="51"/>
  <c r="A158" i="51"/>
  <c r="L157" i="51"/>
  <c r="K157" i="51"/>
  <c r="J157" i="51"/>
  <c r="I157" i="51"/>
  <c r="H157" i="51"/>
  <c r="G157" i="51"/>
  <c r="F157" i="51"/>
  <c r="E157" i="51"/>
  <c r="D157" i="51"/>
  <c r="C157" i="51"/>
  <c r="B157" i="51"/>
  <c r="A157" i="51"/>
  <c r="J156" i="51"/>
  <c r="I156" i="51"/>
  <c r="H156" i="51"/>
  <c r="G156" i="51"/>
  <c r="F156" i="51"/>
  <c r="E156" i="51"/>
  <c r="D156" i="51"/>
  <c r="C156" i="51"/>
  <c r="B156" i="51"/>
  <c r="A156" i="51"/>
  <c r="L155" i="51"/>
  <c r="K155" i="51"/>
  <c r="J155" i="51"/>
  <c r="I155" i="51"/>
  <c r="H155" i="51"/>
  <c r="G155" i="51"/>
  <c r="F155" i="51"/>
  <c r="E155" i="51"/>
  <c r="D155" i="51"/>
  <c r="C155" i="51"/>
  <c r="B155" i="51"/>
  <c r="A155" i="51"/>
  <c r="L154" i="51"/>
  <c r="K154" i="51"/>
  <c r="J154" i="51"/>
  <c r="I154" i="51"/>
  <c r="H154" i="51"/>
  <c r="G154" i="51"/>
  <c r="F154" i="51"/>
  <c r="E154" i="51"/>
  <c r="D154" i="51"/>
  <c r="C154" i="51"/>
  <c r="B154" i="51"/>
  <c r="A154" i="51"/>
  <c r="L153" i="51"/>
  <c r="K153" i="51"/>
  <c r="J153" i="51"/>
  <c r="I153" i="51"/>
  <c r="H153" i="51"/>
  <c r="G153" i="51"/>
  <c r="F153" i="51"/>
  <c r="E153" i="51"/>
  <c r="D153" i="51"/>
  <c r="C153" i="51"/>
  <c r="B153" i="51"/>
  <c r="A153" i="51"/>
  <c r="L152" i="51"/>
  <c r="K152" i="51"/>
  <c r="J152" i="51"/>
  <c r="I152" i="51"/>
  <c r="H152" i="51"/>
  <c r="G152" i="51"/>
  <c r="F152" i="51"/>
  <c r="E152" i="51"/>
  <c r="D152" i="51"/>
  <c r="C152" i="51"/>
  <c r="B152" i="51"/>
  <c r="A152" i="51"/>
  <c r="L151" i="51"/>
  <c r="K151" i="51"/>
  <c r="J151" i="51"/>
  <c r="I151" i="51"/>
  <c r="H151" i="51"/>
  <c r="G151" i="51"/>
  <c r="F151" i="51"/>
  <c r="E151" i="51"/>
  <c r="D151" i="51"/>
  <c r="C151" i="51"/>
  <c r="B151" i="51"/>
  <c r="A151" i="51"/>
  <c r="L150" i="51"/>
  <c r="K150" i="51"/>
  <c r="J150" i="51"/>
  <c r="I150" i="51"/>
  <c r="H150" i="51"/>
  <c r="G150" i="51"/>
  <c r="F150" i="51"/>
  <c r="E150" i="51"/>
  <c r="D150" i="51"/>
  <c r="C150" i="51"/>
  <c r="B150" i="51"/>
  <c r="A150" i="51"/>
  <c r="L149" i="51"/>
  <c r="K149" i="51"/>
  <c r="J149" i="51"/>
  <c r="I149" i="51"/>
  <c r="H149" i="51"/>
  <c r="G149" i="51"/>
  <c r="F149" i="51"/>
  <c r="E149" i="51"/>
  <c r="D149" i="51"/>
  <c r="C149" i="51"/>
  <c r="B149" i="51"/>
  <c r="A149" i="51"/>
  <c r="L148" i="51"/>
  <c r="K148" i="51"/>
  <c r="J148" i="51"/>
  <c r="I148" i="51"/>
  <c r="H148" i="51"/>
  <c r="G148" i="51"/>
  <c r="F148" i="51"/>
  <c r="E148" i="51"/>
  <c r="D148" i="51"/>
  <c r="C148" i="51"/>
  <c r="B148" i="51"/>
  <c r="A148" i="51"/>
  <c r="L147" i="51"/>
  <c r="K147" i="51"/>
  <c r="J147" i="51"/>
  <c r="I147" i="51"/>
  <c r="H147" i="51"/>
  <c r="G147" i="51"/>
  <c r="F147" i="51"/>
  <c r="E147" i="51"/>
  <c r="D147" i="51"/>
  <c r="C147" i="51"/>
  <c r="B147" i="51"/>
  <c r="A147" i="51"/>
  <c r="L146" i="51"/>
  <c r="K146" i="51"/>
  <c r="J146" i="51"/>
  <c r="I146" i="51"/>
  <c r="H146" i="51"/>
  <c r="G146" i="51"/>
  <c r="F146" i="51"/>
  <c r="E146" i="51"/>
  <c r="D146" i="51"/>
  <c r="C146" i="51"/>
  <c r="B146" i="51"/>
  <c r="A146" i="51"/>
  <c r="L145" i="51"/>
  <c r="K145" i="51"/>
  <c r="J145" i="51"/>
  <c r="I145" i="51"/>
  <c r="H145" i="51"/>
  <c r="G145" i="51"/>
  <c r="F145" i="51"/>
  <c r="E145" i="51"/>
  <c r="D145" i="51"/>
  <c r="C145" i="51"/>
  <c r="B145" i="51"/>
  <c r="A145" i="51"/>
  <c r="L144" i="51"/>
  <c r="K144" i="51"/>
  <c r="J144" i="51"/>
  <c r="I144" i="51"/>
  <c r="H144" i="51"/>
  <c r="G144" i="51"/>
  <c r="F144" i="51"/>
  <c r="E144" i="51"/>
  <c r="D144" i="51"/>
  <c r="C144" i="51"/>
  <c r="B144" i="51"/>
  <c r="A144" i="51"/>
  <c r="L143" i="51"/>
  <c r="K143" i="51"/>
  <c r="J143" i="51"/>
  <c r="I143" i="51"/>
  <c r="H143" i="51"/>
  <c r="G143" i="51"/>
  <c r="F143" i="51"/>
  <c r="E143" i="51"/>
  <c r="D143" i="51"/>
  <c r="C143" i="51"/>
  <c r="B143" i="51"/>
  <c r="A143" i="51"/>
  <c r="L142" i="51"/>
  <c r="K142" i="51"/>
  <c r="J142" i="51"/>
  <c r="I142" i="51"/>
  <c r="H142" i="51"/>
  <c r="G142" i="51"/>
  <c r="F142" i="51"/>
  <c r="E142" i="51"/>
  <c r="D142" i="51"/>
  <c r="C142" i="51"/>
  <c r="B142" i="51"/>
  <c r="A142" i="51"/>
  <c r="L141" i="51"/>
  <c r="K141" i="51"/>
  <c r="J141" i="51"/>
  <c r="I141" i="51"/>
  <c r="H141" i="51"/>
  <c r="G141" i="51"/>
  <c r="F141" i="51"/>
  <c r="E141" i="51"/>
  <c r="D141" i="51"/>
  <c r="C141" i="51"/>
  <c r="B141" i="51"/>
  <c r="A141" i="51"/>
  <c r="L140" i="51"/>
  <c r="K140" i="51"/>
  <c r="J140" i="51"/>
  <c r="I140" i="51"/>
  <c r="H140" i="51"/>
  <c r="G140" i="51"/>
  <c r="F140" i="51"/>
  <c r="E140" i="51"/>
  <c r="D140" i="51"/>
  <c r="C140" i="51"/>
  <c r="B140" i="51"/>
  <c r="A140" i="51"/>
  <c r="L139" i="51"/>
  <c r="K139" i="51"/>
  <c r="J139" i="51"/>
  <c r="I139" i="51"/>
  <c r="H139" i="51"/>
  <c r="G139" i="51"/>
  <c r="F139" i="51"/>
  <c r="E139" i="51"/>
  <c r="D139" i="51"/>
  <c r="C139" i="51"/>
  <c r="B139" i="51"/>
  <c r="A139" i="51"/>
  <c r="L138" i="51"/>
  <c r="K138" i="51"/>
  <c r="J138" i="51"/>
  <c r="I138" i="51"/>
  <c r="H138" i="51"/>
  <c r="G138" i="51"/>
  <c r="F138" i="51"/>
  <c r="E138" i="51"/>
  <c r="D138" i="51"/>
  <c r="C138" i="51"/>
  <c r="B138" i="51"/>
  <c r="A138" i="51"/>
  <c r="L137" i="51"/>
  <c r="K137" i="51"/>
  <c r="J137" i="51"/>
  <c r="I137" i="51"/>
  <c r="H137" i="51"/>
  <c r="G137" i="51"/>
  <c r="F137" i="51"/>
  <c r="E137" i="51"/>
  <c r="D137" i="51"/>
  <c r="C137" i="51"/>
  <c r="B137" i="51"/>
  <c r="A137" i="51"/>
  <c r="L136" i="51"/>
  <c r="K136" i="51"/>
  <c r="J136" i="51"/>
  <c r="I136" i="51"/>
  <c r="H136" i="51"/>
  <c r="G136" i="51"/>
  <c r="F136" i="51"/>
  <c r="E136" i="51"/>
  <c r="D136" i="51"/>
  <c r="C136" i="51"/>
  <c r="B136" i="51"/>
  <c r="A136" i="51"/>
  <c r="L135" i="51"/>
  <c r="K135" i="51"/>
  <c r="J135" i="51"/>
  <c r="I135" i="51"/>
  <c r="H135" i="51"/>
  <c r="G135" i="51"/>
  <c r="F135" i="51"/>
  <c r="E135" i="51"/>
  <c r="D135" i="51"/>
  <c r="C135" i="51"/>
  <c r="B135" i="51"/>
  <c r="A135" i="51"/>
  <c r="L134" i="51"/>
  <c r="K134" i="51"/>
  <c r="J134" i="51"/>
  <c r="I134" i="51"/>
  <c r="H134" i="51"/>
  <c r="G134" i="51"/>
  <c r="F134" i="51"/>
  <c r="E134" i="51"/>
  <c r="D134" i="51"/>
  <c r="C134" i="51"/>
  <c r="B134" i="51"/>
  <c r="A134" i="51"/>
  <c r="K1" i="51"/>
  <c r="R110" i="59" l="1"/>
  <c r="R112" i="59" s="1"/>
  <c r="R129" i="59" s="1"/>
  <c r="P110" i="59"/>
  <c r="V28" i="59"/>
  <c r="Q9" i="51"/>
  <c r="Z9" i="51" s="1"/>
  <c r="AA9" i="51" s="1"/>
  <c r="AB9" i="51" s="1"/>
  <c r="Q85" i="51"/>
  <c r="Z85" i="51" s="1"/>
  <c r="AA85" i="51" s="1"/>
  <c r="AB85" i="51" s="1"/>
  <c r="Q70" i="51"/>
  <c r="Z70" i="51" s="1"/>
  <c r="AA70" i="51" s="1"/>
  <c r="AB70" i="51" s="1"/>
  <c r="Q68" i="51"/>
  <c r="Q48" i="51"/>
  <c r="Z48" i="51" s="1"/>
  <c r="AA48" i="51" s="1"/>
  <c r="AB48" i="51" s="1"/>
  <c r="Q44" i="51"/>
  <c r="Z44" i="51" s="1"/>
  <c r="Q36" i="51"/>
  <c r="Z36" i="51" s="1"/>
  <c r="AA36" i="51" s="1"/>
  <c r="AB36" i="51" s="1"/>
  <c r="Q35" i="51"/>
  <c r="Z35" i="51" s="1"/>
  <c r="AA35" i="51" s="1"/>
  <c r="AB35" i="51" s="1"/>
  <c r="Q26" i="51"/>
  <c r="Z26" i="51" s="1"/>
  <c r="AA26" i="51" s="1"/>
  <c r="AB26" i="51" s="1"/>
  <c r="Q23" i="51"/>
  <c r="Z23" i="51" s="1"/>
  <c r="Q15" i="51"/>
  <c r="Z15" i="51" s="1"/>
  <c r="AA15" i="51" s="1"/>
  <c r="AB15" i="51" s="1"/>
  <c r="Q14" i="51"/>
  <c r="Z14" i="51" s="1"/>
  <c r="Q12" i="51"/>
  <c r="Z12" i="51" s="1"/>
  <c r="AA12" i="51" s="1"/>
  <c r="AB12" i="51" s="1"/>
  <c r="Q8" i="51"/>
  <c r="Z8" i="51" s="1"/>
  <c r="AA8" i="51" s="1"/>
  <c r="Q7" i="51"/>
  <c r="Z7" i="51" s="1"/>
  <c r="AA7" i="51" s="1"/>
  <c r="AB7" i="51" s="1"/>
  <c r="U18" i="62"/>
  <c r="P112" i="59" l="1"/>
  <c r="V110" i="59"/>
  <c r="AA14" i="51"/>
  <c r="AB14" i="51" s="1"/>
  <c r="AA23" i="51"/>
  <c r="Y101" i="57"/>
  <c r="Y103" i="57"/>
  <c r="Y104" i="57"/>
  <c r="Y105" i="57"/>
  <c r="Y106" i="57"/>
  <c r="Y107" i="57"/>
  <c r="Y108" i="57"/>
  <c r="Y109" i="57"/>
  <c r="Y110" i="57"/>
  <c r="Y112" i="57" s="1"/>
  <c r="Y111" i="57"/>
  <c r="Y113" i="57"/>
  <c r="Y114" i="57"/>
  <c r="Y115" i="57"/>
  <c r="Y116" i="57"/>
  <c r="Y117" i="57"/>
  <c r="Y118" i="57"/>
  <c r="Y119" i="57"/>
  <c r="Y120" i="57"/>
  <c r="Y121" i="57"/>
  <c r="Y122" i="57"/>
  <c r="Y123" i="57"/>
  <c r="Y124" i="57"/>
  <c r="Y125" i="57"/>
  <c r="Y126" i="57"/>
  <c r="Y127" i="57"/>
  <c r="Y128" i="57"/>
  <c r="Y129" i="57"/>
  <c r="Y90" i="57"/>
  <c r="Y91" i="57"/>
  <c r="Y92" i="57"/>
  <c r="Y93" i="57"/>
  <c r="Y94" i="57"/>
  <c r="Y95" i="57"/>
  <c r="Y96" i="57"/>
  <c r="Y97" i="57"/>
  <c r="Y98" i="57"/>
  <c r="Y99" i="57"/>
  <c r="Y100" i="57"/>
  <c r="Y49" i="57"/>
  <c r="Y50" i="57"/>
  <c r="Y51" i="57"/>
  <c r="Y52" i="57"/>
  <c r="Y54" i="57"/>
  <c r="Y55" i="57"/>
  <c r="Y56" i="57"/>
  <c r="Y57" i="57"/>
  <c r="Y58" i="57"/>
  <c r="Y59" i="57"/>
  <c r="Y60" i="57"/>
  <c r="Y61" i="57"/>
  <c r="Y62" i="57"/>
  <c r="P129" i="59" l="1"/>
  <c r="V129" i="59" s="1"/>
  <c r="V112" i="59"/>
  <c r="AB23" i="51"/>
  <c r="Y102" i="57"/>
  <c r="AB8" i="51"/>
  <c r="O126" i="51" l="1"/>
  <c r="T126" i="51"/>
  <c r="U126" i="51" s="1"/>
  <c r="O171" i="51"/>
  <c r="S171" i="51"/>
  <c r="T171" i="51"/>
  <c r="U171" i="51" s="1"/>
  <c r="P16" i="57" l="1"/>
  <c r="Y16" i="57" s="1"/>
  <c r="P15" i="57"/>
  <c r="Y15" i="57" s="1"/>
  <c r="P14" i="57"/>
  <c r="Y14" i="57" s="1"/>
  <c r="P13" i="57"/>
  <c r="Y13" i="57" s="1"/>
  <c r="P11" i="57"/>
  <c r="Y11" i="57" s="1"/>
  <c r="P10" i="57"/>
  <c r="Y10" i="57" s="1"/>
  <c r="P9" i="57"/>
  <c r="Y9" i="57" s="1"/>
  <c r="P8" i="57"/>
  <c r="Y8" i="57" s="1"/>
  <c r="P12" i="57" l="1"/>
  <c r="Y12" i="57" s="1"/>
  <c r="P7" i="57"/>
  <c r="Y7" i="57" s="1"/>
  <c r="P14" i="58"/>
  <c r="P15" i="58" l="1"/>
  <c r="P9" i="58"/>
  <c r="T18" i="77" l="1"/>
  <c r="T102" i="77"/>
  <c r="T91" i="77"/>
  <c r="T65" i="77"/>
  <c r="T46" i="77"/>
  <c r="S162" i="51"/>
  <c r="S18" i="51"/>
  <c r="S28" i="51"/>
  <c r="S46" i="51"/>
  <c r="S65" i="51"/>
  <c r="S91" i="51"/>
  <c r="S102" i="51"/>
  <c r="S108" i="51"/>
  <c r="S127" i="51"/>
  <c r="V7" i="57"/>
  <c r="R16" i="57"/>
  <c r="R15" i="57"/>
  <c r="R14" i="57"/>
  <c r="R13" i="57"/>
  <c r="R11" i="57"/>
  <c r="R10" i="57"/>
  <c r="R7" i="57"/>
  <c r="T28" i="77" l="1"/>
  <c r="S110" i="51"/>
  <c r="S112" i="51" s="1"/>
  <c r="S129" i="51" s="1"/>
  <c r="S167" i="51"/>
  <c r="T114" i="77" l="1"/>
  <c r="Y19" i="51"/>
  <c r="X130" i="51"/>
  <c r="Y130" i="51" s="1"/>
  <c r="X66" i="51"/>
  <c r="Y66" i="51" s="1"/>
  <c r="T127" i="77" l="1"/>
  <c r="T18" i="64"/>
  <c r="U7" i="64"/>
  <c r="U7" i="77" l="1"/>
  <c r="U7" i="79"/>
  <c r="U7" i="78"/>
  <c r="T170" i="51"/>
  <c r="T169" i="51"/>
  <c r="T168" i="51"/>
  <c r="T167" i="51"/>
  <c r="U167" i="51" s="1"/>
  <c r="T166" i="51"/>
  <c r="T165" i="51"/>
  <c r="T164" i="51"/>
  <c r="U164" i="51" s="1"/>
  <c r="T163" i="51"/>
  <c r="T162" i="51"/>
  <c r="T161" i="51"/>
  <c r="T160" i="51"/>
  <c r="T159" i="51"/>
  <c r="U159" i="51" s="1"/>
  <c r="T158" i="51"/>
  <c r="T157" i="51"/>
  <c r="T156" i="51"/>
  <c r="T155" i="51"/>
  <c r="T154" i="51"/>
  <c r="T153" i="51"/>
  <c r="U153" i="51" s="1"/>
  <c r="T152" i="51"/>
  <c r="T151" i="51"/>
  <c r="U151" i="51" s="1"/>
  <c r="T150" i="51"/>
  <c r="T149" i="51"/>
  <c r="T148" i="51"/>
  <c r="T147" i="51"/>
  <c r="U147" i="51" s="1"/>
  <c r="T146" i="51"/>
  <c r="T145" i="51"/>
  <c r="U145" i="51" s="1"/>
  <c r="T144" i="51"/>
  <c r="T143" i="51"/>
  <c r="U143" i="51" s="1"/>
  <c r="T142" i="51"/>
  <c r="T141" i="51"/>
  <c r="T140" i="51"/>
  <c r="T139" i="51"/>
  <c r="T138" i="51"/>
  <c r="T137" i="51"/>
  <c r="U137" i="51" s="1"/>
  <c r="T136" i="51"/>
  <c r="T135" i="51"/>
  <c r="U135" i="51" s="1"/>
  <c r="T134" i="51"/>
  <c r="T133" i="51"/>
  <c r="T132" i="51"/>
  <c r="T130" i="51"/>
  <c r="T128" i="51"/>
  <c r="T125" i="51"/>
  <c r="T124" i="51"/>
  <c r="T123" i="51"/>
  <c r="T122" i="51"/>
  <c r="T121" i="51"/>
  <c r="T120" i="51"/>
  <c r="T119" i="51"/>
  <c r="T118" i="51"/>
  <c r="T117" i="51"/>
  <c r="T116" i="51"/>
  <c r="T115" i="51"/>
  <c r="T114" i="51"/>
  <c r="T113" i="51"/>
  <c r="U113" i="51" s="1"/>
  <c r="T111" i="51"/>
  <c r="T109" i="51"/>
  <c r="T107" i="51"/>
  <c r="T106" i="51"/>
  <c r="T105" i="51"/>
  <c r="T104" i="51"/>
  <c r="T103" i="51"/>
  <c r="T101" i="51"/>
  <c r="T100" i="51"/>
  <c r="T99" i="51"/>
  <c r="T98" i="51"/>
  <c r="T97" i="51"/>
  <c r="T96" i="51"/>
  <c r="T95" i="51"/>
  <c r="T94" i="51"/>
  <c r="T93" i="51"/>
  <c r="T92" i="51"/>
  <c r="T90" i="51"/>
  <c r="U90" i="51" s="1"/>
  <c r="T89" i="51"/>
  <c r="T88" i="51"/>
  <c r="T87" i="51"/>
  <c r="T86" i="51"/>
  <c r="T85" i="51"/>
  <c r="T84" i="51"/>
  <c r="T83" i="51"/>
  <c r="T82" i="51"/>
  <c r="T81" i="51"/>
  <c r="T80" i="51"/>
  <c r="T79" i="51"/>
  <c r="T78" i="51"/>
  <c r="T77" i="51"/>
  <c r="T76" i="51"/>
  <c r="T75" i="51"/>
  <c r="T74" i="51"/>
  <c r="T73" i="51"/>
  <c r="T72" i="51"/>
  <c r="T71" i="51"/>
  <c r="T70" i="51"/>
  <c r="T69" i="51"/>
  <c r="T68" i="51"/>
  <c r="T67" i="51"/>
  <c r="T66" i="51"/>
  <c r="U66" i="51" s="1"/>
  <c r="T64" i="51"/>
  <c r="T63" i="51"/>
  <c r="T62" i="51"/>
  <c r="T61" i="51"/>
  <c r="T60" i="51"/>
  <c r="T59" i="51"/>
  <c r="T58" i="51"/>
  <c r="T57" i="51"/>
  <c r="T56" i="51"/>
  <c r="T55" i="51"/>
  <c r="T54" i="51"/>
  <c r="T53" i="51"/>
  <c r="T52" i="51"/>
  <c r="T51" i="51"/>
  <c r="T50" i="51"/>
  <c r="T49" i="51"/>
  <c r="T48" i="51"/>
  <c r="T47" i="51"/>
  <c r="T45" i="51"/>
  <c r="T44" i="51"/>
  <c r="T43" i="51"/>
  <c r="T42" i="51"/>
  <c r="T41" i="51"/>
  <c r="T40" i="51"/>
  <c r="T39" i="51"/>
  <c r="T38" i="51"/>
  <c r="T37" i="51"/>
  <c r="T36" i="51"/>
  <c r="T35" i="51"/>
  <c r="T34" i="51"/>
  <c r="T33" i="51"/>
  <c r="T32" i="51"/>
  <c r="T31" i="51"/>
  <c r="T30" i="51"/>
  <c r="T29" i="51"/>
  <c r="T27" i="51"/>
  <c r="U27" i="51" s="1"/>
  <c r="T26" i="51"/>
  <c r="U26" i="51" s="1"/>
  <c r="T25" i="51"/>
  <c r="T24" i="51"/>
  <c r="T23" i="51"/>
  <c r="U23" i="51" s="1"/>
  <c r="T22" i="51"/>
  <c r="T21" i="51"/>
  <c r="T20" i="51"/>
  <c r="T19" i="51"/>
  <c r="U19" i="51" s="1"/>
  <c r="T17" i="51"/>
  <c r="U17" i="51" s="1"/>
  <c r="T16" i="51"/>
  <c r="T15" i="51"/>
  <c r="T14" i="51"/>
  <c r="T13" i="51"/>
  <c r="T12" i="51"/>
  <c r="T11" i="51"/>
  <c r="T10" i="51"/>
  <c r="T9" i="51"/>
  <c r="U9" i="51" s="1"/>
  <c r="T8" i="51"/>
  <c r="U8" i="51" s="1"/>
  <c r="T7" i="51"/>
  <c r="S169" i="51"/>
  <c r="S168" i="51"/>
  <c r="S165" i="51"/>
  <c r="S163" i="51"/>
  <c r="S161" i="51"/>
  <c r="U160" i="51"/>
  <c r="U152" i="51"/>
  <c r="U144" i="51"/>
  <c r="U136" i="51"/>
  <c r="S130" i="51"/>
  <c r="U111" i="51"/>
  <c r="U92" i="51"/>
  <c r="S9" i="76"/>
  <c r="S10" i="76"/>
  <c r="S11" i="76"/>
  <c r="S12" i="76"/>
  <c r="Y89" i="57"/>
  <c r="Y88" i="57"/>
  <c r="Y87" i="57"/>
  <c r="Y86" i="57"/>
  <c r="Y85" i="57"/>
  <c r="Y84" i="57"/>
  <c r="Y83" i="57"/>
  <c r="Y82" i="57"/>
  <c r="Y81" i="57"/>
  <c r="Y80" i="57"/>
  <c r="Y79" i="57"/>
  <c r="Y78" i="57"/>
  <c r="Y77" i="57"/>
  <c r="Y76" i="57"/>
  <c r="Y75" i="57"/>
  <c r="Y74" i="57"/>
  <c r="Y73" i="57"/>
  <c r="Y72" i="57"/>
  <c r="Y71" i="57"/>
  <c r="Y70" i="57"/>
  <c r="Y69" i="57"/>
  <c r="Y68" i="57"/>
  <c r="Y67" i="57"/>
  <c r="Y63" i="57"/>
  <c r="Y48" i="57"/>
  <c r="Y44" i="57"/>
  <c r="Y43" i="57"/>
  <c r="Y42" i="57"/>
  <c r="Y41" i="57"/>
  <c r="Y40" i="57"/>
  <c r="Y39" i="57"/>
  <c r="Y38" i="57"/>
  <c r="Y37" i="57"/>
  <c r="Y36" i="57"/>
  <c r="Y35" i="57"/>
  <c r="Y34" i="57"/>
  <c r="Y33" i="57"/>
  <c r="Y32" i="57"/>
  <c r="Y31" i="57"/>
  <c r="Y30" i="57"/>
  <c r="Y26" i="57"/>
  <c r="Y25" i="57"/>
  <c r="Y24" i="57"/>
  <c r="Y23" i="57"/>
  <c r="Y22" i="57"/>
  <c r="Y21" i="57"/>
  <c r="Y20" i="57"/>
  <c r="U169" i="51" l="1"/>
  <c r="U161" i="51"/>
  <c r="T108" i="51"/>
  <c r="Y47" i="57"/>
  <c r="Y29" i="57"/>
  <c r="Y45" i="57"/>
  <c r="Y64" i="57"/>
  <c r="Y28" i="57"/>
  <c r="Y27" i="57"/>
  <c r="Y46" i="57"/>
  <c r="U163" i="51"/>
  <c r="V11" i="57"/>
  <c r="V16" i="57"/>
  <c r="V13" i="57"/>
  <c r="V15" i="57"/>
  <c r="V10" i="57"/>
  <c r="V14" i="57"/>
  <c r="T5" i="76"/>
  <c r="S8" i="76"/>
  <c r="U47" i="51"/>
  <c r="T8" i="76"/>
  <c r="U134" i="51"/>
  <c r="U142" i="51"/>
  <c r="U150" i="51"/>
  <c r="U158" i="51"/>
  <c r="U128" i="51"/>
  <c r="U35" i="51"/>
  <c r="U107" i="51"/>
  <c r="U103" i="51"/>
  <c r="U36" i="51"/>
  <c r="U44" i="51"/>
  <c r="U68" i="51"/>
  <c r="U165" i="51"/>
  <c r="U139" i="51"/>
  <c r="U155" i="51"/>
  <c r="U133" i="51"/>
  <c r="U141" i="51"/>
  <c r="U149" i="51"/>
  <c r="U157" i="51"/>
  <c r="U132" i="51"/>
  <c r="U140" i="51"/>
  <c r="U148" i="51"/>
  <c r="U156" i="51"/>
  <c r="U166" i="51"/>
  <c r="U70" i="51"/>
  <c r="U48" i="51"/>
  <c r="U15" i="51"/>
  <c r="U64" i="51"/>
  <c r="U168" i="51"/>
  <c r="U138" i="51"/>
  <c r="U146" i="51"/>
  <c r="U154" i="51"/>
  <c r="S170" i="51"/>
  <c r="U14" i="51"/>
  <c r="U12" i="51"/>
  <c r="U29" i="51"/>
  <c r="U45" i="51"/>
  <c r="U85" i="51"/>
  <c r="U101" i="51"/>
  <c r="U109" i="51"/>
  <c r="T7" i="76"/>
  <c r="T6" i="76" l="1"/>
  <c r="T131" i="51"/>
  <c r="U131" i="51" s="1"/>
  <c r="S5" i="76" l="1"/>
  <c r="S7" i="76"/>
  <c r="S6" i="76"/>
  <c r="S172" i="51"/>
  <c r="Q162" i="51" l="1"/>
  <c r="U162" i="51" s="1"/>
  <c r="Q170" i="51" l="1"/>
  <c r="U170" i="51" s="1"/>
  <c r="U130" i="51"/>
  <c r="U128" i="64"/>
  <c r="T127" i="64"/>
  <c r="U126" i="64"/>
  <c r="U125" i="64"/>
  <c r="U124" i="64"/>
  <c r="U123" i="64"/>
  <c r="U122" i="64"/>
  <c r="U121" i="64"/>
  <c r="U120" i="64"/>
  <c r="U119" i="64"/>
  <c r="U118" i="64"/>
  <c r="U117" i="64"/>
  <c r="U116" i="64"/>
  <c r="U115" i="64"/>
  <c r="U114" i="64"/>
  <c r="U113" i="64"/>
  <c r="U111" i="64"/>
  <c r="U109" i="64"/>
  <c r="T108" i="64"/>
  <c r="U108" i="64" s="1"/>
  <c r="U107" i="64"/>
  <c r="U106" i="64"/>
  <c r="U105" i="64"/>
  <c r="U104" i="64"/>
  <c r="U103" i="64"/>
  <c r="T102" i="64"/>
  <c r="U101" i="64"/>
  <c r="U100" i="64"/>
  <c r="U99" i="64"/>
  <c r="U98" i="64"/>
  <c r="U97" i="64"/>
  <c r="U96" i="64"/>
  <c r="U95" i="64"/>
  <c r="U94" i="64"/>
  <c r="U93" i="64"/>
  <c r="U92" i="64"/>
  <c r="T91" i="64"/>
  <c r="U91" i="64" s="1"/>
  <c r="U90" i="64"/>
  <c r="U89" i="64"/>
  <c r="U88" i="64"/>
  <c r="U87" i="64"/>
  <c r="U86" i="64"/>
  <c r="U85" i="64"/>
  <c r="U84" i="64"/>
  <c r="U83" i="64"/>
  <c r="U82" i="64"/>
  <c r="U81" i="64"/>
  <c r="U80" i="64"/>
  <c r="U79" i="64"/>
  <c r="U78" i="64"/>
  <c r="U77" i="64"/>
  <c r="U76" i="64"/>
  <c r="U75" i="64"/>
  <c r="U74" i="64"/>
  <c r="U73" i="64"/>
  <c r="U72" i="64"/>
  <c r="U71" i="64"/>
  <c r="U70" i="64"/>
  <c r="U69" i="64"/>
  <c r="U68" i="64"/>
  <c r="U67" i="64"/>
  <c r="U66" i="64"/>
  <c r="U64" i="64"/>
  <c r="U63" i="64"/>
  <c r="U62" i="64"/>
  <c r="U61" i="64"/>
  <c r="U60" i="64"/>
  <c r="U59" i="64"/>
  <c r="U58" i="64"/>
  <c r="U57" i="64"/>
  <c r="U56" i="64"/>
  <c r="U55" i="64"/>
  <c r="U54" i="64"/>
  <c r="U53" i="64"/>
  <c r="U52" i="64"/>
  <c r="U51" i="64"/>
  <c r="U50" i="64"/>
  <c r="U49" i="64"/>
  <c r="U48" i="64"/>
  <c r="U47" i="64"/>
  <c r="U46" i="64"/>
  <c r="T46" i="64"/>
  <c r="U45" i="64"/>
  <c r="U44" i="64"/>
  <c r="U43" i="64"/>
  <c r="U42" i="64"/>
  <c r="U41" i="64"/>
  <c r="U40" i="64"/>
  <c r="U39" i="64"/>
  <c r="U38" i="64"/>
  <c r="U37" i="64"/>
  <c r="U36" i="64"/>
  <c r="U35" i="64"/>
  <c r="U34" i="64"/>
  <c r="U33" i="64"/>
  <c r="U32" i="64"/>
  <c r="U31" i="64"/>
  <c r="U30" i="64"/>
  <c r="U29" i="64"/>
  <c r="T28" i="64"/>
  <c r="U27" i="64"/>
  <c r="U26" i="64"/>
  <c r="U25" i="64"/>
  <c r="U24" i="64"/>
  <c r="U23" i="64"/>
  <c r="U22" i="64"/>
  <c r="U21" i="64"/>
  <c r="U20" i="64"/>
  <c r="U19" i="64"/>
  <c r="U17" i="64"/>
  <c r="U16" i="64"/>
  <c r="U15" i="64"/>
  <c r="U14" i="64"/>
  <c r="U13" i="64"/>
  <c r="U12" i="64"/>
  <c r="U11" i="64"/>
  <c r="U10" i="64"/>
  <c r="U9" i="64"/>
  <c r="U8" i="64"/>
  <c r="U102" i="64" l="1"/>
  <c r="U18" i="64"/>
  <c r="T110" i="64"/>
  <c r="T112" i="64"/>
  <c r="T112" i="78" l="1"/>
  <c r="T112" i="79"/>
  <c r="T112" i="77"/>
  <c r="T110" i="79"/>
  <c r="T110" i="78"/>
  <c r="T110" i="77"/>
  <c r="T129" i="64"/>
  <c r="T12" i="76" l="1"/>
  <c r="T129" i="78"/>
  <c r="T172" i="78" s="1"/>
  <c r="T129" i="79"/>
  <c r="T172" i="79" s="1"/>
  <c r="T129" i="77"/>
  <c r="T172" i="77" s="1"/>
  <c r="T46" i="51"/>
  <c r="T28" i="51"/>
  <c r="T11" i="76" l="1"/>
  <c r="T127" i="51" l="1"/>
  <c r="T102" i="51"/>
  <c r="T91" i="51"/>
  <c r="T65" i="51"/>
  <c r="T110" i="51" l="1"/>
  <c r="M9" i="73"/>
  <c r="L9" i="73"/>
  <c r="K9" i="73"/>
  <c r="E21" i="75" l="1"/>
  <c r="E8" i="75"/>
  <c r="E34" i="75" s="1"/>
  <c r="N41" i="73"/>
  <c r="N40" i="73"/>
  <c r="M39" i="73"/>
  <c r="L39" i="73"/>
  <c r="N39" i="73" s="1"/>
  <c r="K39" i="73"/>
  <c r="B35" i="73"/>
  <c r="C35" i="73" s="1"/>
  <c r="D35" i="73" s="1"/>
  <c r="E35" i="73" s="1"/>
  <c r="F35" i="73" s="1"/>
  <c r="G35" i="73" s="1"/>
  <c r="H35" i="73" s="1"/>
  <c r="I35" i="73" s="1"/>
  <c r="J35" i="73" s="1"/>
  <c r="B34" i="73"/>
  <c r="C34" i="73" s="1"/>
  <c r="D34" i="73" s="1"/>
  <c r="E34" i="73" s="1"/>
  <c r="F34" i="73" s="1"/>
  <c r="G34" i="73" s="1"/>
  <c r="H34" i="73" s="1"/>
  <c r="I34" i="73" s="1"/>
  <c r="J34" i="73" s="1"/>
  <c r="K34" i="73" s="1"/>
  <c r="L34" i="73" s="1"/>
  <c r="M34" i="73" s="1"/>
  <c r="P33" i="73"/>
  <c r="B33" i="73"/>
  <c r="C33" i="73" s="1"/>
  <c r="D33" i="73" s="1"/>
  <c r="E33" i="73" s="1"/>
  <c r="F33" i="73" s="1"/>
  <c r="G33" i="73" s="1"/>
  <c r="H33" i="73" s="1"/>
  <c r="I33" i="73" s="1"/>
  <c r="P35" i="73" l="1"/>
  <c r="T9" i="76"/>
  <c r="J33" i="73"/>
  <c r="K33" i="73" l="1"/>
  <c r="L33" i="73" s="1"/>
  <c r="M33" i="73" s="1"/>
  <c r="P34" i="73" s="1"/>
  <c r="O33" i="73"/>
  <c r="N168" i="51" l="1"/>
  <c r="N167" i="51"/>
  <c r="N166" i="51"/>
  <c r="N160" i="51"/>
  <c r="N159" i="51"/>
  <c r="N158" i="51"/>
  <c r="N157" i="51"/>
  <c r="N156" i="51"/>
  <c r="N155" i="51"/>
  <c r="N154" i="51"/>
  <c r="N153" i="51"/>
  <c r="N152" i="51"/>
  <c r="N151" i="51"/>
  <c r="N150" i="51"/>
  <c r="N149" i="51"/>
  <c r="N148" i="51"/>
  <c r="N147" i="51"/>
  <c r="N146" i="51"/>
  <c r="N145" i="51"/>
  <c r="N144" i="51"/>
  <c r="N143" i="51"/>
  <c r="N142" i="51"/>
  <c r="N141" i="51"/>
  <c r="N140" i="51"/>
  <c r="N139" i="51"/>
  <c r="N138" i="51"/>
  <c r="N137" i="51"/>
  <c r="N136" i="51"/>
  <c r="N135" i="51"/>
  <c r="N134" i="51"/>
  <c r="N133" i="51"/>
  <c r="N132" i="51"/>
  <c r="N131" i="51"/>
  <c r="Q165" i="45" l="1"/>
  <c r="Q166" i="45"/>
  <c r="Q167" i="45"/>
  <c r="S167" i="45" s="1"/>
  <c r="Q168" i="45"/>
  <c r="S168" i="45" s="1"/>
  <c r="Q164" i="45"/>
  <c r="S164" i="45" s="1"/>
  <c r="N162" i="45"/>
  <c r="N170" i="45" s="1"/>
  <c r="O162" i="45"/>
  <c r="O170" i="45" s="1"/>
  <c r="P162" i="45"/>
  <c r="P170" i="45" s="1"/>
  <c r="R162" i="45"/>
  <c r="Q7" i="45"/>
  <c r="S7" i="45" s="1"/>
  <c r="R108" i="45"/>
  <c r="R102" i="45"/>
  <c r="R91" i="45"/>
  <c r="R65" i="45"/>
  <c r="R46" i="45"/>
  <c r="S40" i="45"/>
  <c r="S130" i="45"/>
  <c r="T130" i="45" s="1"/>
  <c r="S161" i="45"/>
  <c r="V161" i="45" s="1"/>
  <c r="S163" i="45"/>
  <c r="T163" i="45" s="1"/>
  <c r="U163" i="45" s="1"/>
  <c r="S165" i="45"/>
  <c r="S169" i="45"/>
  <c r="T169" i="45" s="1"/>
  <c r="U169" i="45" s="1"/>
  <c r="S171" i="45"/>
  <c r="T171" i="45" s="1"/>
  <c r="R28" i="45"/>
  <c r="R18" i="45"/>
  <c r="Q160" i="45"/>
  <c r="S160" i="45" s="1"/>
  <c r="Q159" i="45"/>
  <c r="S159" i="45" s="1"/>
  <c r="Q158" i="45"/>
  <c r="S158" i="45" s="1"/>
  <c r="Q157" i="45"/>
  <c r="S157" i="45" s="1"/>
  <c r="Q156" i="45"/>
  <c r="S156" i="45" s="1"/>
  <c r="Q155" i="45"/>
  <c r="S155" i="45" s="1"/>
  <c r="Q154" i="45"/>
  <c r="S154" i="45" s="1"/>
  <c r="Q153" i="45"/>
  <c r="S153" i="45" s="1"/>
  <c r="Q152" i="45"/>
  <c r="S152" i="45" s="1"/>
  <c r="Q151" i="45"/>
  <c r="S151" i="45" s="1"/>
  <c r="Q150" i="45"/>
  <c r="S150" i="45" s="1"/>
  <c r="Q149" i="45"/>
  <c r="S149" i="45" s="1"/>
  <c r="Q148" i="45"/>
  <c r="S148" i="45" s="1"/>
  <c r="Q147" i="45"/>
  <c r="S147" i="45" s="1"/>
  <c r="Q146" i="45"/>
  <c r="S146" i="45" s="1"/>
  <c r="Q145" i="45"/>
  <c r="S145" i="45" s="1"/>
  <c r="Q144" i="45"/>
  <c r="S144" i="45" s="1"/>
  <c r="Q143" i="45"/>
  <c r="S143" i="45" s="1"/>
  <c r="Q142" i="45"/>
  <c r="S142" i="45" s="1"/>
  <c r="Q141" i="45"/>
  <c r="S141" i="45" s="1"/>
  <c r="Q140" i="45"/>
  <c r="S140" i="45" s="1"/>
  <c r="Q139" i="45"/>
  <c r="S139" i="45" s="1"/>
  <c r="Q138" i="45"/>
  <c r="S138" i="45" s="1"/>
  <c r="Q137" i="45"/>
  <c r="S137" i="45" s="1"/>
  <c r="Q136" i="45"/>
  <c r="S136" i="45" s="1"/>
  <c r="Q135" i="45"/>
  <c r="S135" i="45" s="1"/>
  <c r="Q134" i="45"/>
  <c r="S134" i="45" s="1"/>
  <c r="Q133" i="45"/>
  <c r="S133" i="45" s="1"/>
  <c r="Q132" i="45"/>
  <c r="S132" i="45" s="1"/>
  <c r="Q131" i="45"/>
  <c r="S131" i="45" s="1"/>
  <c r="Q128" i="45"/>
  <c r="R128" i="45" s="1"/>
  <c r="S128" i="45" s="1"/>
  <c r="T128" i="45" s="1"/>
  <c r="Q126" i="45"/>
  <c r="S126" i="45" s="1"/>
  <c r="T126" i="45" s="1"/>
  <c r="Q125" i="45"/>
  <c r="S125" i="45" s="1"/>
  <c r="Q124" i="45"/>
  <c r="S124" i="45" s="1"/>
  <c r="Q123" i="45"/>
  <c r="S123" i="45" s="1"/>
  <c r="Q122" i="45"/>
  <c r="S122" i="45" s="1"/>
  <c r="Q121" i="45"/>
  <c r="S121" i="45" s="1"/>
  <c r="Q120" i="45"/>
  <c r="S120" i="45" s="1"/>
  <c r="Q119" i="45"/>
  <c r="S119" i="45" s="1"/>
  <c r="Q118" i="45"/>
  <c r="S118" i="45" s="1"/>
  <c r="Q117" i="45"/>
  <c r="S117" i="45" s="1"/>
  <c r="Q116" i="45"/>
  <c r="S116" i="45" s="1"/>
  <c r="Q115" i="45"/>
  <c r="S115" i="45" s="1"/>
  <c r="Q114" i="45"/>
  <c r="Q113" i="45"/>
  <c r="S113" i="45" s="1"/>
  <c r="T113" i="45" s="1"/>
  <c r="Q111" i="45"/>
  <c r="S111" i="45" s="1"/>
  <c r="T111" i="45" s="1"/>
  <c r="Q109" i="45"/>
  <c r="S109" i="45" s="1"/>
  <c r="T109" i="45" s="1"/>
  <c r="Q107" i="45"/>
  <c r="S107" i="45" s="1"/>
  <c r="Q106" i="45"/>
  <c r="S106" i="45" s="1"/>
  <c r="Q105" i="45"/>
  <c r="S105" i="45" s="1"/>
  <c r="Q104" i="45"/>
  <c r="S104" i="45" s="1"/>
  <c r="Q103" i="45"/>
  <c r="S103" i="45" s="1"/>
  <c r="V103" i="45" s="1"/>
  <c r="Q101" i="45"/>
  <c r="S101" i="45" s="1"/>
  <c r="V101" i="45" s="1"/>
  <c r="Q100" i="45"/>
  <c r="S100" i="45" s="1"/>
  <c r="Q99" i="45"/>
  <c r="S99" i="45" s="1"/>
  <c r="Q98" i="45"/>
  <c r="S98" i="45" s="1"/>
  <c r="Q97" i="45"/>
  <c r="S97" i="45" s="1"/>
  <c r="Q96" i="45"/>
  <c r="S96" i="45" s="1"/>
  <c r="Q95" i="45"/>
  <c r="S95" i="45" s="1"/>
  <c r="Q94" i="45"/>
  <c r="S94" i="45" s="1"/>
  <c r="Q93" i="45"/>
  <c r="S93" i="45" s="1"/>
  <c r="Q92" i="45"/>
  <c r="S92" i="45" s="1"/>
  <c r="Q90" i="45"/>
  <c r="S90" i="45" s="1"/>
  <c r="Q89" i="45"/>
  <c r="S89" i="45" s="1"/>
  <c r="Q88" i="45"/>
  <c r="S88" i="45" s="1"/>
  <c r="Q87" i="45"/>
  <c r="S87" i="45" s="1"/>
  <c r="Q86" i="45"/>
  <c r="S86" i="45" s="1"/>
  <c r="Q85" i="45"/>
  <c r="S85" i="45" s="1"/>
  <c r="Q84" i="45"/>
  <c r="S84" i="45" s="1"/>
  <c r="Q83" i="45"/>
  <c r="S83" i="45" s="1"/>
  <c r="Q82" i="45"/>
  <c r="S82" i="45" s="1"/>
  <c r="Q81" i="45"/>
  <c r="S81" i="45" s="1"/>
  <c r="Q80" i="45"/>
  <c r="S80" i="45" s="1"/>
  <c r="Q79" i="45"/>
  <c r="S79" i="45" s="1"/>
  <c r="Q78" i="45"/>
  <c r="S78" i="45" s="1"/>
  <c r="Q77" i="45"/>
  <c r="S77" i="45" s="1"/>
  <c r="Q76" i="45"/>
  <c r="S76" i="45" s="1"/>
  <c r="Q75" i="45"/>
  <c r="S75" i="45" s="1"/>
  <c r="Q74" i="45"/>
  <c r="S74" i="45" s="1"/>
  <c r="Q73" i="45"/>
  <c r="S73" i="45" s="1"/>
  <c r="Q72" i="45"/>
  <c r="S72" i="45" s="1"/>
  <c r="Q71" i="45"/>
  <c r="S71" i="45" s="1"/>
  <c r="Q70" i="45"/>
  <c r="S70" i="45" s="1"/>
  <c r="Q69" i="45"/>
  <c r="S69" i="45" s="1"/>
  <c r="Q68" i="45"/>
  <c r="S68" i="45" s="1"/>
  <c r="Q67" i="45"/>
  <c r="S67" i="45" s="1"/>
  <c r="Q66" i="45"/>
  <c r="S66" i="45" s="1"/>
  <c r="Q64" i="45"/>
  <c r="S64" i="45" s="1"/>
  <c r="V64" i="45" s="1"/>
  <c r="Q63" i="45"/>
  <c r="S63" i="45" s="1"/>
  <c r="Q62" i="45"/>
  <c r="S62" i="45" s="1"/>
  <c r="Q61" i="45"/>
  <c r="S61" i="45" s="1"/>
  <c r="Q60" i="45"/>
  <c r="S60" i="45" s="1"/>
  <c r="Q59" i="45"/>
  <c r="S59" i="45" s="1"/>
  <c r="Q58" i="45"/>
  <c r="S58" i="45" s="1"/>
  <c r="Q57" i="45"/>
  <c r="S57" i="45" s="1"/>
  <c r="Q56" i="45"/>
  <c r="S56" i="45" s="1"/>
  <c r="Q55" i="45"/>
  <c r="S55" i="45" s="1"/>
  <c r="Q54" i="45"/>
  <c r="S54" i="45" s="1"/>
  <c r="Q53" i="45"/>
  <c r="S53" i="45" s="1"/>
  <c r="Q52" i="45"/>
  <c r="S52" i="45" s="1"/>
  <c r="Q51" i="45"/>
  <c r="S51" i="45" s="1"/>
  <c r="Q50" i="45"/>
  <c r="S50" i="45" s="1"/>
  <c r="Q49" i="45"/>
  <c r="S49" i="45" s="1"/>
  <c r="Q48" i="45"/>
  <c r="S48" i="45" s="1"/>
  <c r="Q47" i="45"/>
  <c r="S47" i="45" s="1"/>
  <c r="Q45" i="45"/>
  <c r="S45" i="45" s="1"/>
  <c r="Q44" i="45"/>
  <c r="S44" i="45" s="1"/>
  <c r="Q43" i="45"/>
  <c r="S43" i="45" s="1"/>
  <c r="Q42" i="45"/>
  <c r="S42" i="45" s="1"/>
  <c r="Q41" i="45"/>
  <c r="S41" i="45" s="1"/>
  <c r="Q40" i="45"/>
  <c r="Q39" i="45"/>
  <c r="S39" i="45" s="1"/>
  <c r="Q38" i="45"/>
  <c r="S38" i="45" s="1"/>
  <c r="Q37" i="45"/>
  <c r="S37" i="45" s="1"/>
  <c r="Q36" i="45"/>
  <c r="S36" i="45" s="1"/>
  <c r="Q35" i="45"/>
  <c r="S35" i="45" s="1"/>
  <c r="Q34" i="45"/>
  <c r="S34" i="45" s="1"/>
  <c r="Q33" i="45"/>
  <c r="S33" i="45" s="1"/>
  <c r="Q32" i="45"/>
  <c r="S32" i="45" s="1"/>
  <c r="Q31" i="45"/>
  <c r="S31" i="45" s="1"/>
  <c r="Q30" i="45"/>
  <c r="S30" i="45" s="1"/>
  <c r="Q29" i="45"/>
  <c r="S29" i="45" s="1"/>
  <c r="Q27" i="45"/>
  <c r="S27" i="45" s="1"/>
  <c r="T27" i="45" s="1"/>
  <c r="Q26" i="45"/>
  <c r="S26" i="45" s="1"/>
  <c r="Q25" i="45"/>
  <c r="S25" i="45" s="1"/>
  <c r="Q24" i="45"/>
  <c r="S24" i="45" s="1"/>
  <c r="Q23" i="45"/>
  <c r="S23" i="45" s="1"/>
  <c r="Q22" i="45"/>
  <c r="S22" i="45" s="1"/>
  <c r="Q20" i="45"/>
  <c r="S20" i="45" s="1"/>
  <c r="Q19" i="45"/>
  <c r="S19" i="45" s="1"/>
  <c r="V19" i="45" s="1"/>
  <c r="Q17" i="45"/>
  <c r="S17" i="45" s="1"/>
  <c r="Q16" i="45"/>
  <c r="S16" i="45" s="1"/>
  <c r="Q15" i="45"/>
  <c r="S15" i="45" s="1"/>
  <c r="Q14" i="45"/>
  <c r="S14" i="45" s="1"/>
  <c r="Q13" i="45"/>
  <c r="S13" i="45" s="1"/>
  <c r="Q12" i="45"/>
  <c r="S12" i="45" s="1"/>
  <c r="Q11" i="45"/>
  <c r="S11" i="45" s="1"/>
  <c r="Q10" i="45"/>
  <c r="S10" i="45" s="1"/>
  <c r="Q9" i="45"/>
  <c r="S9" i="45" s="1"/>
  <c r="Q8" i="45"/>
  <c r="S8" i="45" s="1"/>
  <c r="O21" i="45"/>
  <c r="Q21" i="45" s="1"/>
  <c r="S21" i="45" s="1"/>
  <c r="O127" i="45"/>
  <c r="O108" i="45"/>
  <c r="O102" i="45"/>
  <c r="O91" i="45"/>
  <c r="O65" i="45"/>
  <c r="O46" i="45"/>
  <c r="O18" i="45"/>
  <c r="R114" i="45" l="1"/>
  <c r="S114" i="45" s="1"/>
  <c r="S127" i="45" s="1"/>
  <c r="R166" i="45"/>
  <c r="R170" i="45" s="1"/>
  <c r="O28" i="45"/>
  <c r="O112" i="45" s="1"/>
  <c r="T161" i="45"/>
  <c r="U161" i="45" s="1"/>
  <c r="V169" i="45"/>
  <c r="V163" i="45"/>
  <c r="R112" i="45"/>
  <c r="V107" i="45"/>
  <c r="T107" i="45"/>
  <c r="U107" i="45" s="1"/>
  <c r="V90" i="45"/>
  <c r="T90" i="45"/>
  <c r="U90" i="45" s="1"/>
  <c r="T92" i="45"/>
  <c r="U92" i="45" s="1"/>
  <c r="V92" i="45"/>
  <c r="S162" i="45"/>
  <c r="Q162" i="45"/>
  <c r="Q170" i="45" s="1"/>
  <c r="T103" i="45"/>
  <c r="U103" i="45" s="1"/>
  <c r="T101" i="45"/>
  <c r="U101" i="45" s="1"/>
  <c r="Q102" i="45"/>
  <c r="S102" i="45" s="1"/>
  <c r="V66" i="45"/>
  <c r="T66" i="45"/>
  <c r="U66" i="45" s="1"/>
  <c r="V29" i="45"/>
  <c r="T29" i="45"/>
  <c r="U29" i="45" s="1"/>
  <c r="V45" i="45"/>
  <c r="T45" i="45"/>
  <c r="U45" i="45" s="1"/>
  <c r="S28" i="45"/>
  <c r="V47" i="45"/>
  <c r="T47" i="45"/>
  <c r="U47" i="45" s="1"/>
  <c r="T64" i="45"/>
  <c r="U64" i="45" s="1"/>
  <c r="U19" i="45"/>
  <c r="R110" i="45"/>
  <c r="S166" i="45" l="1"/>
  <c r="S170" i="45" s="1"/>
  <c r="B3" i="72" s="1"/>
  <c r="O110" i="45"/>
  <c r="D3" i="72"/>
  <c r="O129" i="45"/>
  <c r="O172" i="45" s="1"/>
  <c r="J164" i="51" l="1"/>
  <c r="J124" i="51" l="1"/>
  <c r="J125" i="51"/>
  <c r="J122" i="51"/>
  <c r="J123" i="51"/>
  <c r="J114" i="51"/>
  <c r="J116" i="51"/>
  <c r="J117" i="51"/>
  <c r="J118" i="51"/>
  <c r="J104" i="51"/>
  <c r="J67" i="51"/>
  <c r="J68" i="51"/>
  <c r="J69" i="51"/>
  <c r="J70" i="51"/>
  <c r="J71" i="51"/>
  <c r="J72" i="51"/>
  <c r="J73" i="51"/>
  <c r="J74" i="51"/>
  <c r="J75" i="51"/>
  <c r="J76" i="51"/>
  <c r="J77" i="51"/>
  <c r="J78" i="51"/>
  <c r="J79" i="51"/>
  <c r="J80" i="51"/>
  <c r="J81" i="51"/>
  <c r="J82" i="51"/>
  <c r="J83" i="51"/>
  <c r="J84" i="51"/>
  <c r="J85" i="51"/>
  <c r="J86" i="51"/>
  <c r="J87" i="51"/>
  <c r="J88" i="51"/>
  <c r="J89" i="51"/>
  <c r="J48" i="51"/>
  <c r="I49" i="51"/>
  <c r="J49" i="51"/>
  <c r="J50" i="51"/>
  <c r="J53" i="51"/>
  <c r="J55" i="51"/>
  <c r="J58" i="51"/>
  <c r="H49" i="51"/>
  <c r="E49" i="51"/>
  <c r="J10" i="51"/>
  <c r="J11" i="51"/>
  <c r="J12" i="51"/>
  <c r="J13" i="51"/>
  <c r="J14" i="51"/>
  <c r="J15" i="51"/>
  <c r="J9" i="51"/>
  <c r="P128" i="64" l="1"/>
  <c r="V128" i="64" s="1"/>
  <c r="P126" i="64"/>
  <c r="V126" i="64" s="1"/>
  <c r="P113" i="64"/>
  <c r="V113" i="64" s="1"/>
  <c r="P109" i="64"/>
  <c r="V109" i="64" s="1"/>
  <c r="P92" i="64"/>
  <c r="V92" i="64" s="1"/>
  <c r="P90" i="64"/>
  <c r="V90" i="64" s="1"/>
  <c r="P64" i="64"/>
  <c r="V64" i="64" s="1"/>
  <c r="P27" i="64"/>
  <c r="V27" i="64" s="1"/>
  <c r="P19" i="64"/>
  <c r="V19" i="64" s="1"/>
  <c r="P17" i="64"/>
  <c r="V17" i="64" s="1"/>
  <c r="P128" i="63"/>
  <c r="V128" i="63" s="1"/>
  <c r="P126" i="63"/>
  <c r="V126" i="63" s="1"/>
  <c r="P113" i="63"/>
  <c r="V113" i="63" s="1"/>
  <c r="P111" i="63"/>
  <c r="V111" i="63" s="1"/>
  <c r="P109" i="63"/>
  <c r="V109" i="63" s="1"/>
  <c r="P107" i="63"/>
  <c r="V107" i="63" s="1"/>
  <c r="P92" i="63"/>
  <c r="V92" i="63" s="1"/>
  <c r="P64" i="63"/>
  <c r="V64" i="63" s="1"/>
  <c r="P43" i="63"/>
  <c r="P40" i="63"/>
  <c r="P38" i="63"/>
  <c r="P36" i="63"/>
  <c r="P35" i="63"/>
  <c r="P27" i="63"/>
  <c r="V27" i="63" s="1"/>
  <c r="P19" i="63"/>
  <c r="V19" i="63" s="1"/>
  <c r="P126" i="62"/>
  <c r="P113" i="62"/>
  <c r="P103" i="62"/>
  <c r="P64" i="62"/>
  <c r="P58" i="62"/>
  <c r="P53" i="62"/>
  <c r="P45" i="62"/>
  <c r="P29" i="62"/>
  <c r="P19" i="62"/>
  <c r="P15" i="62"/>
  <c r="P128" i="61"/>
  <c r="P109" i="61"/>
  <c r="V109" i="61" s="1"/>
  <c r="P103" i="61"/>
  <c r="V103" i="61" s="1"/>
  <c r="P101" i="61"/>
  <c r="V101" i="61" s="1"/>
  <c r="P94" i="61"/>
  <c r="P92" i="61"/>
  <c r="V92" i="61" s="1"/>
  <c r="P45" i="61"/>
  <c r="V45" i="61" s="1"/>
  <c r="P29" i="61"/>
  <c r="V29" i="61" s="1"/>
  <c r="P17" i="61"/>
  <c r="V17" i="61" s="1"/>
  <c r="P8" i="61"/>
  <c r="P128" i="60"/>
  <c r="P126" i="60"/>
  <c r="V126" i="60" s="1"/>
  <c r="P113" i="60"/>
  <c r="P111" i="60"/>
  <c r="V111" i="60" s="1"/>
  <c r="P103" i="60"/>
  <c r="V103" i="60" s="1"/>
  <c r="P101" i="60"/>
  <c r="V101" i="60" s="1"/>
  <c r="P92" i="60"/>
  <c r="V92" i="60" s="1"/>
  <c r="P90" i="60"/>
  <c r="V90" i="60" s="1"/>
  <c r="P81" i="60"/>
  <c r="P64" i="60"/>
  <c r="V64" i="60" s="1"/>
  <c r="P55" i="60"/>
  <c r="P47" i="60"/>
  <c r="V47" i="60" s="1"/>
  <c r="P45" i="60"/>
  <c r="V45" i="60" s="1"/>
  <c r="P29" i="60"/>
  <c r="V29" i="60" s="1"/>
  <c r="P19" i="60"/>
  <c r="V19" i="60" s="1"/>
  <c r="P17" i="60"/>
  <c r="V17" i="60" s="1"/>
  <c r="P14" i="60"/>
  <c r="P128" i="58"/>
  <c r="V128" i="58" s="1"/>
  <c r="P126" i="58"/>
  <c r="V126" i="58" s="1"/>
  <c r="P118" i="58"/>
  <c r="P111" i="58"/>
  <c r="V111" i="58" s="1"/>
  <c r="P107" i="58"/>
  <c r="V107" i="58" s="1"/>
  <c r="P105" i="58"/>
  <c r="P103" i="58"/>
  <c r="V103" i="58" s="1"/>
  <c r="O128" i="57"/>
  <c r="N128" i="57"/>
  <c r="O126" i="57"/>
  <c r="N126" i="57"/>
  <c r="P124" i="57"/>
  <c r="P113" i="57"/>
  <c r="V113" i="57" s="1"/>
  <c r="O113" i="57"/>
  <c r="N113" i="57"/>
  <c r="O111" i="57"/>
  <c r="P111" i="57" s="1"/>
  <c r="V111" i="57" s="1"/>
  <c r="N111" i="57"/>
  <c r="O109" i="57"/>
  <c r="N109" i="57"/>
  <c r="P109" i="57" s="1"/>
  <c r="V109" i="57" s="1"/>
  <c r="P107" i="57"/>
  <c r="V107" i="57" s="1"/>
  <c r="O107" i="57"/>
  <c r="N107" i="57"/>
  <c r="O103" i="57"/>
  <c r="N103" i="57"/>
  <c r="P103" i="57" s="1"/>
  <c r="V103" i="57" s="1"/>
  <c r="O101" i="57"/>
  <c r="N101" i="57"/>
  <c r="O92" i="57"/>
  <c r="N92" i="57"/>
  <c r="P92" i="57" s="1"/>
  <c r="V92" i="57" s="1"/>
  <c r="O90" i="57"/>
  <c r="P90" i="57" s="1"/>
  <c r="V90" i="57" s="1"/>
  <c r="N90" i="57"/>
  <c r="P89" i="57"/>
  <c r="P88" i="57"/>
  <c r="P87" i="57"/>
  <c r="P84" i="57"/>
  <c r="P81" i="57"/>
  <c r="P80" i="57"/>
  <c r="P79" i="57"/>
  <c r="P77" i="57"/>
  <c r="P75" i="57"/>
  <c r="P73" i="57"/>
  <c r="P71" i="57"/>
  <c r="O91" i="57"/>
  <c r="P67" i="57"/>
  <c r="O66" i="57"/>
  <c r="N66" i="57"/>
  <c r="O64" i="57"/>
  <c r="N64" i="57"/>
  <c r="P64" i="57" s="1"/>
  <c r="V64" i="57" s="1"/>
  <c r="P50" i="57"/>
  <c r="P49" i="57"/>
  <c r="O47" i="57"/>
  <c r="P47" i="57" s="1"/>
  <c r="V47" i="57" s="1"/>
  <c r="N47" i="57"/>
  <c r="O45" i="57"/>
  <c r="N45" i="57"/>
  <c r="P45" i="57" s="1"/>
  <c r="V45" i="57" s="1"/>
  <c r="P43" i="57"/>
  <c r="P41" i="57"/>
  <c r="P35" i="57"/>
  <c r="P33" i="57"/>
  <c r="P31" i="57"/>
  <c r="P30" i="57"/>
  <c r="O29" i="57"/>
  <c r="N29" i="57"/>
  <c r="P29" i="57" s="1"/>
  <c r="V29" i="57" s="1"/>
  <c r="O27" i="57"/>
  <c r="N27" i="57"/>
  <c r="P27" i="57" s="1"/>
  <c r="V27" i="57" s="1"/>
  <c r="P25" i="57"/>
  <c r="P24" i="57"/>
  <c r="O28" i="57"/>
  <c r="O19" i="57"/>
  <c r="N19" i="57"/>
  <c r="P19" i="57" s="1"/>
  <c r="O17" i="57"/>
  <c r="N17" i="57"/>
  <c r="O16" i="51"/>
  <c r="O17" i="51"/>
  <c r="O19" i="51"/>
  <c r="O27" i="51"/>
  <c r="O29" i="51"/>
  <c r="O45" i="51"/>
  <c r="O47" i="51"/>
  <c r="O64" i="51"/>
  <c r="O66" i="51"/>
  <c r="O90" i="51"/>
  <c r="O92" i="51"/>
  <c r="O101" i="51"/>
  <c r="O103" i="51"/>
  <c r="O107" i="51"/>
  <c r="O109" i="51"/>
  <c r="O111" i="51"/>
  <c r="O113" i="51"/>
  <c r="O128" i="51"/>
  <c r="O130" i="51"/>
  <c r="O131" i="51"/>
  <c r="O132" i="51"/>
  <c r="O133" i="51"/>
  <c r="O134" i="51"/>
  <c r="O135" i="51"/>
  <c r="O136" i="51"/>
  <c r="O137" i="51"/>
  <c r="O138" i="51"/>
  <c r="O139" i="51"/>
  <c r="O140" i="51"/>
  <c r="O141" i="51"/>
  <c r="O142" i="51"/>
  <c r="O143" i="51"/>
  <c r="O144" i="51"/>
  <c r="O145" i="51"/>
  <c r="O146" i="51"/>
  <c r="O147" i="51"/>
  <c r="O148" i="51"/>
  <c r="O149" i="51"/>
  <c r="O150" i="51"/>
  <c r="O151" i="51"/>
  <c r="O152" i="51"/>
  <c r="O153" i="51"/>
  <c r="O154" i="51"/>
  <c r="O155" i="51"/>
  <c r="O156" i="51"/>
  <c r="O157" i="51"/>
  <c r="O158" i="51"/>
  <c r="O159" i="51"/>
  <c r="O160" i="51"/>
  <c r="O161" i="51"/>
  <c r="O163" i="51"/>
  <c r="O164" i="51"/>
  <c r="O165" i="51"/>
  <c r="O166" i="51"/>
  <c r="O167" i="51"/>
  <c r="O168" i="51"/>
  <c r="O169" i="51"/>
  <c r="N17" i="51"/>
  <c r="N19" i="51"/>
  <c r="N27" i="51"/>
  <c r="N29" i="51"/>
  <c r="N45" i="51"/>
  <c r="N47" i="51"/>
  <c r="N64" i="51"/>
  <c r="N66" i="51"/>
  <c r="N90" i="51"/>
  <c r="N92" i="51"/>
  <c r="N101" i="51"/>
  <c r="N103" i="51"/>
  <c r="N107" i="51"/>
  <c r="N109" i="51"/>
  <c r="N111" i="51"/>
  <c r="N113" i="51"/>
  <c r="N126" i="51"/>
  <c r="P126" i="51" s="1"/>
  <c r="N128" i="51"/>
  <c r="N130" i="51"/>
  <c r="N161" i="51"/>
  <c r="N163" i="51"/>
  <c r="N169" i="51"/>
  <c r="N171" i="51"/>
  <c r="P171" i="51" s="1"/>
  <c r="I18" i="64"/>
  <c r="I20" i="64"/>
  <c r="J18" i="64"/>
  <c r="I18" i="61"/>
  <c r="I65" i="61"/>
  <c r="Q81" i="79" l="1"/>
  <c r="Q81" i="78"/>
  <c r="X81" i="79"/>
  <c r="X81" i="78"/>
  <c r="Q55" i="78"/>
  <c r="X55" i="79"/>
  <c r="Q55" i="79"/>
  <c r="X55" i="78"/>
  <c r="Q81" i="77"/>
  <c r="X81" i="77" s="1"/>
  <c r="Q67" i="77"/>
  <c r="X67" i="77" s="1"/>
  <c r="Q67" i="51"/>
  <c r="U67" i="51" s="1"/>
  <c r="P49" i="64"/>
  <c r="R89" i="57"/>
  <c r="V89" i="57"/>
  <c r="R75" i="57"/>
  <c r="V75" i="57"/>
  <c r="R79" i="57"/>
  <c r="V79" i="57"/>
  <c r="R171" i="51"/>
  <c r="V171" i="51"/>
  <c r="P17" i="57"/>
  <c r="V17" i="57" s="1"/>
  <c r="P55" i="57"/>
  <c r="R55" i="57" s="1"/>
  <c r="P76" i="57"/>
  <c r="P101" i="57"/>
  <c r="P123" i="57"/>
  <c r="P128" i="57"/>
  <c r="V128" i="57" s="1"/>
  <c r="P53" i="60"/>
  <c r="P107" i="60"/>
  <c r="V107" i="60" s="1"/>
  <c r="V9" i="61"/>
  <c r="P66" i="61"/>
  <c r="V66" i="61" s="1"/>
  <c r="P66" i="62"/>
  <c r="V66" i="62" s="1"/>
  <c r="P111" i="62"/>
  <c r="P66" i="64"/>
  <c r="V66" i="64" s="1"/>
  <c r="R84" i="57"/>
  <c r="V84" i="57"/>
  <c r="R77" i="57"/>
  <c r="V77" i="57"/>
  <c r="R88" i="57"/>
  <c r="V88" i="57"/>
  <c r="P49" i="60"/>
  <c r="P109" i="60"/>
  <c r="V109" i="60" s="1"/>
  <c r="P59" i="61"/>
  <c r="P17" i="63"/>
  <c r="V17" i="63" s="1"/>
  <c r="P47" i="63"/>
  <c r="V47" i="63" s="1"/>
  <c r="P90" i="63"/>
  <c r="V90" i="63" s="1"/>
  <c r="P103" i="63"/>
  <c r="V103" i="63" s="1"/>
  <c r="P47" i="64"/>
  <c r="V47" i="64" s="1"/>
  <c r="R80" i="57"/>
  <c r="V80" i="57"/>
  <c r="P23" i="57"/>
  <c r="R81" i="57"/>
  <c r="V81" i="57"/>
  <c r="P85" i="57"/>
  <c r="P17" i="58"/>
  <c r="V17" i="58" s="1"/>
  <c r="P29" i="58"/>
  <c r="V29" i="58" s="1"/>
  <c r="R35" i="63"/>
  <c r="V35" i="63"/>
  <c r="R43" i="63"/>
  <c r="V43" i="63"/>
  <c r="V38" i="63"/>
  <c r="R38" i="63"/>
  <c r="P36" i="57"/>
  <c r="R36" i="57" s="1"/>
  <c r="P40" i="57"/>
  <c r="R40" i="57" s="1"/>
  <c r="P44" i="57"/>
  <c r="R44" i="57" s="1"/>
  <c r="P53" i="57"/>
  <c r="P66" i="57"/>
  <c r="V66" i="57" s="1"/>
  <c r="P121" i="57"/>
  <c r="P125" i="57"/>
  <c r="R125" i="57" s="1"/>
  <c r="P51" i="58"/>
  <c r="P92" i="58"/>
  <c r="V92" i="58" s="1"/>
  <c r="P66" i="60"/>
  <c r="V66" i="60" s="1"/>
  <c r="P19" i="61"/>
  <c r="V19" i="61" s="1"/>
  <c r="P90" i="61"/>
  <c r="V90" i="61" s="1"/>
  <c r="P126" i="61"/>
  <c r="V126" i="61" s="1"/>
  <c r="P29" i="64"/>
  <c r="V29" i="64" s="1"/>
  <c r="P101" i="64"/>
  <c r="V101" i="64" s="1"/>
  <c r="P111" i="64"/>
  <c r="V111" i="64" s="1"/>
  <c r="V128" i="61"/>
  <c r="V36" i="63"/>
  <c r="R36" i="63"/>
  <c r="V40" i="63"/>
  <c r="R40" i="63"/>
  <c r="R73" i="57"/>
  <c r="V73" i="57"/>
  <c r="R71" i="57"/>
  <c r="V71" i="57"/>
  <c r="P86" i="57"/>
  <c r="P16" i="60"/>
  <c r="R16" i="60" s="1"/>
  <c r="P27" i="61"/>
  <c r="V27" i="61" s="1"/>
  <c r="P47" i="61"/>
  <c r="V47" i="61" s="1"/>
  <c r="P64" i="61"/>
  <c r="V64" i="61" s="1"/>
  <c r="R128" i="61"/>
  <c r="P109" i="62"/>
  <c r="R87" i="57"/>
  <c r="V87" i="57"/>
  <c r="R126" i="51"/>
  <c r="V126" i="51"/>
  <c r="N28" i="57"/>
  <c r="P68" i="57"/>
  <c r="P72" i="57"/>
  <c r="P83" i="57"/>
  <c r="P105" i="57"/>
  <c r="R105" i="57" s="1"/>
  <c r="P118" i="57"/>
  <c r="V118" i="57" s="1"/>
  <c r="P126" i="57"/>
  <c r="V126" i="57" s="1"/>
  <c r="P13" i="60"/>
  <c r="R13" i="60" s="1"/>
  <c r="P27" i="60"/>
  <c r="V27" i="60" s="1"/>
  <c r="P107" i="61"/>
  <c r="V107" i="61" s="1"/>
  <c r="P27" i="62"/>
  <c r="P47" i="62"/>
  <c r="P55" i="62"/>
  <c r="P101" i="62"/>
  <c r="P128" i="62"/>
  <c r="P29" i="63"/>
  <c r="V29" i="63" s="1"/>
  <c r="P45" i="63"/>
  <c r="V45" i="63" s="1"/>
  <c r="P66" i="63"/>
  <c r="V66" i="63" s="1"/>
  <c r="P101" i="63"/>
  <c r="V101" i="63" s="1"/>
  <c r="P45" i="64"/>
  <c r="V45" i="64" s="1"/>
  <c r="P103" i="64"/>
  <c r="V103" i="64" s="1"/>
  <c r="P107" i="64"/>
  <c r="V107" i="64" s="1"/>
  <c r="R49" i="64"/>
  <c r="V49" i="64"/>
  <c r="P11" i="64"/>
  <c r="P53" i="63"/>
  <c r="V53" i="63" s="1"/>
  <c r="P87" i="62"/>
  <c r="P14" i="62"/>
  <c r="P118" i="61"/>
  <c r="V94" i="61"/>
  <c r="R94" i="61"/>
  <c r="R14" i="61"/>
  <c r="V14" i="61"/>
  <c r="R14" i="60"/>
  <c r="V14" i="60"/>
  <c r="P34" i="60"/>
  <c r="V34" i="60" s="1"/>
  <c r="R81" i="60"/>
  <c r="V81" i="60"/>
  <c r="R55" i="60"/>
  <c r="V55" i="60"/>
  <c r="R49" i="60"/>
  <c r="V49" i="60"/>
  <c r="P81" i="58"/>
  <c r="R81" i="58" s="1"/>
  <c r="R121" i="57"/>
  <c r="V121" i="57"/>
  <c r="V125" i="57"/>
  <c r="P120" i="57"/>
  <c r="R124" i="57"/>
  <c r="V124" i="57"/>
  <c r="R123" i="57"/>
  <c r="V123" i="57"/>
  <c r="P115" i="57"/>
  <c r="P117" i="57"/>
  <c r="P119" i="57"/>
  <c r="N108" i="57"/>
  <c r="P69" i="57"/>
  <c r="R67" i="57"/>
  <c r="V67" i="57"/>
  <c r="R68" i="57"/>
  <c r="V68" i="57"/>
  <c r="R49" i="57"/>
  <c r="V49" i="57"/>
  <c r="R50" i="57"/>
  <c r="V50" i="57"/>
  <c r="P42" i="57"/>
  <c r="P39" i="57"/>
  <c r="R39" i="57" s="1"/>
  <c r="P22" i="57"/>
  <c r="R22" i="57" s="1"/>
  <c r="P26" i="57"/>
  <c r="V26" i="57" s="1"/>
  <c r="R31" i="57"/>
  <c r="V31" i="57"/>
  <c r="R41" i="57"/>
  <c r="V41" i="57"/>
  <c r="R43" i="57"/>
  <c r="V43" i="57"/>
  <c r="R33" i="57"/>
  <c r="V33" i="57"/>
  <c r="V39" i="57"/>
  <c r="R35" i="57"/>
  <c r="V35" i="57"/>
  <c r="P34" i="57"/>
  <c r="N46" i="57"/>
  <c r="P38" i="57"/>
  <c r="V36" i="57"/>
  <c r="R30" i="57"/>
  <c r="V30" i="57"/>
  <c r="P32" i="57"/>
  <c r="P37" i="57"/>
  <c r="R23" i="57"/>
  <c r="V23" i="57"/>
  <c r="R25" i="57"/>
  <c r="V25" i="57"/>
  <c r="R24" i="57"/>
  <c r="V24" i="57"/>
  <c r="P21" i="57"/>
  <c r="V19" i="57"/>
  <c r="R8" i="61"/>
  <c r="V8" i="61"/>
  <c r="R118" i="58"/>
  <c r="V118" i="58"/>
  <c r="P64" i="58"/>
  <c r="V64" i="58" s="1"/>
  <c r="P101" i="58"/>
  <c r="V101" i="58" s="1"/>
  <c r="P45" i="58"/>
  <c r="V45" i="58" s="1"/>
  <c r="P90" i="58"/>
  <c r="V90" i="58" s="1"/>
  <c r="R105" i="58"/>
  <c r="V105" i="58"/>
  <c r="P109" i="58"/>
  <c r="V109" i="58" s="1"/>
  <c r="P113" i="58"/>
  <c r="V113" i="58" s="1"/>
  <c r="P19" i="58"/>
  <c r="V19" i="58" s="1"/>
  <c r="V51" i="58"/>
  <c r="R51" i="58"/>
  <c r="R14" i="58"/>
  <c r="V14" i="58"/>
  <c r="P27" i="58"/>
  <c r="Q27" i="58" s="1"/>
  <c r="P43" i="58"/>
  <c r="P47" i="58"/>
  <c r="V47" i="58" s="1"/>
  <c r="P52" i="58"/>
  <c r="P55" i="58"/>
  <c r="P58" i="58"/>
  <c r="P66" i="58"/>
  <c r="V66" i="58" s="1"/>
  <c r="V9" i="57"/>
  <c r="R9" i="57"/>
  <c r="R12" i="61"/>
  <c r="O18" i="57"/>
  <c r="P37" i="63"/>
  <c r="P41" i="63"/>
  <c r="P44" i="63"/>
  <c r="P72" i="63"/>
  <c r="P58" i="61"/>
  <c r="P82" i="58"/>
  <c r="E18" i="75"/>
  <c r="O108" i="57"/>
  <c r="P100" i="60"/>
  <c r="P96" i="60"/>
  <c r="P52" i="60"/>
  <c r="P15" i="60"/>
  <c r="P9" i="60"/>
  <c r="P85" i="63"/>
  <c r="P76" i="63"/>
  <c r="P75" i="63"/>
  <c r="P74" i="63"/>
  <c r="P58" i="63"/>
  <c r="P50" i="63"/>
  <c r="P49" i="63"/>
  <c r="P81" i="62"/>
  <c r="R66" i="62"/>
  <c r="P25" i="62"/>
  <c r="P92" i="62"/>
  <c r="P17" i="62"/>
  <c r="P34" i="62"/>
  <c r="P90" i="62"/>
  <c r="P96" i="62"/>
  <c r="P107" i="62"/>
  <c r="P71" i="58"/>
  <c r="P57" i="58"/>
  <c r="P42" i="58"/>
  <c r="P60" i="61"/>
  <c r="P55" i="61"/>
  <c r="P53" i="61"/>
  <c r="P50" i="61"/>
  <c r="R15" i="61"/>
  <c r="P113" i="61"/>
  <c r="V113" i="61" s="1"/>
  <c r="P100" i="61"/>
  <c r="P111" i="61"/>
  <c r="P32" i="58"/>
  <c r="N162" i="51"/>
  <c r="P49" i="61"/>
  <c r="P81" i="61"/>
  <c r="P119" i="61"/>
  <c r="N18" i="57"/>
  <c r="P58" i="60"/>
  <c r="P49" i="58"/>
  <c r="P79" i="63"/>
  <c r="P55" i="63"/>
  <c r="P33" i="63"/>
  <c r="P34" i="63"/>
  <c r="P42" i="63"/>
  <c r="P32" i="63"/>
  <c r="P30" i="63"/>
  <c r="P31" i="63"/>
  <c r="P39" i="63"/>
  <c r="P49" i="62"/>
  <c r="P9" i="62"/>
  <c r="P97" i="61"/>
  <c r="P98" i="60"/>
  <c r="P50" i="60"/>
  <c r="P10" i="60"/>
  <c r="P114" i="57"/>
  <c r="P122" i="57"/>
  <c r="N127" i="57"/>
  <c r="G18" i="75" s="1"/>
  <c r="N91" i="57"/>
  <c r="P70" i="57"/>
  <c r="P74" i="57"/>
  <c r="P78" i="57"/>
  <c r="P82" i="57"/>
  <c r="P58" i="57"/>
  <c r="P53" i="58"/>
  <c r="P33" i="58"/>
  <c r="O162" i="51"/>
  <c r="O170" i="51" s="1"/>
  <c r="P7" i="64"/>
  <c r="P10" i="64"/>
  <c r="P114" i="61"/>
  <c r="P104" i="61"/>
  <c r="P104" i="60"/>
  <c r="P93" i="58"/>
  <c r="P104" i="58"/>
  <c r="P20" i="57"/>
  <c r="P116" i="57"/>
  <c r="O127" i="57"/>
  <c r="P106" i="57"/>
  <c r="P48" i="57"/>
  <c r="P104" i="57"/>
  <c r="O46" i="57"/>
  <c r="P24" i="62"/>
  <c r="Y81" i="78" l="1"/>
  <c r="Y81" i="79"/>
  <c r="Y55" i="79"/>
  <c r="Q100" i="78"/>
  <c r="Q100" i="79"/>
  <c r="X100" i="78"/>
  <c r="X100" i="79"/>
  <c r="AC55" i="79"/>
  <c r="U55" i="79"/>
  <c r="X58" i="79"/>
  <c r="Q58" i="79"/>
  <c r="X58" i="78"/>
  <c r="Q58" i="78"/>
  <c r="R53" i="60"/>
  <c r="X53" i="79"/>
  <c r="Q53" i="79"/>
  <c r="X53" i="78"/>
  <c r="Q53" i="78"/>
  <c r="U55" i="78"/>
  <c r="AC55" i="78"/>
  <c r="Q104" i="78"/>
  <c r="X104" i="78"/>
  <c r="X104" i="79"/>
  <c r="Q104" i="79"/>
  <c r="X108" i="79"/>
  <c r="Q50" i="79"/>
  <c r="X50" i="79"/>
  <c r="X50" i="78"/>
  <c r="Q50" i="78"/>
  <c r="X91" i="79"/>
  <c r="X91" i="78"/>
  <c r="Q98" i="79"/>
  <c r="X98" i="79"/>
  <c r="Q98" i="78"/>
  <c r="X98" i="78"/>
  <c r="X49" i="79"/>
  <c r="Q49" i="79"/>
  <c r="X49" i="78"/>
  <c r="Q49" i="78"/>
  <c r="Q52" i="79"/>
  <c r="Q52" i="78"/>
  <c r="X52" i="79"/>
  <c r="X52" i="78"/>
  <c r="Q91" i="78"/>
  <c r="AC81" i="78"/>
  <c r="U81" i="78"/>
  <c r="X96" i="78"/>
  <c r="Q96" i="78"/>
  <c r="X96" i="79"/>
  <c r="Q96" i="79"/>
  <c r="Y55" i="78"/>
  <c r="AC81" i="79"/>
  <c r="Q91" i="79"/>
  <c r="U81" i="79"/>
  <c r="Q104" i="77"/>
  <c r="X104" i="77" s="1"/>
  <c r="Q104" i="51"/>
  <c r="Q79" i="77"/>
  <c r="X79" i="77" s="1"/>
  <c r="Q79" i="51"/>
  <c r="Q76" i="77"/>
  <c r="X76" i="77" s="1"/>
  <c r="Q76" i="51"/>
  <c r="Q75" i="77"/>
  <c r="X75" i="77" s="1"/>
  <c r="Q75" i="51"/>
  <c r="Q74" i="77"/>
  <c r="X74" i="77" s="1"/>
  <c r="Q74" i="51"/>
  <c r="Q72" i="77"/>
  <c r="X72" i="77" s="1"/>
  <c r="Q72" i="51"/>
  <c r="Q71" i="77"/>
  <c r="X71" i="77" s="1"/>
  <c r="Q71" i="51"/>
  <c r="AC81" i="77"/>
  <c r="U81" i="77"/>
  <c r="Y81" i="77"/>
  <c r="AC67" i="77"/>
  <c r="U67" i="77"/>
  <c r="Y67" i="77"/>
  <c r="V53" i="60"/>
  <c r="V69" i="57"/>
  <c r="P46" i="57"/>
  <c r="V46" i="57" s="1"/>
  <c r="V42" i="57"/>
  <c r="R118" i="57"/>
  <c r="V105" i="57"/>
  <c r="V55" i="57"/>
  <c r="R53" i="57"/>
  <c r="V44" i="57"/>
  <c r="R42" i="57"/>
  <c r="V40" i="57"/>
  <c r="R26" i="57"/>
  <c r="R59" i="61"/>
  <c r="Q55" i="77"/>
  <c r="X55" i="77" s="1"/>
  <c r="Q55" i="51"/>
  <c r="Q32" i="77"/>
  <c r="X32" i="77" s="1"/>
  <c r="Q32" i="51"/>
  <c r="Q33" i="77"/>
  <c r="X33" i="77" s="1"/>
  <c r="Q33" i="51"/>
  <c r="Q42" i="77"/>
  <c r="X42" i="77" s="1"/>
  <c r="Q42" i="51"/>
  <c r="Q43" i="77"/>
  <c r="X43" i="77" s="1"/>
  <c r="Q43" i="51"/>
  <c r="Q39" i="77"/>
  <c r="X39" i="77" s="1"/>
  <c r="Q39" i="51"/>
  <c r="Q38" i="77"/>
  <c r="X38" i="77" s="1"/>
  <c r="Q38" i="51"/>
  <c r="Q31" i="77"/>
  <c r="X31" i="77" s="1"/>
  <c r="Q31" i="51"/>
  <c r="Q24" i="77"/>
  <c r="X24" i="77" s="1"/>
  <c r="Q24" i="51"/>
  <c r="V59" i="61"/>
  <c r="R9" i="61"/>
  <c r="V16" i="60"/>
  <c r="V13" i="60"/>
  <c r="R70" i="57"/>
  <c r="V70" i="57"/>
  <c r="V32" i="63"/>
  <c r="R32" i="63"/>
  <c r="R85" i="57"/>
  <c r="V85" i="57"/>
  <c r="V22" i="57"/>
  <c r="R83" i="57"/>
  <c r="V83" i="57"/>
  <c r="V34" i="63"/>
  <c r="R34" i="63"/>
  <c r="V33" i="63"/>
  <c r="R33" i="63"/>
  <c r="V44" i="63"/>
  <c r="R44" i="63"/>
  <c r="V53" i="57"/>
  <c r="R72" i="57"/>
  <c r="V72" i="57"/>
  <c r="R86" i="57"/>
  <c r="V86" i="57"/>
  <c r="V39" i="63"/>
  <c r="R39" i="63"/>
  <c r="V31" i="63"/>
  <c r="R31" i="63"/>
  <c r="R37" i="63"/>
  <c r="V37" i="63"/>
  <c r="R76" i="57"/>
  <c r="V76" i="57"/>
  <c r="R104" i="61"/>
  <c r="V104" i="61"/>
  <c r="R78" i="57"/>
  <c r="V78" i="57"/>
  <c r="V81" i="58"/>
  <c r="R34" i="60"/>
  <c r="V42" i="63"/>
  <c r="R42" i="63"/>
  <c r="V41" i="63"/>
  <c r="R41" i="63"/>
  <c r="R82" i="57"/>
  <c r="V82" i="57"/>
  <c r="R74" i="57"/>
  <c r="V74" i="57"/>
  <c r="V30" i="63"/>
  <c r="R30" i="63"/>
  <c r="I18" i="75"/>
  <c r="R7" i="64"/>
  <c r="V7" i="64"/>
  <c r="R10" i="64"/>
  <c r="V10" i="64"/>
  <c r="R11" i="64"/>
  <c r="V11" i="64"/>
  <c r="R53" i="63"/>
  <c r="V55" i="63"/>
  <c r="R55" i="63"/>
  <c r="R50" i="63"/>
  <c r="V50" i="63"/>
  <c r="R58" i="63"/>
  <c r="V58" i="63"/>
  <c r="R49" i="63"/>
  <c r="V49" i="63"/>
  <c r="R79" i="63"/>
  <c r="V79" i="63"/>
  <c r="R74" i="63"/>
  <c r="V74" i="63"/>
  <c r="V72" i="63"/>
  <c r="R72" i="63"/>
  <c r="R75" i="63"/>
  <c r="V75" i="63"/>
  <c r="R85" i="63"/>
  <c r="V85" i="63"/>
  <c r="V76" i="63"/>
  <c r="R76" i="63"/>
  <c r="V87" i="62"/>
  <c r="R87" i="62"/>
  <c r="R34" i="62"/>
  <c r="V34" i="62"/>
  <c r="R119" i="61"/>
  <c r="V119" i="61"/>
  <c r="R114" i="61"/>
  <c r="V114" i="61"/>
  <c r="R118" i="61"/>
  <c r="V118" i="61"/>
  <c r="V100" i="61"/>
  <c r="R100" i="61"/>
  <c r="V97" i="61"/>
  <c r="R97" i="61"/>
  <c r="R81" i="61"/>
  <c r="V81" i="61"/>
  <c r="V49" i="61"/>
  <c r="R49" i="61"/>
  <c r="R60" i="61"/>
  <c r="V60" i="61"/>
  <c r="V58" i="61"/>
  <c r="R58" i="61"/>
  <c r="R50" i="61"/>
  <c r="V50" i="61"/>
  <c r="R55" i="61"/>
  <c r="V55" i="61"/>
  <c r="R53" i="61"/>
  <c r="V53" i="61"/>
  <c r="R9" i="60"/>
  <c r="V9" i="60"/>
  <c r="R15" i="60"/>
  <c r="V15" i="60"/>
  <c r="R10" i="60"/>
  <c r="V10" i="60"/>
  <c r="R104" i="60"/>
  <c r="V104" i="60"/>
  <c r="R98" i="60"/>
  <c r="V98" i="60"/>
  <c r="R100" i="60"/>
  <c r="V100" i="60"/>
  <c r="R96" i="60"/>
  <c r="V96" i="60"/>
  <c r="R52" i="60"/>
  <c r="V52" i="60"/>
  <c r="R50" i="60"/>
  <c r="V50" i="60"/>
  <c r="R58" i="60"/>
  <c r="V58" i="60"/>
  <c r="R115" i="57"/>
  <c r="V115" i="57"/>
  <c r="R116" i="57"/>
  <c r="V116" i="57"/>
  <c r="R119" i="57"/>
  <c r="V119" i="57"/>
  <c r="R122" i="57"/>
  <c r="V122" i="57"/>
  <c r="R114" i="57"/>
  <c r="V114" i="57"/>
  <c r="R117" i="57"/>
  <c r="V117" i="57"/>
  <c r="R120" i="57"/>
  <c r="V120" i="57"/>
  <c r="R106" i="57"/>
  <c r="V106" i="57"/>
  <c r="R104" i="57"/>
  <c r="V104" i="57"/>
  <c r="R48" i="57"/>
  <c r="V48" i="57"/>
  <c r="R58" i="57"/>
  <c r="V58" i="57"/>
  <c r="R37" i="57"/>
  <c r="V37" i="57"/>
  <c r="R34" i="57"/>
  <c r="V34" i="57"/>
  <c r="R32" i="57"/>
  <c r="V32" i="57"/>
  <c r="R38" i="57"/>
  <c r="V38" i="57"/>
  <c r="P28" i="57"/>
  <c r="V28" i="57" s="1"/>
  <c r="R20" i="57"/>
  <c r="V20" i="57"/>
  <c r="R21" i="57"/>
  <c r="V21" i="57"/>
  <c r="V101" i="57"/>
  <c r="R104" i="58"/>
  <c r="V104" i="58"/>
  <c r="R93" i="58"/>
  <c r="V93" i="58"/>
  <c r="R82" i="58"/>
  <c r="V82" i="58"/>
  <c r="R15" i="58"/>
  <c r="V15" i="58"/>
  <c r="V52" i="58"/>
  <c r="R52" i="58"/>
  <c r="V42" i="58"/>
  <c r="R42" i="58"/>
  <c r="R9" i="58"/>
  <c r="V9" i="58"/>
  <c r="R49" i="58"/>
  <c r="V49" i="58"/>
  <c r="R53" i="58"/>
  <c r="V53" i="58"/>
  <c r="R32" i="58"/>
  <c r="V32" i="58"/>
  <c r="R57" i="58"/>
  <c r="V57" i="58"/>
  <c r="V58" i="58"/>
  <c r="R58" i="58"/>
  <c r="R43" i="58"/>
  <c r="V43" i="58"/>
  <c r="R71" i="58"/>
  <c r="V71" i="58"/>
  <c r="R33" i="58"/>
  <c r="V33" i="58"/>
  <c r="R55" i="58"/>
  <c r="V55" i="58"/>
  <c r="V12" i="57"/>
  <c r="R12" i="57"/>
  <c r="R8" i="57"/>
  <c r="V8" i="57"/>
  <c r="P18" i="57"/>
  <c r="P46" i="63"/>
  <c r="V46" i="63" s="1"/>
  <c r="P127" i="57"/>
  <c r="V127" i="57" s="1"/>
  <c r="P108" i="57"/>
  <c r="V108" i="57" s="1"/>
  <c r="P91" i="57"/>
  <c r="V91" i="57" s="1"/>
  <c r="Y104" i="78" l="1"/>
  <c r="Y49" i="79"/>
  <c r="Y58" i="78"/>
  <c r="Y98" i="79"/>
  <c r="Y49" i="78"/>
  <c r="Y53" i="79"/>
  <c r="Y100" i="79"/>
  <c r="Y96" i="79"/>
  <c r="Y52" i="79"/>
  <c r="AC98" i="78"/>
  <c r="U98" i="78"/>
  <c r="U96" i="78"/>
  <c r="Q102" i="78"/>
  <c r="AC96" i="78"/>
  <c r="U52" i="78"/>
  <c r="AC52" i="78"/>
  <c r="U53" i="78"/>
  <c r="AC53" i="78"/>
  <c r="Y58" i="79"/>
  <c r="U100" i="78"/>
  <c r="AC100" i="78"/>
  <c r="U91" i="79"/>
  <c r="Y91" i="79"/>
  <c r="AC91" i="79"/>
  <c r="Y96" i="78"/>
  <c r="AC52" i="79"/>
  <c r="U52" i="79"/>
  <c r="AC98" i="79"/>
  <c r="U98" i="79"/>
  <c r="U104" i="79"/>
  <c r="Q108" i="79"/>
  <c r="AC104" i="79"/>
  <c r="Y53" i="78"/>
  <c r="AC50" i="79"/>
  <c r="U50" i="79"/>
  <c r="U58" i="79"/>
  <c r="AC58" i="79"/>
  <c r="Q65" i="78"/>
  <c r="AC49" i="78"/>
  <c r="U49" i="78"/>
  <c r="V49" i="78" s="1"/>
  <c r="R49" i="78"/>
  <c r="Y104" i="79"/>
  <c r="AC53" i="79"/>
  <c r="U53" i="79"/>
  <c r="U91" i="78"/>
  <c r="AC91" i="78"/>
  <c r="Y91" i="78"/>
  <c r="AC49" i="79"/>
  <c r="Q65" i="79"/>
  <c r="U49" i="79"/>
  <c r="V49" i="79" s="1"/>
  <c r="R49" i="79"/>
  <c r="AC50" i="78"/>
  <c r="U50" i="78"/>
  <c r="U104" i="78"/>
  <c r="AC104" i="78"/>
  <c r="X102" i="79"/>
  <c r="X102" i="78"/>
  <c r="Y50" i="78"/>
  <c r="U58" i="78"/>
  <c r="AC58" i="78"/>
  <c r="Y100" i="78"/>
  <c r="Y42" i="77"/>
  <c r="X65" i="78"/>
  <c r="X65" i="79"/>
  <c r="Y104" i="77"/>
  <c r="U96" i="79"/>
  <c r="Q102" i="79"/>
  <c r="AC96" i="79"/>
  <c r="Y52" i="78"/>
  <c r="Y98" i="78"/>
  <c r="Y50" i="79"/>
  <c r="U100" i="79"/>
  <c r="AC100" i="79"/>
  <c r="Y79" i="77"/>
  <c r="Y76" i="77"/>
  <c r="Y75" i="77"/>
  <c r="Z104" i="51"/>
  <c r="AA104" i="51" s="1"/>
  <c r="AB104" i="51" s="1"/>
  <c r="U104" i="51"/>
  <c r="AC104" i="77"/>
  <c r="U104" i="77"/>
  <c r="Z79" i="51"/>
  <c r="AA79" i="51" s="1"/>
  <c r="AB79" i="51" s="1"/>
  <c r="U79" i="51"/>
  <c r="AC79" i="77"/>
  <c r="U79" i="77"/>
  <c r="Z76" i="51"/>
  <c r="AA76" i="51" s="1"/>
  <c r="AB76" i="51" s="1"/>
  <c r="U76" i="51"/>
  <c r="AC76" i="77"/>
  <c r="U76" i="77"/>
  <c r="Z75" i="51"/>
  <c r="AA75" i="51" s="1"/>
  <c r="AB75" i="51" s="1"/>
  <c r="U75" i="51"/>
  <c r="U75" i="77"/>
  <c r="AC75" i="77"/>
  <c r="Z74" i="51"/>
  <c r="AA74" i="51" s="1"/>
  <c r="AB74" i="51" s="1"/>
  <c r="U74" i="51"/>
  <c r="AC74" i="77"/>
  <c r="U74" i="77"/>
  <c r="Y74" i="77"/>
  <c r="Z72" i="51"/>
  <c r="AA72" i="51" s="1"/>
  <c r="AB72" i="51" s="1"/>
  <c r="U72" i="51"/>
  <c r="AC72" i="77"/>
  <c r="U72" i="77"/>
  <c r="Y72" i="77"/>
  <c r="Z71" i="51"/>
  <c r="AA71" i="51" s="1"/>
  <c r="AB71" i="51" s="1"/>
  <c r="U71" i="51"/>
  <c r="AC71" i="77"/>
  <c r="U71" i="77"/>
  <c r="Y71" i="77"/>
  <c r="Q58" i="51"/>
  <c r="Z58" i="51" s="1"/>
  <c r="AA58" i="51" s="1"/>
  <c r="AB58" i="51" s="1"/>
  <c r="Q58" i="77"/>
  <c r="X58" i="77" s="1"/>
  <c r="Y33" i="77"/>
  <c r="Q69" i="77"/>
  <c r="X69" i="77" s="1"/>
  <c r="Q69" i="51"/>
  <c r="U69" i="51" s="1"/>
  <c r="R69" i="57"/>
  <c r="Y32" i="77"/>
  <c r="Q30" i="77"/>
  <c r="X30" i="77" s="1"/>
  <c r="Q30" i="51"/>
  <c r="Q37" i="77"/>
  <c r="X37" i="77" s="1"/>
  <c r="Q37" i="51"/>
  <c r="R46" i="57"/>
  <c r="R28" i="57"/>
  <c r="Q53" i="51"/>
  <c r="Z53" i="51" s="1"/>
  <c r="AA53" i="51" s="1"/>
  <c r="AB53" i="51" s="1"/>
  <c r="Q53" i="77"/>
  <c r="R108" i="57"/>
  <c r="R127" i="57"/>
  <c r="R91" i="57"/>
  <c r="Y55" i="77"/>
  <c r="AC55" i="77"/>
  <c r="U55" i="77"/>
  <c r="Z55" i="51"/>
  <c r="AA55" i="51" s="1"/>
  <c r="AB55" i="51" s="1"/>
  <c r="U55" i="51"/>
  <c r="Y31" i="77"/>
  <c r="Z33" i="51"/>
  <c r="AA33" i="51" s="1"/>
  <c r="AB33" i="51" s="1"/>
  <c r="U33" i="51"/>
  <c r="AC33" i="77"/>
  <c r="U33" i="77"/>
  <c r="Z32" i="51"/>
  <c r="AA32" i="51" s="1"/>
  <c r="AB32" i="51" s="1"/>
  <c r="U32" i="51"/>
  <c r="AC32" i="77"/>
  <c r="U32" i="77"/>
  <c r="Z43" i="51"/>
  <c r="AA43" i="51" s="1"/>
  <c r="AB43" i="51" s="1"/>
  <c r="U43" i="51"/>
  <c r="AC43" i="77"/>
  <c r="U43" i="77"/>
  <c r="Y43" i="77"/>
  <c r="Z42" i="51"/>
  <c r="AA42" i="51" s="1"/>
  <c r="AB42" i="51" s="1"/>
  <c r="U42" i="51"/>
  <c r="AC42" i="77"/>
  <c r="U42" i="77"/>
  <c r="Y38" i="77"/>
  <c r="Y39" i="77"/>
  <c r="Q41" i="77"/>
  <c r="X41" i="77" s="1"/>
  <c r="Q41" i="51"/>
  <c r="Q40" i="77"/>
  <c r="X40" i="77" s="1"/>
  <c r="Q40" i="51"/>
  <c r="Z38" i="51"/>
  <c r="AA38" i="51" s="1"/>
  <c r="AB38" i="51" s="1"/>
  <c r="U38" i="51"/>
  <c r="Z39" i="51"/>
  <c r="AA39" i="51" s="1"/>
  <c r="AB39" i="51" s="1"/>
  <c r="U39" i="51"/>
  <c r="AC39" i="77"/>
  <c r="U39" i="77"/>
  <c r="U38" i="77"/>
  <c r="AC38" i="77"/>
  <c r="Z31" i="51"/>
  <c r="U31" i="51"/>
  <c r="AC31" i="77"/>
  <c r="U31" i="77"/>
  <c r="Z24" i="51"/>
  <c r="AA24" i="51" s="1"/>
  <c r="AB24" i="51" s="1"/>
  <c r="U24" i="51"/>
  <c r="Y24" i="77"/>
  <c r="AC24" i="77"/>
  <c r="U24" i="77"/>
  <c r="V18" i="57"/>
  <c r="V27" i="58"/>
  <c r="R18" i="57"/>
  <c r="P22" i="62"/>
  <c r="Y65" i="79" l="1"/>
  <c r="U53" i="77"/>
  <c r="X53" i="77"/>
  <c r="Y53" i="77" s="1"/>
  <c r="U65" i="78"/>
  <c r="Y65" i="78"/>
  <c r="AC65" i="78"/>
  <c r="AC102" i="78"/>
  <c r="U102" i="78"/>
  <c r="Y102" i="78"/>
  <c r="U65" i="79"/>
  <c r="AC65" i="79"/>
  <c r="U108" i="79"/>
  <c r="AC108" i="79"/>
  <c r="Y108" i="79"/>
  <c r="AC102" i="79"/>
  <c r="Y102" i="79"/>
  <c r="U102" i="79"/>
  <c r="Y58" i="77"/>
  <c r="U58" i="77"/>
  <c r="AC58" i="77"/>
  <c r="U58" i="51"/>
  <c r="AC69" i="77"/>
  <c r="U69" i="77"/>
  <c r="Q91" i="77"/>
  <c r="X91" i="77" s="1"/>
  <c r="Y69" i="77"/>
  <c r="Y37" i="77"/>
  <c r="AC37" i="77"/>
  <c r="U37" i="77"/>
  <c r="Z30" i="51"/>
  <c r="AA30" i="51" s="1"/>
  <c r="AB30" i="51" s="1"/>
  <c r="U30" i="51"/>
  <c r="AC30" i="77"/>
  <c r="U30" i="77"/>
  <c r="Y40" i="77"/>
  <c r="Y30" i="77"/>
  <c r="Z37" i="51"/>
  <c r="AA37" i="51" s="1"/>
  <c r="AB37" i="51" s="1"/>
  <c r="U37" i="51"/>
  <c r="U53" i="51"/>
  <c r="AC53" i="77"/>
  <c r="Z40" i="51"/>
  <c r="AA40" i="51" s="1"/>
  <c r="AB40" i="51" s="1"/>
  <c r="U40" i="51"/>
  <c r="AC40" i="77"/>
  <c r="U40" i="77"/>
  <c r="AC41" i="77"/>
  <c r="U41" i="77"/>
  <c r="Z41" i="51"/>
  <c r="AA41" i="51" s="1"/>
  <c r="AB41" i="51" s="1"/>
  <c r="U41" i="51"/>
  <c r="Y41" i="77"/>
  <c r="AA31" i="51"/>
  <c r="Q22" i="77"/>
  <c r="X22" i="77" s="1"/>
  <c r="Q22" i="51"/>
  <c r="N131" i="66"/>
  <c r="AC91" i="77" l="1"/>
  <c r="U91" i="77"/>
  <c r="AB31" i="51"/>
  <c r="Z22" i="51"/>
  <c r="U22" i="51"/>
  <c r="AC22" i="77"/>
  <c r="U22" i="77"/>
  <c r="N11" i="73"/>
  <c r="N10" i="73"/>
  <c r="N9" i="73"/>
  <c r="Q9" i="73" s="1"/>
  <c r="Q10" i="73" s="1"/>
  <c r="B5" i="73"/>
  <c r="C5" i="73" s="1"/>
  <c r="D5" i="73" s="1"/>
  <c r="E5" i="73" s="1"/>
  <c r="F5" i="73" s="1"/>
  <c r="G5" i="73" s="1"/>
  <c r="H5" i="73" s="1"/>
  <c r="I5" i="73" s="1"/>
  <c r="J5" i="73" s="1"/>
  <c r="K5" i="73" s="1"/>
  <c r="B4" i="73"/>
  <c r="C4" i="73" s="1"/>
  <c r="D4" i="73" s="1"/>
  <c r="E4" i="73" s="1"/>
  <c r="F4" i="73" s="1"/>
  <c r="G4" i="73" s="1"/>
  <c r="H4" i="73" s="1"/>
  <c r="I4" i="73" s="1"/>
  <c r="J4" i="73" s="1"/>
  <c r="K4" i="73" s="1"/>
  <c r="L4" i="73" s="1"/>
  <c r="M4" i="73" s="1"/>
  <c r="P3" i="73"/>
  <c r="B3" i="73"/>
  <c r="C3" i="73" s="1"/>
  <c r="D3" i="73" s="1"/>
  <c r="E3" i="73" s="1"/>
  <c r="F3" i="73" s="1"/>
  <c r="G3" i="73" s="1"/>
  <c r="H3" i="73" s="1"/>
  <c r="I3" i="73" s="1"/>
  <c r="AA22" i="51" l="1"/>
  <c r="J3" i="73"/>
  <c r="AB22" i="51" l="1"/>
  <c r="K3" i="73"/>
  <c r="L3" i="73" s="1"/>
  <c r="M3" i="73" s="1"/>
  <c r="P4" i="73" s="1"/>
  <c r="O3" i="73"/>
  <c r="Q168" i="69"/>
  <c r="Q167" i="69"/>
  <c r="Q166" i="69"/>
  <c r="Q165" i="69"/>
  <c r="Q164" i="69"/>
  <c r="Q160" i="69"/>
  <c r="Q159" i="69"/>
  <c r="Q158" i="69"/>
  <c r="Q157" i="69"/>
  <c r="Q156" i="69"/>
  <c r="Q155" i="69"/>
  <c r="Q154" i="69"/>
  <c r="Q153" i="69"/>
  <c r="Q152" i="69"/>
  <c r="Q151" i="69"/>
  <c r="Q150" i="69"/>
  <c r="Q149" i="69"/>
  <c r="Q148" i="69"/>
  <c r="Q147" i="69"/>
  <c r="Q146" i="69"/>
  <c r="Q145" i="69"/>
  <c r="Q144" i="69"/>
  <c r="Q143" i="69"/>
  <c r="Q142" i="69"/>
  <c r="Q141" i="69"/>
  <c r="Q140" i="69"/>
  <c r="Q139" i="69"/>
  <c r="Q138" i="69"/>
  <c r="Q137" i="69"/>
  <c r="Q136" i="69"/>
  <c r="Q135" i="69"/>
  <c r="Q134" i="69"/>
  <c r="Q133" i="69"/>
  <c r="Q132" i="69"/>
  <c r="Q131" i="69"/>
  <c r="Q104" i="69"/>
  <c r="Q85" i="69"/>
  <c r="Q79" i="69"/>
  <c r="Q76" i="69"/>
  <c r="Q75" i="69"/>
  <c r="Q74" i="69"/>
  <c r="Q72" i="69"/>
  <c r="Q71" i="69"/>
  <c r="Q70" i="69"/>
  <c r="Q69" i="69"/>
  <c r="Q68" i="69"/>
  <c r="Q67" i="69"/>
  <c r="Q58" i="69"/>
  <c r="Q55" i="69"/>
  <c r="Q53" i="69"/>
  <c r="Q48" i="69"/>
  <c r="Q44" i="69"/>
  <c r="Q43" i="69"/>
  <c r="Q42" i="69"/>
  <c r="Q41" i="69"/>
  <c r="Q40" i="69"/>
  <c r="Q39" i="69"/>
  <c r="Q38" i="69"/>
  <c r="Q37" i="69"/>
  <c r="Q36" i="69"/>
  <c r="Q35" i="69"/>
  <c r="Q33" i="69"/>
  <c r="Q32" i="69"/>
  <c r="Q31" i="69"/>
  <c r="Q30" i="69"/>
  <c r="Q26" i="69"/>
  <c r="Q24" i="69"/>
  <c r="Q23" i="69"/>
  <c r="Q22" i="69"/>
  <c r="Q15" i="69"/>
  <c r="Q14" i="69"/>
  <c r="Q12" i="69"/>
  <c r="Q9" i="69"/>
  <c r="Q8" i="69"/>
  <c r="Q7" i="69"/>
  <c r="O171" i="66" l="1"/>
  <c r="O169" i="66"/>
  <c r="O168" i="66"/>
  <c r="O167" i="66"/>
  <c r="O166" i="66"/>
  <c r="P165" i="66"/>
  <c r="R165" i="66" s="1"/>
  <c r="O165" i="66"/>
  <c r="O165" i="69" s="1"/>
  <c r="O164" i="66"/>
  <c r="O163" i="66"/>
  <c r="O161" i="66"/>
  <c r="O160" i="66"/>
  <c r="O159" i="66"/>
  <c r="O158" i="66"/>
  <c r="O157" i="66"/>
  <c r="O156" i="66"/>
  <c r="O155" i="66"/>
  <c r="O154" i="66"/>
  <c r="O153" i="66"/>
  <c r="O152" i="66"/>
  <c r="O151" i="66"/>
  <c r="O150" i="66"/>
  <c r="O149" i="66"/>
  <c r="O148" i="66"/>
  <c r="O147" i="66"/>
  <c r="O146" i="66"/>
  <c r="O145" i="66"/>
  <c r="O145" i="69" s="1"/>
  <c r="O144" i="66"/>
  <c r="O143" i="66"/>
  <c r="O142" i="66"/>
  <c r="O141" i="66"/>
  <c r="O140" i="66"/>
  <c r="O139" i="66"/>
  <c r="O138" i="66"/>
  <c r="O137" i="66"/>
  <c r="O137" i="69" s="1"/>
  <c r="O136" i="66"/>
  <c r="O135" i="66"/>
  <c r="O134" i="66"/>
  <c r="O133" i="66"/>
  <c r="O132" i="66"/>
  <c r="O131" i="66"/>
  <c r="O130" i="66"/>
  <c r="O128" i="66"/>
  <c r="O126" i="66"/>
  <c r="O113" i="66"/>
  <c r="O111" i="66"/>
  <c r="O109" i="66"/>
  <c r="O107" i="66"/>
  <c r="O103" i="66"/>
  <c r="P103" i="66" s="1"/>
  <c r="R103" i="66" s="1"/>
  <c r="P101" i="66"/>
  <c r="R101" i="66" s="1"/>
  <c r="O101" i="66"/>
  <c r="O92" i="66"/>
  <c r="O90" i="66"/>
  <c r="O66" i="66"/>
  <c r="O64" i="66"/>
  <c r="P64" i="66" s="1"/>
  <c r="R64" i="66" s="1"/>
  <c r="O47" i="66"/>
  <c r="P47" i="66" s="1"/>
  <c r="R47" i="66" s="1"/>
  <c r="P45" i="66"/>
  <c r="R45" i="66" s="1"/>
  <c r="O45" i="66"/>
  <c r="O29" i="66"/>
  <c r="O27" i="66"/>
  <c r="O19" i="66"/>
  <c r="O17" i="66"/>
  <c r="N171" i="66"/>
  <c r="N169" i="66"/>
  <c r="P169" i="66" s="1"/>
  <c r="R169" i="66" s="1"/>
  <c r="N167" i="66"/>
  <c r="N166" i="66"/>
  <c r="N165" i="66"/>
  <c r="N163" i="66"/>
  <c r="N161" i="66"/>
  <c r="P161" i="66" s="1"/>
  <c r="R161" i="66" s="1"/>
  <c r="N160" i="66"/>
  <c r="N159" i="66"/>
  <c r="N158" i="66"/>
  <c r="N157" i="66"/>
  <c r="N156" i="66"/>
  <c r="N155" i="66"/>
  <c r="N154" i="66"/>
  <c r="N153" i="66"/>
  <c r="N152" i="66"/>
  <c r="N151" i="66"/>
  <c r="N150" i="66"/>
  <c r="N149" i="66"/>
  <c r="N148" i="66"/>
  <c r="N147" i="66"/>
  <c r="N146" i="66"/>
  <c r="N145" i="66"/>
  <c r="P145" i="66" s="1"/>
  <c r="R145" i="66" s="1"/>
  <c r="N144" i="66"/>
  <c r="N143" i="66"/>
  <c r="N142" i="66"/>
  <c r="N141" i="66"/>
  <c r="N140" i="66"/>
  <c r="N139" i="66"/>
  <c r="N138" i="66"/>
  <c r="N137" i="66"/>
  <c r="P137" i="66" s="1"/>
  <c r="R137" i="66" s="1"/>
  <c r="N136" i="66"/>
  <c r="N135" i="66"/>
  <c r="N134" i="66"/>
  <c r="N133" i="66"/>
  <c r="N132" i="66"/>
  <c r="N130" i="66"/>
  <c r="N128" i="66"/>
  <c r="N126" i="66"/>
  <c r="N113" i="66"/>
  <c r="P113" i="66" s="1"/>
  <c r="R113" i="66" s="1"/>
  <c r="N111" i="66"/>
  <c r="N109" i="66"/>
  <c r="P109" i="66" s="1"/>
  <c r="R109" i="66" s="1"/>
  <c r="N107" i="66"/>
  <c r="N103" i="66"/>
  <c r="N101" i="66"/>
  <c r="N92" i="66"/>
  <c r="P92" i="66" s="1"/>
  <c r="R92" i="66" s="1"/>
  <c r="N90" i="66"/>
  <c r="N66" i="66"/>
  <c r="N64" i="66"/>
  <c r="N47" i="66"/>
  <c r="N45" i="66"/>
  <c r="N29" i="66"/>
  <c r="P29" i="66" s="1"/>
  <c r="R29" i="66" s="1"/>
  <c r="N27" i="66"/>
  <c r="N19" i="66"/>
  <c r="N17" i="66"/>
  <c r="P17" i="66" s="1"/>
  <c r="R17" i="66" s="1"/>
  <c r="P19" i="51"/>
  <c r="P27" i="51"/>
  <c r="P107" i="51"/>
  <c r="P128" i="51"/>
  <c r="P131" i="51"/>
  <c r="P132" i="51"/>
  <c r="P136" i="51"/>
  <c r="P137" i="51"/>
  <c r="P138" i="51"/>
  <c r="P139" i="51"/>
  <c r="P140" i="51"/>
  <c r="P141" i="51"/>
  <c r="P142" i="51"/>
  <c r="P143" i="51"/>
  <c r="P144" i="51"/>
  <c r="P145" i="51"/>
  <c r="P146" i="51"/>
  <c r="P147" i="51"/>
  <c r="P148" i="51"/>
  <c r="P149" i="51"/>
  <c r="P150" i="51"/>
  <c r="P151" i="51"/>
  <c r="P152" i="51"/>
  <c r="P153" i="51"/>
  <c r="P154" i="51"/>
  <c r="P155" i="51"/>
  <c r="R155" i="51" s="1"/>
  <c r="P156" i="51"/>
  <c r="P157" i="51"/>
  <c r="P158" i="51"/>
  <c r="P159" i="51"/>
  <c r="P160" i="51"/>
  <c r="P161" i="51"/>
  <c r="P163" i="51"/>
  <c r="P166" i="51"/>
  <c r="P167" i="51"/>
  <c r="P169" i="51"/>
  <c r="P17" i="51"/>
  <c r="P29" i="51"/>
  <c r="P45" i="51"/>
  <c r="P47" i="51"/>
  <c r="P64" i="51"/>
  <c r="P66" i="51"/>
  <c r="P90" i="51"/>
  <c r="P92" i="51"/>
  <c r="P101" i="51"/>
  <c r="P103" i="51"/>
  <c r="P109" i="51"/>
  <c r="P111" i="51"/>
  <c r="P113" i="51"/>
  <c r="P130" i="51"/>
  <c r="P133" i="51"/>
  <c r="P134" i="51"/>
  <c r="P135" i="51"/>
  <c r="R111" i="51" l="1"/>
  <c r="V111" i="51"/>
  <c r="P158" i="66"/>
  <c r="R158" i="66" s="1"/>
  <c r="O158" i="69"/>
  <c r="R113" i="51"/>
  <c r="V113" i="51"/>
  <c r="R64" i="51"/>
  <c r="V64" i="51"/>
  <c r="R163" i="51"/>
  <c r="V163" i="51"/>
  <c r="R19" i="51"/>
  <c r="V19" i="51"/>
  <c r="P135" i="66"/>
  <c r="R135" i="66" s="1"/>
  <c r="O135" i="69"/>
  <c r="P142" i="66"/>
  <c r="R142" i="66" s="1"/>
  <c r="O142" i="69"/>
  <c r="P149" i="66"/>
  <c r="R149" i="66" s="1"/>
  <c r="O149" i="69"/>
  <c r="P157" i="66"/>
  <c r="R157" i="66" s="1"/>
  <c r="O157" i="69"/>
  <c r="P126" i="66"/>
  <c r="R126" i="66" s="1"/>
  <c r="P128" i="66"/>
  <c r="R128" i="66" s="1"/>
  <c r="P144" i="66"/>
  <c r="R144" i="66" s="1"/>
  <c r="O144" i="69"/>
  <c r="P151" i="66"/>
  <c r="R151" i="66" s="1"/>
  <c r="O151" i="69"/>
  <c r="P159" i="66"/>
  <c r="R159" i="66" s="1"/>
  <c r="O159" i="69"/>
  <c r="P166" i="66"/>
  <c r="R166" i="66" s="1"/>
  <c r="O166" i="69"/>
  <c r="R109" i="51"/>
  <c r="V109" i="51"/>
  <c r="P107" i="66"/>
  <c r="R107" i="66" s="1"/>
  <c r="P130" i="66"/>
  <c r="R130" i="66" s="1"/>
  <c r="P152" i="66"/>
  <c r="R152" i="66" s="1"/>
  <c r="O152" i="69"/>
  <c r="P160" i="66"/>
  <c r="R160" i="66" s="1"/>
  <c r="O160" i="69"/>
  <c r="P167" i="66"/>
  <c r="R167" i="66" s="1"/>
  <c r="O167" i="69"/>
  <c r="R161" i="51"/>
  <c r="V161" i="51"/>
  <c r="P136" i="66"/>
  <c r="R136" i="66" s="1"/>
  <c r="O136" i="69"/>
  <c r="R45" i="51"/>
  <c r="V45" i="51"/>
  <c r="R29" i="51"/>
  <c r="V29" i="51"/>
  <c r="R101" i="51"/>
  <c r="V101" i="51"/>
  <c r="R17" i="51"/>
  <c r="V17" i="51"/>
  <c r="P19" i="66"/>
  <c r="R19" i="66" s="1"/>
  <c r="P66" i="66"/>
  <c r="R66" i="66" s="1"/>
  <c r="P131" i="66"/>
  <c r="P131" i="69" s="1"/>
  <c r="O131" i="69"/>
  <c r="P138" i="66"/>
  <c r="R138" i="66" s="1"/>
  <c r="O138" i="69"/>
  <c r="P153" i="66"/>
  <c r="R153" i="66" s="1"/>
  <c r="O153" i="69"/>
  <c r="O168" i="69"/>
  <c r="R103" i="51"/>
  <c r="V103" i="51"/>
  <c r="P27" i="66"/>
  <c r="R27" i="66" s="1"/>
  <c r="P90" i="66"/>
  <c r="R90" i="66" s="1"/>
  <c r="P132" i="66"/>
  <c r="R132" i="66" s="1"/>
  <c r="O132" i="69"/>
  <c r="P139" i="66"/>
  <c r="R139" i="66" s="1"/>
  <c r="O139" i="69"/>
  <c r="P146" i="66"/>
  <c r="R146" i="66" s="1"/>
  <c r="O146" i="69"/>
  <c r="P154" i="66"/>
  <c r="R154" i="66" s="1"/>
  <c r="O154" i="69"/>
  <c r="R47" i="51"/>
  <c r="V47" i="51"/>
  <c r="P143" i="66"/>
  <c r="R143" i="66" s="1"/>
  <c r="O143" i="69"/>
  <c r="R169" i="51"/>
  <c r="V169" i="51"/>
  <c r="R128" i="51"/>
  <c r="V128" i="51"/>
  <c r="R90" i="51"/>
  <c r="V90" i="51"/>
  <c r="R107" i="51"/>
  <c r="V107" i="51"/>
  <c r="N162" i="66"/>
  <c r="P111" i="66"/>
  <c r="R111" i="66" s="1"/>
  <c r="P133" i="66"/>
  <c r="R133" i="66" s="1"/>
  <c r="O133" i="69"/>
  <c r="P140" i="66"/>
  <c r="R140" i="66" s="1"/>
  <c r="O140" i="69"/>
  <c r="P147" i="66"/>
  <c r="R147" i="66" s="1"/>
  <c r="O147" i="69"/>
  <c r="P155" i="66"/>
  <c r="R155" i="66" s="1"/>
  <c r="O155" i="69"/>
  <c r="P163" i="66"/>
  <c r="R163" i="66" s="1"/>
  <c r="P150" i="66"/>
  <c r="R150" i="66" s="1"/>
  <c r="O150" i="69"/>
  <c r="R92" i="51"/>
  <c r="V92" i="51"/>
  <c r="R66" i="51"/>
  <c r="V66" i="51"/>
  <c r="R27" i="51"/>
  <c r="V27" i="51"/>
  <c r="P134" i="66"/>
  <c r="R134" i="66" s="1"/>
  <c r="O134" i="69"/>
  <c r="P141" i="66"/>
  <c r="R141" i="66" s="1"/>
  <c r="O141" i="69"/>
  <c r="P148" i="66"/>
  <c r="R148" i="66" s="1"/>
  <c r="O148" i="69"/>
  <c r="P156" i="66"/>
  <c r="R156" i="66" s="1"/>
  <c r="O156" i="69"/>
  <c r="O164" i="69"/>
  <c r="P171" i="66"/>
  <c r="R171" i="66" s="1"/>
  <c r="P134" i="69"/>
  <c r="R134" i="51"/>
  <c r="V134" i="51"/>
  <c r="P158" i="69"/>
  <c r="R158" i="51"/>
  <c r="V158" i="51"/>
  <c r="P154" i="69"/>
  <c r="R154" i="51"/>
  <c r="V154" i="51"/>
  <c r="P150" i="69"/>
  <c r="R150" i="51"/>
  <c r="V150" i="51"/>
  <c r="R146" i="51"/>
  <c r="V146" i="51"/>
  <c r="R142" i="51"/>
  <c r="V142" i="51"/>
  <c r="P138" i="69"/>
  <c r="R138" i="51"/>
  <c r="V138" i="51"/>
  <c r="R131" i="51"/>
  <c r="V131" i="51"/>
  <c r="P133" i="69"/>
  <c r="R133" i="51"/>
  <c r="V133" i="51"/>
  <c r="P157" i="69"/>
  <c r="R157" i="51"/>
  <c r="V157" i="51"/>
  <c r="P153" i="69"/>
  <c r="R153" i="51"/>
  <c r="V153" i="51"/>
  <c r="P149" i="69"/>
  <c r="R149" i="51"/>
  <c r="V149" i="51"/>
  <c r="P145" i="69"/>
  <c r="R145" i="51"/>
  <c r="V145" i="51"/>
  <c r="P141" i="69"/>
  <c r="R141" i="51"/>
  <c r="V141" i="51"/>
  <c r="P137" i="69"/>
  <c r="R137" i="51"/>
  <c r="V137" i="51"/>
  <c r="R130" i="51"/>
  <c r="V130" i="51"/>
  <c r="P160" i="69"/>
  <c r="R160" i="51"/>
  <c r="V160" i="51"/>
  <c r="P152" i="69"/>
  <c r="R152" i="51"/>
  <c r="V152" i="51"/>
  <c r="P148" i="69"/>
  <c r="R148" i="51"/>
  <c r="V148" i="51"/>
  <c r="R144" i="51"/>
  <c r="V144" i="51"/>
  <c r="P140" i="69"/>
  <c r="R140" i="51"/>
  <c r="V140" i="51"/>
  <c r="P136" i="69"/>
  <c r="R136" i="51"/>
  <c r="V136" i="51"/>
  <c r="P135" i="69"/>
  <c r="R135" i="51"/>
  <c r="V135" i="51"/>
  <c r="P159" i="69"/>
  <c r="R159" i="51"/>
  <c r="V159" i="51"/>
  <c r="V155" i="51"/>
  <c r="P151" i="69"/>
  <c r="R151" i="51"/>
  <c r="V151" i="51"/>
  <c r="P147" i="69"/>
  <c r="R147" i="51"/>
  <c r="V147" i="51"/>
  <c r="P143" i="69"/>
  <c r="R143" i="51"/>
  <c r="V143" i="51"/>
  <c r="P139" i="69"/>
  <c r="R139" i="51"/>
  <c r="V139" i="51"/>
  <c r="R132" i="51"/>
  <c r="V132" i="51"/>
  <c r="P156" i="69"/>
  <c r="R156" i="51"/>
  <c r="V156" i="51"/>
  <c r="V167" i="51"/>
  <c r="R167" i="51"/>
  <c r="P166" i="69"/>
  <c r="V166" i="51"/>
  <c r="R166" i="51"/>
  <c r="P132" i="69"/>
  <c r="P162" i="51"/>
  <c r="V162" i="51" s="1"/>
  <c r="R131" i="66"/>
  <c r="P167" i="69" l="1"/>
  <c r="P144" i="69"/>
  <c r="P142" i="69"/>
  <c r="P155" i="69"/>
  <c r="P146" i="69"/>
  <c r="R162" i="51"/>
  <c r="C164" i="69"/>
  <c r="D164" i="69"/>
  <c r="E164" i="69"/>
  <c r="F164" i="69"/>
  <c r="G164" i="69"/>
  <c r="H164" i="69"/>
  <c r="I164" i="69"/>
  <c r="J164" i="69"/>
  <c r="K164" i="69"/>
  <c r="L164" i="69"/>
  <c r="B165" i="69"/>
  <c r="C165" i="69"/>
  <c r="D165" i="69"/>
  <c r="E165" i="69"/>
  <c r="F165" i="69"/>
  <c r="G165" i="69"/>
  <c r="I165" i="69"/>
  <c r="J165" i="69"/>
  <c r="K165" i="69"/>
  <c r="L165" i="69"/>
  <c r="B166" i="69"/>
  <c r="C166" i="69"/>
  <c r="D166" i="69"/>
  <c r="E166" i="69"/>
  <c r="F166" i="69"/>
  <c r="G166" i="69"/>
  <c r="H166" i="69"/>
  <c r="I166" i="69"/>
  <c r="J166" i="69"/>
  <c r="K166" i="69"/>
  <c r="L166" i="69"/>
  <c r="B167" i="69"/>
  <c r="C167" i="69"/>
  <c r="D167" i="69"/>
  <c r="E167" i="69"/>
  <c r="F167" i="69"/>
  <c r="G167" i="69"/>
  <c r="H167" i="69"/>
  <c r="I167" i="69"/>
  <c r="J167" i="69"/>
  <c r="K167" i="69"/>
  <c r="L167" i="69"/>
  <c r="B168" i="69"/>
  <c r="C168" i="69"/>
  <c r="E168" i="69"/>
  <c r="F168" i="69"/>
  <c r="G168" i="69"/>
  <c r="H168" i="69"/>
  <c r="I168" i="69"/>
  <c r="J168" i="69"/>
  <c r="K168" i="69"/>
  <c r="L168" i="69"/>
  <c r="B131" i="69"/>
  <c r="C131" i="69"/>
  <c r="D131" i="69"/>
  <c r="E131" i="69"/>
  <c r="F131" i="69"/>
  <c r="G131" i="69"/>
  <c r="H131" i="69"/>
  <c r="I131" i="69"/>
  <c r="J131" i="69"/>
  <c r="K131" i="69"/>
  <c r="L131" i="69"/>
  <c r="B132" i="69"/>
  <c r="C132" i="69"/>
  <c r="D132" i="69"/>
  <c r="E132" i="69"/>
  <c r="F132" i="69"/>
  <c r="G132" i="69"/>
  <c r="H132" i="69"/>
  <c r="I132" i="69"/>
  <c r="J132" i="69"/>
  <c r="K132" i="69"/>
  <c r="L132" i="69"/>
  <c r="B133" i="69"/>
  <c r="C133" i="69"/>
  <c r="D133" i="69"/>
  <c r="E133" i="69"/>
  <c r="F133" i="69"/>
  <c r="G133" i="69"/>
  <c r="H133" i="69"/>
  <c r="I133" i="69"/>
  <c r="J133" i="69"/>
  <c r="K133" i="69"/>
  <c r="L133" i="69"/>
  <c r="B134" i="69"/>
  <c r="C134" i="69"/>
  <c r="D134" i="69"/>
  <c r="E134" i="69"/>
  <c r="F134" i="69"/>
  <c r="G134" i="69"/>
  <c r="H134" i="69"/>
  <c r="I134" i="69"/>
  <c r="J134" i="69"/>
  <c r="K134" i="69"/>
  <c r="L134" i="69"/>
  <c r="B135" i="69"/>
  <c r="C135" i="69"/>
  <c r="D135" i="69"/>
  <c r="E135" i="69"/>
  <c r="F135" i="69"/>
  <c r="G135" i="69"/>
  <c r="H135" i="69"/>
  <c r="I135" i="69"/>
  <c r="J135" i="69"/>
  <c r="K135" i="69"/>
  <c r="L135" i="69"/>
  <c r="B136" i="69"/>
  <c r="C136" i="69"/>
  <c r="D136" i="69"/>
  <c r="E136" i="69"/>
  <c r="F136" i="69"/>
  <c r="G136" i="69"/>
  <c r="H136" i="69"/>
  <c r="I136" i="69"/>
  <c r="J136" i="69"/>
  <c r="K136" i="69"/>
  <c r="L136" i="69"/>
  <c r="B137" i="69"/>
  <c r="C137" i="69"/>
  <c r="D137" i="69"/>
  <c r="E137" i="69"/>
  <c r="F137" i="69"/>
  <c r="G137" i="69"/>
  <c r="H137" i="69"/>
  <c r="I137" i="69"/>
  <c r="J137" i="69"/>
  <c r="K137" i="69"/>
  <c r="L137" i="69"/>
  <c r="B138" i="69"/>
  <c r="C138" i="69"/>
  <c r="D138" i="69"/>
  <c r="E138" i="69"/>
  <c r="F138" i="69"/>
  <c r="G138" i="69"/>
  <c r="H138" i="69"/>
  <c r="I138" i="69"/>
  <c r="J138" i="69"/>
  <c r="K138" i="69"/>
  <c r="L138" i="69"/>
  <c r="B139" i="69"/>
  <c r="C139" i="69"/>
  <c r="D139" i="69"/>
  <c r="E139" i="69"/>
  <c r="F139" i="69"/>
  <c r="G139" i="69"/>
  <c r="H139" i="69"/>
  <c r="I139" i="69"/>
  <c r="J139" i="69"/>
  <c r="K139" i="69"/>
  <c r="L139" i="69"/>
  <c r="B140" i="69"/>
  <c r="C140" i="69"/>
  <c r="D140" i="69"/>
  <c r="E140" i="69"/>
  <c r="F140" i="69"/>
  <c r="G140" i="69"/>
  <c r="H140" i="69"/>
  <c r="I140" i="69"/>
  <c r="J140" i="69"/>
  <c r="K140" i="69"/>
  <c r="L140" i="69"/>
  <c r="B141" i="69"/>
  <c r="C141" i="69"/>
  <c r="D141" i="69"/>
  <c r="E141" i="69"/>
  <c r="F141" i="69"/>
  <c r="G141" i="69"/>
  <c r="H141" i="69"/>
  <c r="I141" i="69"/>
  <c r="J141" i="69"/>
  <c r="K141" i="69"/>
  <c r="L141" i="69"/>
  <c r="B142" i="69"/>
  <c r="C142" i="69"/>
  <c r="D142" i="69"/>
  <c r="E142" i="69"/>
  <c r="F142" i="69"/>
  <c r="G142" i="69"/>
  <c r="H142" i="69"/>
  <c r="I142" i="69"/>
  <c r="J142" i="69"/>
  <c r="K142" i="69"/>
  <c r="L142" i="69"/>
  <c r="B143" i="69"/>
  <c r="C143" i="69"/>
  <c r="D143" i="69"/>
  <c r="E143" i="69"/>
  <c r="F143" i="69"/>
  <c r="G143" i="69"/>
  <c r="H143" i="69"/>
  <c r="I143" i="69"/>
  <c r="J143" i="69"/>
  <c r="K143" i="69"/>
  <c r="L143" i="69"/>
  <c r="B144" i="69"/>
  <c r="C144" i="69"/>
  <c r="D144" i="69"/>
  <c r="E144" i="69"/>
  <c r="F144" i="69"/>
  <c r="G144" i="69"/>
  <c r="H144" i="69"/>
  <c r="I144" i="69"/>
  <c r="J144" i="69"/>
  <c r="K144" i="69"/>
  <c r="L144" i="69"/>
  <c r="B145" i="69"/>
  <c r="C145" i="69"/>
  <c r="D145" i="69"/>
  <c r="E145" i="69"/>
  <c r="F145" i="69"/>
  <c r="G145" i="69"/>
  <c r="H145" i="69"/>
  <c r="I145" i="69"/>
  <c r="J145" i="69"/>
  <c r="K145" i="69"/>
  <c r="L145" i="69"/>
  <c r="B146" i="69"/>
  <c r="C146" i="69"/>
  <c r="D146" i="69"/>
  <c r="E146" i="69"/>
  <c r="F146" i="69"/>
  <c r="G146" i="69"/>
  <c r="H146" i="69"/>
  <c r="I146" i="69"/>
  <c r="J146" i="69"/>
  <c r="K146" i="69"/>
  <c r="L146" i="69"/>
  <c r="B147" i="69"/>
  <c r="C147" i="69"/>
  <c r="D147" i="69"/>
  <c r="E147" i="69"/>
  <c r="F147" i="69"/>
  <c r="G147" i="69"/>
  <c r="H147" i="69"/>
  <c r="I147" i="69"/>
  <c r="J147" i="69"/>
  <c r="K147" i="69"/>
  <c r="L147" i="69"/>
  <c r="B148" i="69"/>
  <c r="C148" i="69"/>
  <c r="D148" i="69"/>
  <c r="E148" i="69"/>
  <c r="F148" i="69"/>
  <c r="G148" i="69"/>
  <c r="H148" i="69"/>
  <c r="I148" i="69"/>
  <c r="J148" i="69"/>
  <c r="K148" i="69"/>
  <c r="L148" i="69"/>
  <c r="B149" i="69"/>
  <c r="C149" i="69"/>
  <c r="D149" i="69"/>
  <c r="E149" i="69"/>
  <c r="F149" i="69"/>
  <c r="G149" i="69"/>
  <c r="H149" i="69"/>
  <c r="I149" i="69"/>
  <c r="J149" i="69"/>
  <c r="K149" i="69"/>
  <c r="L149" i="69"/>
  <c r="B150" i="69"/>
  <c r="C150" i="69"/>
  <c r="D150" i="69"/>
  <c r="E150" i="69"/>
  <c r="F150" i="69"/>
  <c r="G150" i="69"/>
  <c r="H150" i="69"/>
  <c r="I150" i="69"/>
  <c r="J150" i="69"/>
  <c r="K150" i="69"/>
  <c r="L150" i="69"/>
  <c r="B151" i="69"/>
  <c r="C151" i="69"/>
  <c r="D151" i="69"/>
  <c r="E151" i="69"/>
  <c r="F151" i="69"/>
  <c r="G151" i="69"/>
  <c r="H151" i="69"/>
  <c r="I151" i="69"/>
  <c r="J151" i="69"/>
  <c r="K151" i="69"/>
  <c r="L151" i="69"/>
  <c r="B152" i="69"/>
  <c r="C152" i="69"/>
  <c r="D152" i="69"/>
  <c r="E152" i="69"/>
  <c r="F152" i="69"/>
  <c r="G152" i="69"/>
  <c r="H152" i="69"/>
  <c r="I152" i="69"/>
  <c r="J152" i="69"/>
  <c r="K152" i="69"/>
  <c r="L152" i="69"/>
  <c r="B153" i="69"/>
  <c r="C153" i="69"/>
  <c r="D153" i="69"/>
  <c r="E153" i="69"/>
  <c r="F153" i="69"/>
  <c r="G153" i="69"/>
  <c r="H153" i="69"/>
  <c r="I153" i="69"/>
  <c r="J153" i="69"/>
  <c r="K153" i="69"/>
  <c r="L153" i="69"/>
  <c r="B154" i="69"/>
  <c r="C154" i="69"/>
  <c r="D154" i="69"/>
  <c r="E154" i="69"/>
  <c r="F154" i="69"/>
  <c r="G154" i="69"/>
  <c r="H154" i="69"/>
  <c r="I154" i="69"/>
  <c r="J154" i="69"/>
  <c r="K154" i="69"/>
  <c r="L154" i="69"/>
  <c r="B155" i="69"/>
  <c r="C155" i="69"/>
  <c r="D155" i="69"/>
  <c r="E155" i="69"/>
  <c r="F155" i="69"/>
  <c r="G155" i="69"/>
  <c r="H155" i="69"/>
  <c r="I155" i="69"/>
  <c r="J155" i="69"/>
  <c r="K155" i="69"/>
  <c r="L155" i="69"/>
  <c r="B156" i="69"/>
  <c r="C156" i="69"/>
  <c r="D156" i="69"/>
  <c r="E156" i="69"/>
  <c r="F156" i="69"/>
  <c r="G156" i="69"/>
  <c r="H156" i="69"/>
  <c r="I156" i="69"/>
  <c r="J156" i="69"/>
  <c r="K156" i="69"/>
  <c r="L156" i="69"/>
  <c r="B157" i="69"/>
  <c r="C157" i="69"/>
  <c r="D157" i="69"/>
  <c r="E157" i="69"/>
  <c r="F157" i="69"/>
  <c r="G157" i="69"/>
  <c r="H157" i="69"/>
  <c r="I157" i="69"/>
  <c r="J157" i="69"/>
  <c r="K157" i="69"/>
  <c r="L157" i="69"/>
  <c r="B158" i="69"/>
  <c r="C158" i="69"/>
  <c r="D158" i="69"/>
  <c r="E158" i="69"/>
  <c r="F158" i="69"/>
  <c r="G158" i="69"/>
  <c r="H158" i="69"/>
  <c r="I158" i="69"/>
  <c r="J158" i="69"/>
  <c r="K158" i="69"/>
  <c r="L158" i="69"/>
  <c r="B159" i="69"/>
  <c r="C159" i="69"/>
  <c r="D159" i="69"/>
  <c r="E159" i="69"/>
  <c r="F159" i="69"/>
  <c r="G159" i="69"/>
  <c r="H159" i="69"/>
  <c r="I159" i="69"/>
  <c r="J159" i="69"/>
  <c r="K159" i="69"/>
  <c r="L159" i="69"/>
  <c r="B160" i="69"/>
  <c r="C160" i="69"/>
  <c r="D160" i="69"/>
  <c r="E160" i="69"/>
  <c r="F160" i="69"/>
  <c r="G160" i="69"/>
  <c r="H160" i="69"/>
  <c r="I160" i="69"/>
  <c r="J160" i="69"/>
  <c r="K160" i="69"/>
  <c r="L160" i="69"/>
  <c r="A168" i="69"/>
  <c r="A167" i="69"/>
  <c r="A166" i="69"/>
  <c r="A165" i="69"/>
  <c r="A160" i="69"/>
  <c r="A159" i="69"/>
  <c r="A158" i="69"/>
  <c r="A157" i="69"/>
  <c r="A156" i="69"/>
  <c r="A155" i="69"/>
  <c r="A154" i="69"/>
  <c r="A153" i="69"/>
  <c r="A152" i="69"/>
  <c r="A151" i="69"/>
  <c r="A150" i="69"/>
  <c r="A149" i="69"/>
  <c r="A148" i="69"/>
  <c r="A147" i="69"/>
  <c r="A146" i="69"/>
  <c r="A145" i="69"/>
  <c r="A144" i="69"/>
  <c r="A143" i="69"/>
  <c r="A142" i="69"/>
  <c r="A141" i="69"/>
  <c r="A140" i="69"/>
  <c r="A139" i="69"/>
  <c r="A138" i="69"/>
  <c r="A137" i="69"/>
  <c r="A136" i="69"/>
  <c r="A135" i="69"/>
  <c r="A134" i="69"/>
  <c r="A133" i="69"/>
  <c r="A132" i="69"/>
  <c r="A131" i="69"/>
  <c r="N171" i="69"/>
  <c r="N169" i="69"/>
  <c r="N163" i="69"/>
  <c r="N161" i="69"/>
  <c r="N130" i="69"/>
  <c r="N128" i="69"/>
  <c r="N126" i="69"/>
  <c r="N113" i="69"/>
  <c r="N111" i="69"/>
  <c r="N109" i="69"/>
  <c r="N107" i="69"/>
  <c r="N103" i="69"/>
  <c r="N101" i="69"/>
  <c r="N92" i="69"/>
  <c r="N90" i="69"/>
  <c r="N66" i="69"/>
  <c r="N64" i="69"/>
  <c r="N47" i="69"/>
  <c r="N45" i="69"/>
  <c r="N29" i="69"/>
  <c r="N27" i="69"/>
  <c r="N19" i="69"/>
  <c r="N17" i="69"/>
  <c r="J58" i="66"/>
  <c r="J55" i="66"/>
  <c r="J53" i="66"/>
  <c r="I49" i="66"/>
  <c r="H49" i="66"/>
  <c r="H49" i="69" s="1"/>
  <c r="E49" i="66"/>
  <c r="E49" i="69" s="1"/>
  <c r="F26" i="68"/>
  <c r="E26" i="68"/>
  <c r="D26" i="68"/>
  <c r="C26" i="68"/>
  <c r="B26" i="68"/>
  <c r="F25" i="68"/>
  <c r="E25" i="68"/>
  <c r="D25" i="68"/>
  <c r="C25" i="68"/>
  <c r="B25" i="68"/>
  <c r="F24" i="68"/>
  <c r="E24" i="68"/>
  <c r="D24" i="68"/>
  <c r="C24" i="68"/>
  <c r="B24" i="68"/>
  <c r="F23" i="68"/>
  <c r="E23" i="68"/>
  <c r="D23" i="68"/>
  <c r="C23" i="68"/>
  <c r="B23" i="68"/>
  <c r="F22" i="68"/>
  <c r="E22" i="68"/>
  <c r="D22" i="68"/>
  <c r="C22" i="68"/>
  <c r="B22" i="68"/>
  <c r="F21" i="68"/>
  <c r="E21" i="68"/>
  <c r="D21" i="68"/>
  <c r="C21" i="68"/>
  <c r="B21" i="68"/>
  <c r="F20" i="68"/>
  <c r="E20" i="68"/>
  <c r="D20" i="68"/>
  <c r="C20" i="68"/>
  <c r="B20" i="68"/>
  <c r="F19" i="68"/>
  <c r="E19" i="68"/>
  <c r="D19" i="68"/>
  <c r="C19" i="68"/>
  <c r="B19" i="68"/>
  <c r="B28" i="68" s="1"/>
  <c r="F18" i="68"/>
  <c r="E18" i="68"/>
  <c r="D18" i="68"/>
  <c r="C18" i="68"/>
  <c r="C28" i="68" s="1"/>
  <c r="B18" i="68"/>
  <c r="BJ14" i="68"/>
  <c r="BI14" i="68"/>
  <c r="BH14" i="68"/>
  <c r="BG14" i="68"/>
  <c r="BF14" i="68"/>
  <c r="BE14" i="68"/>
  <c r="BD14" i="68"/>
  <c r="BC14" i="68"/>
  <c r="BB14" i="68"/>
  <c r="BA14" i="68"/>
  <c r="AZ14" i="68"/>
  <c r="AY14" i="68"/>
  <c r="AX14" i="68"/>
  <c r="AW14" i="68"/>
  <c r="AV14" i="68"/>
  <c r="AU14" i="68"/>
  <c r="AT14" i="68"/>
  <c r="AS14" i="68"/>
  <c r="AR14" i="68"/>
  <c r="AQ14" i="68"/>
  <c r="AP14" i="68"/>
  <c r="AO14" i="68"/>
  <c r="AN14" i="68"/>
  <c r="AM14" i="68"/>
  <c r="AL14" i="68"/>
  <c r="AK14" i="68"/>
  <c r="AJ14" i="68"/>
  <c r="AI14" i="68"/>
  <c r="AH14" i="68"/>
  <c r="AG14" i="68"/>
  <c r="AF14" i="68"/>
  <c r="AE14" i="68"/>
  <c r="AD14" i="68"/>
  <c r="AC14" i="68"/>
  <c r="AB14" i="68"/>
  <c r="AA14" i="68"/>
  <c r="Z14" i="68"/>
  <c r="Y14" i="68"/>
  <c r="X14" i="68"/>
  <c r="W14" i="68"/>
  <c r="V14" i="68"/>
  <c r="U14" i="68"/>
  <c r="T14" i="68"/>
  <c r="S14" i="68"/>
  <c r="R14" i="68"/>
  <c r="Q14" i="68"/>
  <c r="P14" i="68"/>
  <c r="O14" i="68"/>
  <c r="N14" i="68"/>
  <c r="M14" i="68"/>
  <c r="L14" i="68"/>
  <c r="K14" i="68"/>
  <c r="J14" i="68"/>
  <c r="I14" i="68"/>
  <c r="H14" i="68"/>
  <c r="G14" i="68"/>
  <c r="F14" i="68"/>
  <c r="E14" i="68"/>
  <c r="D14" i="68"/>
  <c r="C14" i="68"/>
  <c r="B14" i="68"/>
  <c r="BK13" i="68"/>
  <c r="BK12" i="68"/>
  <c r="BK11" i="68"/>
  <c r="BK10" i="68"/>
  <c r="BK9" i="68"/>
  <c r="BK8" i="68"/>
  <c r="BK7" i="68"/>
  <c r="BK6" i="68"/>
  <c r="BK5" i="68"/>
  <c r="BK4" i="68"/>
  <c r="D28" i="68" l="1"/>
  <c r="BK14" i="68"/>
  <c r="H162" i="69"/>
  <c r="C162" i="69"/>
  <c r="C170" i="69" s="1"/>
  <c r="F162" i="69"/>
  <c r="F170" i="69" s="1"/>
  <c r="D162" i="69"/>
  <c r="B162" i="69"/>
  <c r="E162" i="69"/>
  <c r="E170" i="69" s="1"/>
  <c r="A162" i="69"/>
  <c r="J162" i="69"/>
  <c r="J170" i="69" s="1"/>
  <c r="K162" i="69"/>
  <c r="K170" i="69" s="1"/>
  <c r="I162" i="69"/>
  <c r="I170" i="69" s="1"/>
  <c r="L162" i="69"/>
  <c r="L170" i="69" s="1"/>
  <c r="G162" i="69"/>
  <c r="G170" i="69" s="1"/>
  <c r="B30" i="68"/>
  <c r="P34" i="58" l="1"/>
  <c r="Q34" i="77" l="1"/>
  <c r="X34" i="77" s="1"/>
  <c r="Q34" i="51"/>
  <c r="X34" i="51"/>
  <c r="R34" i="58"/>
  <c r="V34" i="58"/>
  <c r="Y34" i="51" l="1"/>
  <c r="Z34" i="51"/>
  <c r="U34" i="51"/>
  <c r="Q46" i="51"/>
  <c r="U46" i="51" s="1"/>
  <c r="Q34" i="69"/>
  <c r="AC34" i="77"/>
  <c r="U34" i="77"/>
  <c r="Q46" i="77"/>
  <c r="X46" i="77" s="1"/>
  <c r="Y34" i="77"/>
  <c r="I49" i="69"/>
  <c r="J53" i="69"/>
  <c r="J55" i="69"/>
  <c r="J58" i="69"/>
  <c r="U46" i="77" l="1"/>
  <c r="AC46" i="77"/>
  <c r="AA34" i="51"/>
  <c r="Z46" i="51"/>
  <c r="D168" i="66"/>
  <c r="N168" i="66" s="1"/>
  <c r="P168" i="66" s="1"/>
  <c r="R168" i="66" s="1"/>
  <c r="B164" i="66"/>
  <c r="A164" i="66"/>
  <c r="N164" i="66" s="1"/>
  <c r="P164" i="66" s="1"/>
  <c r="R164" i="66" s="1"/>
  <c r="L162" i="66"/>
  <c r="L170" i="66" s="1"/>
  <c r="K162" i="66"/>
  <c r="K170" i="66" s="1"/>
  <c r="J162" i="66"/>
  <c r="I162" i="66"/>
  <c r="I170" i="66" s="1"/>
  <c r="H162" i="66"/>
  <c r="H170" i="66" s="1"/>
  <c r="G162" i="66"/>
  <c r="G170" i="66" s="1"/>
  <c r="F162" i="66"/>
  <c r="F170" i="66" s="1"/>
  <c r="E162" i="66"/>
  <c r="E170" i="66" s="1"/>
  <c r="D162" i="66"/>
  <c r="D170" i="66" s="1"/>
  <c r="C162" i="66"/>
  <c r="C170" i="66" s="1"/>
  <c r="B162" i="66"/>
  <c r="A162" i="66"/>
  <c r="AB34" i="51" l="1"/>
  <c r="AB46" i="51" s="1"/>
  <c r="AA46" i="51"/>
  <c r="B170" i="66"/>
  <c r="J170" i="66"/>
  <c r="O170" i="66" s="1"/>
  <c r="O162" i="66"/>
  <c r="P162" i="66" s="1"/>
  <c r="R162" i="66" s="1"/>
  <c r="A170" i="66"/>
  <c r="N170" i="66" s="1"/>
  <c r="W127" i="64"/>
  <c r="L125" i="64"/>
  <c r="K125" i="64"/>
  <c r="I125" i="64"/>
  <c r="H125" i="64"/>
  <c r="G125" i="64"/>
  <c r="F125" i="64"/>
  <c r="E125" i="64"/>
  <c r="D125" i="64"/>
  <c r="C125" i="64"/>
  <c r="B125" i="64"/>
  <c r="A125" i="64"/>
  <c r="L124" i="64"/>
  <c r="K124" i="64"/>
  <c r="I124" i="64"/>
  <c r="H124" i="64"/>
  <c r="G124" i="64"/>
  <c r="F124" i="64"/>
  <c r="E124" i="64"/>
  <c r="D124" i="64"/>
  <c r="C124" i="64"/>
  <c r="B124" i="64"/>
  <c r="A124" i="64"/>
  <c r="L123" i="64"/>
  <c r="K123" i="64"/>
  <c r="I123" i="64"/>
  <c r="H123" i="64"/>
  <c r="G123" i="64"/>
  <c r="F123" i="64"/>
  <c r="E123" i="64"/>
  <c r="D123" i="64"/>
  <c r="C123" i="64"/>
  <c r="B123" i="64"/>
  <c r="A123" i="64"/>
  <c r="L122" i="64"/>
  <c r="K122" i="64"/>
  <c r="I122" i="64"/>
  <c r="H122" i="64"/>
  <c r="G122" i="64"/>
  <c r="F122" i="64"/>
  <c r="E122" i="64"/>
  <c r="D122" i="64"/>
  <c r="C122" i="64"/>
  <c r="B122" i="64"/>
  <c r="A122" i="64"/>
  <c r="L121" i="64"/>
  <c r="K121" i="64"/>
  <c r="I121" i="64"/>
  <c r="H121" i="64"/>
  <c r="G121" i="64"/>
  <c r="F121" i="64"/>
  <c r="E121" i="64"/>
  <c r="D121" i="64"/>
  <c r="C121" i="64"/>
  <c r="B121" i="64"/>
  <c r="A121" i="64"/>
  <c r="L120" i="64"/>
  <c r="K120" i="64"/>
  <c r="I120" i="64"/>
  <c r="H120" i="64"/>
  <c r="G120" i="64"/>
  <c r="F120" i="64"/>
  <c r="E120" i="64"/>
  <c r="D120" i="64"/>
  <c r="C120" i="64"/>
  <c r="B120" i="64"/>
  <c r="A120" i="64"/>
  <c r="L119" i="64"/>
  <c r="K119" i="64"/>
  <c r="I119" i="64"/>
  <c r="H119" i="64"/>
  <c r="G119" i="64"/>
  <c r="F119" i="64"/>
  <c r="E119" i="64"/>
  <c r="D119" i="64"/>
  <c r="C119" i="64"/>
  <c r="B119" i="64"/>
  <c r="A119" i="64"/>
  <c r="L118" i="64"/>
  <c r="K118" i="64"/>
  <c r="I118" i="64"/>
  <c r="H118" i="64"/>
  <c r="G118" i="64"/>
  <c r="F118" i="64"/>
  <c r="E118" i="64"/>
  <c r="D118" i="64"/>
  <c r="C118" i="64"/>
  <c r="B118" i="64"/>
  <c r="A118" i="64"/>
  <c r="L117" i="64"/>
  <c r="K117" i="64"/>
  <c r="I117" i="64"/>
  <c r="H117" i="64"/>
  <c r="G117" i="64"/>
  <c r="F117" i="64"/>
  <c r="E117" i="64"/>
  <c r="D117" i="64"/>
  <c r="C117" i="64"/>
  <c r="B117" i="64"/>
  <c r="A117" i="64"/>
  <c r="L116" i="64"/>
  <c r="K116" i="64"/>
  <c r="I116" i="64"/>
  <c r="I127" i="64" s="1"/>
  <c r="H116" i="64"/>
  <c r="G116" i="64"/>
  <c r="F116" i="64"/>
  <c r="E116" i="64"/>
  <c r="D116" i="64"/>
  <c r="C116" i="64"/>
  <c r="B116" i="64"/>
  <c r="A116" i="64"/>
  <c r="L115" i="64"/>
  <c r="K115" i="64"/>
  <c r="I115" i="64"/>
  <c r="H115" i="64"/>
  <c r="G115" i="64"/>
  <c r="F115" i="64"/>
  <c r="E115" i="64"/>
  <c r="D115" i="64"/>
  <c r="C115" i="64"/>
  <c r="B115" i="64"/>
  <c r="A115" i="64"/>
  <c r="L114" i="64"/>
  <c r="K114" i="64"/>
  <c r="J127" i="64"/>
  <c r="I114" i="64"/>
  <c r="H114" i="64"/>
  <c r="G114" i="64"/>
  <c r="G127" i="64" s="1"/>
  <c r="F114" i="64"/>
  <c r="E114" i="64"/>
  <c r="D114" i="64"/>
  <c r="C114" i="64"/>
  <c r="B114" i="64"/>
  <c r="A114" i="64"/>
  <c r="W108" i="64"/>
  <c r="X107" i="64"/>
  <c r="L106" i="64"/>
  <c r="K106" i="64"/>
  <c r="I106" i="64"/>
  <c r="H106" i="64"/>
  <c r="G106" i="64"/>
  <c r="F106" i="64"/>
  <c r="E106" i="64"/>
  <c r="D106" i="64"/>
  <c r="C106" i="64"/>
  <c r="B106" i="64"/>
  <c r="A106" i="64"/>
  <c r="L105" i="64"/>
  <c r="K105" i="64"/>
  <c r="I105" i="64"/>
  <c r="H105" i="64"/>
  <c r="G105" i="64"/>
  <c r="F105" i="64"/>
  <c r="E105" i="64"/>
  <c r="D105" i="64"/>
  <c r="C105" i="64"/>
  <c r="B105" i="64"/>
  <c r="A105" i="64"/>
  <c r="L104" i="64"/>
  <c r="K104" i="64"/>
  <c r="J108" i="64"/>
  <c r="I104" i="64"/>
  <c r="H104" i="64"/>
  <c r="G104" i="64"/>
  <c r="F104" i="64"/>
  <c r="E104" i="64"/>
  <c r="D104" i="64"/>
  <c r="C104" i="64"/>
  <c r="B104" i="64"/>
  <c r="A104" i="64"/>
  <c r="W102" i="64"/>
  <c r="L100" i="64"/>
  <c r="K100" i="64"/>
  <c r="I100" i="64"/>
  <c r="H100" i="64"/>
  <c r="G100" i="64"/>
  <c r="F100" i="64"/>
  <c r="E100" i="64"/>
  <c r="D100" i="64"/>
  <c r="C100" i="64"/>
  <c r="B100" i="64"/>
  <c r="A100" i="64"/>
  <c r="L99" i="64"/>
  <c r="K99" i="64"/>
  <c r="I99" i="64"/>
  <c r="H99" i="64"/>
  <c r="G99" i="64"/>
  <c r="F99" i="64"/>
  <c r="E99" i="64"/>
  <c r="D99" i="64"/>
  <c r="C99" i="64"/>
  <c r="B99" i="64"/>
  <c r="A99" i="64"/>
  <c r="L98" i="64"/>
  <c r="K98" i="64"/>
  <c r="I98" i="64"/>
  <c r="H98" i="64"/>
  <c r="G98" i="64"/>
  <c r="F98" i="64"/>
  <c r="E98" i="64"/>
  <c r="D98" i="64"/>
  <c r="C98" i="64"/>
  <c r="B98" i="64"/>
  <c r="A98" i="64"/>
  <c r="L97" i="64"/>
  <c r="K97" i="64"/>
  <c r="I97" i="64"/>
  <c r="H97" i="64"/>
  <c r="G97" i="64"/>
  <c r="F97" i="64"/>
  <c r="E97" i="64"/>
  <c r="D97" i="64"/>
  <c r="C97" i="64"/>
  <c r="B97" i="64"/>
  <c r="A97" i="64"/>
  <c r="L96" i="64"/>
  <c r="K96" i="64"/>
  <c r="I96" i="64"/>
  <c r="H96" i="64"/>
  <c r="G96" i="64"/>
  <c r="F96" i="64"/>
  <c r="E96" i="64"/>
  <c r="D96" i="64"/>
  <c r="C96" i="64"/>
  <c r="B96" i="64"/>
  <c r="A96" i="64"/>
  <c r="L95" i="64"/>
  <c r="K95" i="64"/>
  <c r="I95" i="64"/>
  <c r="H95" i="64"/>
  <c r="G95" i="64"/>
  <c r="F95" i="64"/>
  <c r="E95" i="64"/>
  <c r="D95" i="64"/>
  <c r="C95" i="64"/>
  <c r="B95" i="64"/>
  <c r="A95" i="64"/>
  <c r="L94" i="64"/>
  <c r="K94" i="64"/>
  <c r="I94" i="64"/>
  <c r="H94" i="64"/>
  <c r="G94" i="64"/>
  <c r="F94" i="64"/>
  <c r="E94" i="64"/>
  <c r="D94" i="64"/>
  <c r="C94" i="64"/>
  <c r="B94" i="64"/>
  <c r="A94" i="64"/>
  <c r="L93" i="64"/>
  <c r="K93" i="64"/>
  <c r="I93" i="64"/>
  <c r="H93" i="64"/>
  <c r="G93" i="64"/>
  <c r="F93" i="64"/>
  <c r="E93" i="64"/>
  <c r="D93" i="64"/>
  <c r="C93" i="64"/>
  <c r="B93" i="64"/>
  <c r="A93" i="64"/>
  <c r="W91" i="64"/>
  <c r="X90" i="64"/>
  <c r="L89" i="64"/>
  <c r="K89" i="64"/>
  <c r="I89" i="64"/>
  <c r="H89" i="64"/>
  <c r="G89" i="64"/>
  <c r="F89" i="64"/>
  <c r="E89" i="64"/>
  <c r="D89" i="64"/>
  <c r="C89" i="64"/>
  <c r="B89" i="64"/>
  <c r="A89" i="64"/>
  <c r="O89" i="64" s="1"/>
  <c r="L88" i="64"/>
  <c r="K88" i="64"/>
  <c r="I88" i="64"/>
  <c r="H88" i="64"/>
  <c r="G88" i="64"/>
  <c r="F88" i="64"/>
  <c r="E88" i="64"/>
  <c r="D88" i="64"/>
  <c r="C88" i="64"/>
  <c r="B88" i="64"/>
  <c r="A88" i="64"/>
  <c r="L87" i="64"/>
  <c r="K87" i="64"/>
  <c r="I87" i="64"/>
  <c r="H87" i="64"/>
  <c r="G87" i="64"/>
  <c r="F87" i="64"/>
  <c r="E87" i="64"/>
  <c r="D87" i="64"/>
  <c r="C87" i="64"/>
  <c r="B87" i="64"/>
  <c r="A87" i="64"/>
  <c r="L86" i="64"/>
  <c r="K86" i="64"/>
  <c r="I86" i="64"/>
  <c r="H86" i="64"/>
  <c r="G86" i="64"/>
  <c r="F86" i="64"/>
  <c r="E86" i="64"/>
  <c r="D86" i="64"/>
  <c r="C86" i="64"/>
  <c r="B86" i="64"/>
  <c r="A86" i="64"/>
  <c r="L85" i="64"/>
  <c r="K85" i="64"/>
  <c r="I85" i="64"/>
  <c r="H85" i="64"/>
  <c r="G85" i="64"/>
  <c r="F85" i="64"/>
  <c r="E85" i="64"/>
  <c r="D85" i="64"/>
  <c r="C85" i="64"/>
  <c r="B85" i="64"/>
  <c r="A85" i="64"/>
  <c r="L84" i="64"/>
  <c r="K84" i="64"/>
  <c r="I84" i="64"/>
  <c r="H84" i="64"/>
  <c r="G84" i="64"/>
  <c r="F84" i="64"/>
  <c r="E84" i="64"/>
  <c r="D84" i="64"/>
  <c r="C84" i="64"/>
  <c r="B84" i="64"/>
  <c r="A84" i="64"/>
  <c r="L83" i="64"/>
  <c r="K83" i="64"/>
  <c r="I83" i="64"/>
  <c r="H83" i="64"/>
  <c r="G83" i="64"/>
  <c r="F83" i="64"/>
  <c r="E83" i="64"/>
  <c r="D83" i="64"/>
  <c r="C83" i="64"/>
  <c r="B83" i="64"/>
  <c r="A83" i="64"/>
  <c r="L82" i="64"/>
  <c r="K82" i="64"/>
  <c r="I82" i="64"/>
  <c r="H82" i="64"/>
  <c r="G82" i="64"/>
  <c r="F82" i="64"/>
  <c r="E82" i="64"/>
  <c r="D82" i="64"/>
  <c r="C82" i="64"/>
  <c r="B82" i="64"/>
  <c r="A82" i="64"/>
  <c r="L81" i="64"/>
  <c r="K81" i="64"/>
  <c r="I81" i="64"/>
  <c r="H81" i="64"/>
  <c r="G81" i="64"/>
  <c r="F81" i="64"/>
  <c r="E81" i="64"/>
  <c r="D81" i="64"/>
  <c r="C81" i="64"/>
  <c r="B81" i="64"/>
  <c r="A81" i="64"/>
  <c r="L80" i="64"/>
  <c r="K80" i="64"/>
  <c r="I80" i="64"/>
  <c r="H80" i="64"/>
  <c r="G80" i="64"/>
  <c r="F80" i="64"/>
  <c r="E80" i="64"/>
  <c r="D80" i="64"/>
  <c r="C80" i="64"/>
  <c r="B80" i="64"/>
  <c r="A80" i="64"/>
  <c r="L79" i="64"/>
  <c r="K79" i="64"/>
  <c r="I79" i="64"/>
  <c r="H79" i="64"/>
  <c r="G79" i="64"/>
  <c r="F79" i="64"/>
  <c r="E79" i="64"/>
  <c r="D79" i="64"/>
  <c r="C79" i="64"/>
  <c r="B79" i="64"/>
  <c r="A79" i="64"/>
  <c r="L78" i="64"/>
  <c r="K78" i="64"/>
  <c r="I78" i="64"/>
  <c r="H78" i="64"/>
  <c r="G78" i="64"/>
  <c r="F78" i="64"/>
  <c r="E78" i="64"/>
  <c r="D78" i="64"/>
  <c r="C78" i="64"/>
  <c r="B78" i="64"/>
  <c r="A78" i="64"/>
  <c r="L77" i="64"/>
  <c r="K77" i="64"/>
  <c r="I77" i="64"/>
  <c r="H77" i="64"/>
  <c r="G77" i="64"/>
  <c r="F77" i="64"/>
  <c r="E77" i="64"/>
  <c r="D77" i="64"/>
  <c r="C77" i="64"/>
  <c r="B77" i="64"/>
  <c r="A77" i="64"/>
  <c r="L76" i="64"/>
  <c r="K76" i="64"/>
  <c r="I76" i="64"/>
  <c r="H76" i="64"/>
  <c r="G76" i="64"/>
  <c r="F76" i="64"/>
  <c r="E76" i="64"/>
  <c r="D76" i="64"/>
  <c r="C76" i="64"/>
  <c r="B76" i="64"/>
  <c r="A76" i="64"/>
  <c r="L75" i="64"/>
  <c r="K75" i="64"/>
  <c r="I75" i="64"/>
  <c r="H75" i="64"/>
  <c r="G75" i="64"/>
  <c r="F75" i="64"/>
  <c r="E75" i="64"/>
  <c r="D75" i="64"/>
  <c r="C75" i="64"/>
  <c r="B75" i="64"/>
  <c r="A75" i="64"/>
  <c r="L74" i="64"/>
  <c r="K74" i="64"/>
  <c r="I74" i="64"/>
  <c r="H74" i="64"/>
  <c r="G74" i="64"/>
  <c r="F74" i="64"/>
  <c r="E74" i="64"/>
  <c r="D74" i="64"/>
  <c r="C74" i="64"/>
  <c r="B74" i="64"/>
  <c r="A74" i="64"/>
  <c r="L73" i="64"/>
  <c r="K73" i="64"/>
  <c r="I73" i="64"/>
  <c r="H73" i="64"/>
  <c r="G73" i="64"/>
  <c r="F73" i="64"/>
  <c r="E73" i="64"/>
  <c r="D73" i="64"/>
  <c r="C73" i="64"/>
  <c r="B73" i="64"/>
  <c r="A73" i="64"/>
  <c r="O73" i="64" s="1"/>
  <c r="L72" i="64"/>
  <c r="K72" i="64"/>
  <c r="I72" i="64"/>
  <c r="H72" i="64"/>
  <c r="G72" i="64"/>
  <c r="F72" i="64"/>
  <c r="E72" i="64"/>
  <c r="D72" i="64"/>
  <c r="C72" i="64"/>
  <c r="B72" i="64"/>
  <c r="A72" i="64"/>
  <c r="L71" i="64"/>
  <c r="K71" i="64"/>
  <c r="I71" i="64"/>
  <c r="H71" i="64"/>
  <c r="G71" i="64"/>
  <c r="F71" i="64"/>
  <c r="E71" i="64"/>
  <c r="D71" i="64"/>
  <c r="C71" i="64"/>
  <c r="B71" i="64"/>
  <c r="A71" i="64"/>
  <c r="L70" i="64"/>
  <c r="K70" i="64"/>
  <c r="I70" i="64"/>
  <c r="H70" i="64"/>
  <c r="G70" i="64"/>
  <c r="F70" i="64"/>
  <c r="E70" i="64"/>
  <c r="D70" i="64"/>
  <c r="C70" i="64"/>
  <c r="B70" i="64"/>
  <c r="A70" i="64"/>
  <c r="L69" i="64"/>
  <c r="K69" i="64"/>
  <c r="I69" i="64"/>
  <c r="H69" i="64"/>
  <c r="G69" i="64"/>
  <c r="F69" i="64"/>
  <c r="E69" i="64"/>
  <c r="D69" i="64"/>
  <c r="C69" i="64"/>
  <c r="B69" i="64"/>
  <c r="A69" i="64"/>
  <c r="L68" i="64"/>
  <c r="K68" i="64"/>
  <c r="I68" i="64"/>
  <c r="H68" i="64"/>
  <c r="G68" i="64"/>
  <c r="F68" i="64"/>
  <c r="E68" i="64"/>
  <c r="D68" i="64"/>
  <c r="C68" i="64"/>
  <c r="B68" i="64"/>
  <c r="A68" i="64"/>
  <c r="L67" i="64"/>
  <c r="K67" i="64"/>
  <c r="J91" i="64"/>
  <c r="I67" i="64"/>
  <c r="H67" i="64"/>
  <c r="G67" i="64"/>
  <c r="F67" i="64"/>
  <c r="E67" i="64"/>
  <c r="D67" i="64"/>
  <c r="C67" i="64"/>
  <c r="B67" i="64"/>
  <c r="A67" i="64"/>
  <c r="X64" i="64"/>
  <c r="L63" i="64"/>
  <c r="K63" i="64"/>
  <c r="I63" i="64"/>
  <c r="H63" i="64"/>
  <c r="G63" i="64"/>
  <c r="F63" i="64"/>
  <c r="E63" i="64"/>
  <c r="D63" i="64"/>
  <c r="C63" i="64"/>
  <c r="B63" i="64"/>
  <c r="A63" i="64"/>
  <c r="L62" i="64"/>
  <c r="K62" i="64"/>
  <c r="I62" i="64"/>
  <c r="H62" i="64"/>
  <c r="G62" i="64"/>
  <c r="F62" i="64"/>
  <c r="E62" i="64"/>
  <c r="D62" i="64"/>
  <c r="C62" i="64"/>
  <c r="B62" i="64"/>
  <c r="A62" i="64"/>
  <c r="L61" i="64"/>
  <c r="K61" i="64"/>
  <c r="I61" i="64"/>
  <c r="H61" i="64"/>
  <c r="G61" i="64"/>
  <c r="F61" i="64"/>
  <c r="E61" i="64"/>
  <c r="D61" i="64"/>
  <c r="C61" i="64"/>
  <c r="B61" i="64"/>
  <c r="A61" i="64"/>
  <c r="L60" i="64"/>
  <c r="K60" i="64"/>
  <c r="I60" i="64"/>
  <c r="H60" i="64"/>
  <c r="G60" i="64"/>
  <c r="F60" i="64"/>
  <c r="E60" i="64"/>
  <c r="D60" i="64"/>
  <c r="C60" i="64"/>
  <c r="B60" i="64"/>
  <c r="A60" i="64"/>
  <c r="L59" i="64"/>
  <c r="K59" i="64"/>
  <c r="I59" i="64"/>
  <c r="H59" i="64"/>
  <c r="G59" i="64"/>
  <c r="F59" i="64"/>
  <c r="E59" i="64"/>
  <c r="D59" i="64"/>
  <c r="C59" i="64"/>
  <c r="B59" i="64"/>
  <c r="A59" i="64"/>
  <c r="L58" i="64"/>
  <c r="K58" i="64"/>
  <c r="I58" i="64"/>
  <c r="H58" i="64"/>
  <c r="G58" i="64"/>
  <c r="F58" i="64"/>
  <c r="E58" i="64"/>
  <c r="D58" i="64"/>
  <c r="C58" i="64"/>
  <c r="B58" i="64"/>
  <c r="A58" i="64"/>
  <c r="L57" i="64"/>
  <c r="K57" i="64"/>
  <c r="I57" i="64"/>
  <c r="H57" i="64"/>
  <c r="G57" i="64"/>
  <c r="F57" i="64"/>
  <c r="E57" i="64"/>
  <c r="D57" i="64"/>
  <c r="C57" i="64"/>
  <c r="B57" i="64"/>
  <c r="A57" i="64"/>
  <c r="L56" i="64"/>
  <c r="K56" i="64"/>
  <c r="I56" i="64"/>
  <c r="H56" i="64"/>
  <c r="G56" i="64"/>
  <c r="F56" i="64"/>
  <c r="E56" i="64"/>
  <c r="D56" i="64"/>
  <c r="C56" i="64"/>
  <c r="B56" i="64"/>
  <c r="A56" i="64"/>
  <c r="L55" i="64"/>
  <c r="K55" i="64"/>
  <c r="I55" i="64"/>
  <c r="H55" i="64"/>
  <c r="G55" i="64"/>
  <c r="F55" i="64"/>
  <c r="E55" i="64"/>
  <c r="D55" i="64"/>
  <c r="C55" i="64"/>
  <c r="B55" i="64"/>
  <c r="A55" i="64"/>
  <c r="L54" i="64"/>
  <c r="K54" i="64"/>
  <c r="I54" i="64"/>
  <c r="H54" i="64"/>
  <c r="G54" i="64"/>
  <c r="F54" i="64"/>
  <c r="E54" i="64"/>
  <c r="D54" i="64"/>
  <c r="C54" i="64"/>
  <c r="B54" i="64"/>
  <c r="A54" i="64"/>
  <c r="L53" i="64"/>
  <c r="K53" i="64"/>
  <c r="I53" i="64"/>
  <c r="H53" i="64"/>
  <c r="G53" i="64"/>
  <c r="F53" i="64"/>
  <c r="E53" i="64"/>
  <c r="D53" i="64"/>
  <c r="C53" i="64"/>
  <c r="B53" i="64"/>
  <c r="A53" i="64"/>
  <c r="L52" i="64"/>
  <c r="K52" i="64"/>
  <c r="I52" i="64"/>
  <c r="H52" i="64"/>
  <c r="G52" i="64"/>
  <c r="F52" i="64"/>
  <c r="E52" i="64"/>
  <c r="D52" i="64"/>
  <c r="C52" i="64"/>
  <c r="B52" i="64"/>
  <c r="A52" i="64"/>
  <c r="L51" i="64"/>
  <c r="K51" i="64"/>
  <c r="I51" i="64"/>
  <c r="H51" i="64"/>
  <c r="G51" i="64"/>
  <c r="F51" i="64"/>
  <c r="E51" i="64"/>
  <c r="D51" i="64"/>
  <c r="C51" i="64"/>
  <c r="B51" i="64"/>
  <c r="A51" i="64"/>
  <c r="L50" i="64"/>
  <c r="K50" i="64"/>
  <c r="I50" i="64"/>
  <c r="H50" i="64"/>
  <c r="G50" i="64"/>
  <c r="F50" i="64"/>
  <c r="E50" i="64"/>
  <c r="D50" i="64"/>
  <c r="C50" i="64"/>
  <c r="B50" i="64"/>
  <c r="A50" i="64"/>
  <c r="X49" i="64"/>
  <c r="L48" i="64"/>
  <c r="K48" i="64"/>
  <c r="I48" i="64"/>
  <c r="H48" i="64"/>
  <c r="G48" i="64"/>
  <c r="F48" i="64"/>
  <c r="E48" i="64"/>
  <c r="D48" i="64"/>
  <c r="C48" i="64"/>
  <c r="B48" i="64"/>
  <c r="A48" i="64"/>
  <c r="W46" i="64"/>
  <c r="L44" i="64"/>
  <c r="K44" i="64"/>
  <c r="I44" i="64"/>
  <c r="H44" i="64"/>
  <c r="G44" i="64"/>
  <c r="F44" i="64"/>
  <c r="E44" i="64"/>
  <c r="D44" i="64"/>
  <c r="C44" i="64"/>
  <c r="B44" i="64"/>
  <c r="A44" i="64"/>
  <c r="L43" i="64"/>
  <c r="K43" i="64"/>
  <c r="I43" i="64"/>
  <c r="H43" i="64"/>
  <c r="G43" i="64"/>
  <c r="F43" i="64"/>
  <c r="E43" i="64"/>
  <c r="D43" i="64"/>
  <c r="C43" i="64"/>
  <c r="B43" i="64"/>
  <c r="A43" i="64"/>
  <c r="L42" i="64"/>
  <c r="K42" i="64"/>
  <c r="I42" i="64"/>
  <c r="H42" i="64"/>
  <c r="G42" i="64"/>
  <c r="F42" i="64"/>
  <c r="E42" i="64"/>
  <c r="D42" i="64"/>
  <c r="C42" i="64"/>
  <c r="B42" i="64"/>
  <c r="A42" i="64"/>
  <c r="L41" i="64"/>
  <c r="K41" i="64"/>
  <c r="I41" i="64"/>
  <c r="H41" i="64"/>
  <c r="G41" i="64"/>
  <c r="F41" i="64"/>
  <c r="E41" i="64"/>
  <c r="D41" i="64"/>
  <c r="C41" i="64"/>
  <c r="B41" i="64"/>
  <c r="A41" i="64"/>
  <c r="L40" i="64"/>
  <c r="K40" i="64"/>
  <c r="I40" i="64"/>
  <c r="H40" i="64"/>
  <c r="G40" i="64"/>
  <c r="F40" i="64"/>
  <c r="E40" i="64"/>
  <c r="D40" i="64"/>
  <c r="C40" i="64"/>
  <c r="B40" i="64"/>
  <c r="A40" i="64"/>
  <c r="L39" i="64"/>
  <c r="K39" i="64"/>
  <c r="I39" i="64"/>
  <c r="H39" i="64"/>
  <c r="G39" i="64"/>
  <c r="F39" i="64"/>
  <c r="E39" i="64"/>
  <c r="D39" i="64"/>
  <c r="C39" i="64"/>
  <c r="B39" i="64"/>
  <c r="A39" i="64"/>
  <c r="L38" i="64"/>
  <c r="K38" i="64"/>
  <c r="I38" i="64"/>
  <c r="H38" i="64"/>
  <c r="G38" i="64"/>
  <c r="F38" i="64"/>
  <c r="E38" i="64"/>
  <c r="D38" i="64"/>
  <c r="C38" i="64"/>
  <c r="B38" i="64"/>
  <c r="A38" i="64"/>
  <c r="L37" i="64"/>
  <c r="K37" i="64"/>
  <c r="I37" i="64"/>
  <c r="H37" i="64"/>
  <c r="G37" i="64"/>
  <c r="F37" i="64"/>
  <c r="E37" i="64"/>
  <c r="D37" i="64"/>
  <c r="C37" i="64"/>
  <c r="B37" i="64"/>
  <c r="A37" i="64"/>
  <c r="L36" i="64"/>
  <c r="K36" i="64"/>
  <c r="I36" i="64"/>
  <c r="H36" i="64"/>
  <c r="G36" i="64"/>
  <c r="F36" i="64"/>
  <c r="E36" i="64"/>
  <c r="D36" i="64"/>
  <c r="C36" i="64"/>
  <c r="B36" i="64"/>
  <c r="A36" i="64"/>
  <c r="L35" i="64"/>
  <c r="K35" i="64"/>
  <c r="I35" i="64"/>
  <c r="H35" i="64"/>
  <c r="G35" i="64"/>
  <c r="F35" i="64"/>
  <c r="E35" i="64"/>
  <c r="D35" i="64"/>
  <c r="C35" i="64"/>
  <c r="B35" i="64"/>
  <c r="A35" i="64"/>
  <c r="L34" i="64"/>
  <c r="K34" i="64"/>
  <c r="I34" i="64"/>
  <c r="H34" i="64"/>
  <c r="G34" i="64"/>
  <c r="F34" i="64"/>
  <c r="E34" i="64"/>
  <c r="D34" i="64"/>
  <c r="C34" i="64"/>
  <c r="B34" i="64"/>
  <c r="A34" i="64"/>
  <c r="L33" i="64"/>
  <c r="K33" i="64"/>
  <c r="I33" i="64"/>
  <c r="H33" i="64"/>
  <c r="G33" i="64"/>
  <c r="F33" i="64"/>
  <c r="E33" i="64"/>
  <c r="D33" i="64"/>
  <c r="C33" i="64"/>
  <c r="B33" i="64"/>
  <c r="A33" i="64"/>
  <c r="L32" i="64"/>
  <c r="K32" i="64"/>
  <c r="I32" i="64"/>
  <c r="H32" i="64"/>
  <c r="G32" i="64"/>
  <c r="F32" i="64"/>
  <c r="E32" i="64"/>
  <c r="D32" i="64"/>
  <c r="C32" i="64"/>
  <c r="B32" i="64"/>
  <c r="A32" i="64"/>
  <c r="L31" i="64"/>
  <c r="K31" i="64"/>
  <c r="I31" i="64"/>
  <c r="H31" i="64"/>
  <c r="G31" i="64"/>
  <c r="F31" i="64"/>
  <c r="E31" i="64"/>
  <c r="D31" i="64"/>
  <c r="C31" i="64"/>
  <c r="B31" i="64"/>
  <c r="A31" i="64"/>
  <c r="L30" i="64"/>
  <c r="K30" i="64"/>
  <c r="J46" i="64"/>
  <c r="I30" i="64"/>
  <c r="H30" i="64"/>
  <c r="G30" i="64"/>
  <c r="F30" i="64"/>
  <c r="E30" i="64"/>
  <c r="D30" i="64"/>
  <c r="C30" i="64"/>
  <c r="B30" i="64"/>
  <c r="A30" i="64"/>
  <c r="X29" i="64"/>
  <c r="W28" i="64"/>
  <c r="L26" i="64"/>
  <c r="K26" i="64"/>
  <c r="I26" i="64"/>
  <c r="H26" i="64"/>
  <c r="G26" i="64"/>
  <c r="F26" i="64"/>
  <c r="E26" i="64"/>
  <c r="D26" i="64"/>
  <c r="C26" i="64"/>
  <c r="B26" i="64"/>
  <c r="A26" i="64"/>
  <c r="L25" i="64"/>
  <c r="K25" i="64"/>
  <c r="I25" i="64"/>
  <c r="H25" i="64"/>
  <c r="G25" i="64"/>
  <c r="F25" i="64"/>
  <c r="E25" i="64"/>
  <c r="D25" i="64"/>
  <c r="C25" i="64"/>
  <c r="B25" i="64"/>
  <c r="A25" i="64"/>
  <c r="L24" i="64"/>
  <c r="K24" i="64"/>
  <c r="I24" i="64"/>
  <c r="H24" i="64"/>
  <c r="G24" i="64"/>
  <c r="F24" i="64"/>
  <c r="E24" i="64"/>
  <c r="D24" i="64"/>
  <c r="C24" i="64"/>
  <c r="B24" i="64"/>
  <c r="A24" i="64"/>
  <c r="L23" i="64"/>
  <c r="K23" i="64"/>
  <c r="I23" i="64"/>
  <c r="H23" i="64"/>
  <c r="G23" i="64"/>
  <c r="F23" i="64"/>
  <c r="E23" i="64"/>
  <c r="D23" i="64"/>
  <c r="C23" i="64"/>
  <c r="B23" i="64"/>
  <c r="A23" i="64"/>
  <c r="O23" i="64" s="1"/>
  <c r="L22" i="64"/>
  <c r="K22" i="64"/>
  <c r="I22" i="64"/>
  <c r="H22" i="64"/>
  <c r="G22" i="64"/>
  <c r="F22" i="64"/>
  <c r="E22" i="64"/>
  <c r="D22" i="64"/>
  <c r="C22" i="64"/>
  <c r="B22" i="64"/>
  <c r="A22" i="64"/>
  <c r="L21" i="64"/>
  <c r="K21" i="64"/>
  <c r="I21" i="64"/>
  <c r="H21" i="64"/>
  <c r="G21" i="64"/>
  <c r="F21" i="64"/>
  <c r="E21" i="64"/>
  <c r="D21" i="64"/>
  <c r="C21" i="64"/>
  <c r="B21" i="64"/>
  <c r="A21" i="64"/>
  <c r="L20" i="64"/>
  <c r="K20" i="64"/>
  <c r="H20" i="64"/>
  <c r="G20" i="64"/>
  <c r="F20" i="64"/>
  <c r="E20" i="64"/>
  <c r="D20" i="64"/>
  <c r="C20" i="64"/>
  <c r="B20" i="64"/>
  <c r="A20" i="64"/>
  <c r="O20" i="64" s="1"/>
  <c r="W18" i="64"/>
  <c r="L16" i="64"/>
  <c r="K16" i="64"/>
  <c r="G16" i="64"/>
  <c r="F16" i="64"/>
  <c r="E16" i="64"/>
  <c r="D16" i="64"/>
  <c r="C16" i="64"/>
  <c r="B16" i="64"/>
  <c r="A16" i="64"/>
  <c r="L15" i="64"/>
  <c r="K15" i="64"/>
  <c r="G15" i="64"/>
  <c r="F15" i="64"/>
  <c r="E15" i="64"/>
  <c r="D15" i="64"/>
  <c r="C15" i="64"/>
  <c r="B15" i="64"/>
  <c r="A15" i="64"/>
  <c r="L14" i="64"/>
  <c r="K14" i="64"/>
  <c r="G14" i="64"/>
  <c r="F14" i="64"/>
  <c r="E14" i="64"/>
  <c r="D14" i="64"/>
  <c r="C14" i="64"/>
  <c r="B14" i="64"/>
  <c r="A14" i="64"/>
  <c r="L13" i="64"/>
  <c r="K13" i="64"/>
  <c r="G13" i="64"/>
  <c r="F13" i="64"/>
  <c r="E13" i="64"/>
  <c r="D13" i="64"/>
  <c r="C13" i="64"/>
  <c r="B13" i="64"/>
  <c r="A13" i="64"/>
  <c r="L12" i="64"/>
  <c r="K12" i="64"/>
  <c r="G12" i="64"/>
  <c r="F12" i="64"/>
  <c r="E12" i="64"/>
  <c r="D12" i="64"/>
  <c r="C12" i="64"/>
  <c r="B12" i="64"/>
  <c r="A12" i="64"/>
  <c r="X11" i="64"/>
  <c r="X10" i="64"/>
  <c r="L9" i="64"/>
  <c r="K9" i="64"/>
  <c r="G9" i="64"/>
  <c r="F9" i="64"/>
  <c r="E9" i="64"/>
  <c r="D9" i="64"/>
  <c r="A9" i="64"/>
  <c r="O9" i="64" s="1"/>
  <c r="L8" i="64"/>
  <c r="K8" i="64"/>
  <c r="H18" i="64"/>
  <c r="G8" i="64"/>
  <c r="F8" i="64"/>
  <c r="E8" i="64"/>
  <c r="D8" i="64"/>
  <c r="A8" i="64"/>
  <c r="X7" i="64"/>
  <c r="O124" i="64" l="1"/>
  <c r="O12" i="64"/>
  <c r="O21" i="64"/>
  <c r="E46" i="64"/>
  <c r="E30" i="77"/>
  <c r="E30" i="79"/>
  <c r="E30" i="78"/>
  <c r="O31" i="64"/>
  <c r="A31" i="78"/>
  <c r="A31" i="77"/>
  <c r="A31" i="79"/>
  <c r="I31" i="77"/>
  <c r="I31" i="79"/>
  <c r="I31" i="78"/>
  <c r="F32" i="79"/>
  <c r="F32" i="78"/>
  <c r="F32" i="77"/>
  <c r="C33" i="77"/>
  <c r="C33" i="79"/>
  <c r="C33" i="78"/>
  <c r="L33" i="77"/>
  <c r="L33" i="79"/>
  <c r="L33" i="78"/>
  <c r="H34" i="78"/>
  <c r="H34" i="77"/>
  <c r="H34" i="79"/>
  <c r="E35" i="79"/>
  <c r="E35" i="78"/>
  <c r="E35" i="77"/>
  <c r="B36" i="77"/>
  <c r="B36" i="79"/>
  <c r="B36" i="78"/>
  <c r="K36" i="79"/>
  <c r="K36" i="78"/>
  <c r="K36" i="77"/>
  <c r="G37" i="79"/>
  <c r="G37" i="78"/>
  <c r="G37" i="77"/>
  <c r="D38" i="77"/>
  <c r="D38" i="79"/>
  <c r="D38" i="78"/>
  <c r="O39" i="64"/>
  <c r="A39" i="77"/>
  <c r="A39" i="78"/>
  <c r="A39" i="79"/>
  <c r="I39" i="78"/>
  <c r="I39" i="77"/>
  <c r="I39" i="79"/>
  <c r="F40" i="77"/>
  <c r="F40" i="79"/>
  <c r="F40" i="78"/>
  <c r="C41" i="77"/>
  <c r="C41" i="78"/>
  <c r="C41" i="79"/>
  <c r="L41" i="79"/>
  <c r="L41" i="78"/>
  <c r="L41" i="77"/>
  <c r="H42" i="77"/>
  <c r="H42" i="78"/>
  <c r="H42" i="79"/>
  <c r="E43" i="79"/>
  <c r="E43" i="78"/>
  <c r="E43" i="77"/>
  <c r="B44" i="77"/>
  <c r="B44" i="79"/>
  <c r="B44" i="78"/>
  <c r="K44" i="77"/>
  <c r="K44" i="79"/>
  <c r="K44" i="78"/>
  <c r="F48" i="79"/>
  <c r="F48" i="78"/>
  <c r="F48" i="77"/>
  <c r="B50" i="79"/>
  <c r="B50" i="78"/>
  <c r="B50" i="77"/>
  <c r="K50" i="78"/>
  <c r="K50" i="79"/>
  <c r="K50" i="77"/>
  <c r="D52" i="79"/>
  <c r="D52" i="78"/>
  <c r="O53" i="64"/>
  <c r="A53" i="79"/>
  <c r="A53" i="78"/>
  <c r="A53" i="77"/>
  <c r="I53" i="79"/>
  <c r="I53" i="78"/>
  <c r="I53" i="77"/>
  <c r="C55" i="78"/>
  <c r="C55" i="79"/>
  <c r="C55" i="77"/>
  <c r="L55" i="78"/>
  <c r="L55" i="79"/>
  <c r="L55" i="77"/>
  <c r="B58" i="78"/>
  <c r="B58" i="79"/>
  <c r="B58" i="77"/>
  <c r="K58" i="78"/>
  <c r="K58" i="79"/>
  <c r="K58" i="77"/>
  <c r="O61" i="64"/>
  <c r="A61" i="79"/>
  <c r="A61" i="78"/>
  <c r="I61" i="79"/>
  <c r="I61" i="78"/>
  <c r="C63" i="79"/>
  <c r="C63" i="78"/>
  <c r="L63" i="79"/>
  <c r="L63" i="78"/>
  <c r="O71" i="64"/>
  <c r="H74" i="79"/>
  <c r="H74" i="78"/>
  <c r="H74" i="77"/>
  <c r="O79" i="64"/>
  <c r="C81" i="78"/>
  <c r="C81" i="79"/>
  <c r="C81" i="77"/>
  <c r="L81" i="79"/>
  <c r="L81" i="78"/>
  <c r="L81" i="77"/>
  <c r="H82" i="78"/>
  <c r="H82" i="77"/>
  <c r="H82" i="79"/>
  <c r="O87" i="64"/>
  <c r="F102" i="64"/>
  <c r="O100" i="64"/>
  <c r="P100" i="64" s="1"/>
  <c r="P105" i="64"/>
  <c r="V105" i="64" s="1"/>
  <c r="O105" i="64"/>
  <c r="I108" i="64"/>
  <c r="A127" i="64"/>
  <c r="O114" i="64"/>
  <c r="O119" i="64"/>
  <c r="C30" i="79"/>
  <c r="C30" i="77"/>
  <c r="C30" i="78"/>
  <c r="C46" i="78" s="1"/>
  <c r="C35" i="77"/>
  <c r="C35" i="78"/>
  <c r="C35" i="79"/>
  <c r="G39" i="77"/>
  <c r="G39" i="79"/>
  <c r="G39" i="78"/>
  <c r="L43" i="77"/>
  <c r="L43" i="79"/>
  <c r="L43" i="78"/>
  <c r="B52" i="79"/>
  <c r="B52" i="78"/>
  <c r="I55" i="78"/>
  <c r="I55" i="79"/>
  <c r="I55" i="77"/>
  <c r="I63" i="79"/>
  <c r="I63" i="78"/>
  <c r="O26" i="64"/>
  <c r="K33" i="79"/>
  <c r="K33" i="78"/>
  <c r="K33" i="77"/>
  <c r="L38" i="77"/>
  <c r="L38" i="78"/>
  <c r="L38" i="79"/>
  <c r="O44" i="64"/>
  <c r="A44" i="79"/>
  <c r="A44" i="78"/>
  <c r="A44" i="77"/>
  <c r="O58" i="64"/>
  <c r="A58" i="79"/>
  <c r="A58" i="78"/>
  <c r="A58" i="77"/>
  <c r="O68" i="64"/>
  <c r="P68" i="64" s="1"/>
  <c r="H79" i="79"/>
  <c r="H79" i="78"/>
  <c r="H79" i="77"/>
  <c r="B81" i="79"/>
  <c r="B81" i="78"/>
  <c r="B81" i="77"/>
  <c r="K81" i="79"/>
  <c r="K81" i="78"/>
  <c r="K81" i="77"/>
  <c r="H87" i="77"/>
  <c r="H87" i="79"/>
  <c r="H87" i="78"/>
  <c r="O97" i="64"/>
  <c r="O116" i="64"/>
  <c r="O13" i="64"/>
  <c r="P13" i="64" s="1"/>
  <c r="O24" i="64"/>
  <c r="O28" i="64" s="1"/>
  <c r="F30" i="79"/>
  <c r="F30" i="77"/>
  <c r="F30" i="78"/>
  <c r="B31" i="79"/>
  <c r="B31" i="77"/>
  <c r="B31" i="78"/>
  <c r="K31" i="79"/>
  <c r="K31" i="78"/>
  <c r="K31" i="77"/>
  <c r="G32" i="78"/>
  <c r="G32" i="77"/>
  <c r="G32" i="79"/>
  <c r="D33" i="78"/>
  <c r="D33" i="77"/>
  <c r="D33" i="79"/>
  <c r="O34" i="64"/>
  <c r="P34" i="64" s="1"/>
  <c r="A34" i="77"/>
  <c r="A34" i="79"/>
  <c r="A34" i="78"/>
  <c r="I34" i="77"/>
  <c r="I34" i="79"/>
  <c r="I34" i="78"/>
  <c r="F35" i="77"/>
  <c r="F35" i="79"/>
  <c r="F35" i="78"/>
  <c r="C36" i="77"/>
  <c r="C36" i="79"/>
  <c r="C36" i="78"/>
  <c r="L36" i="77"/>
  <c r="L36" i="79"/>
  <c r="L36" i="78"/>
  <c r="H37" i="79"/>
  <c r="H37" i="78"/>
  <c r="H37" i="77"/>
  <c r="E38" i="79"/>
  <c r="E38" i="78"/>
  <c r="E38" i="77"/>
  <c r="B39" i="77"/>
  <c r="B39" i="79"/>
  <c r="B39" i="78"/>
  <c r="K39" i="77"/>
  <c r="K39" i="79"/>
  <c r="K39" i="78"/>
  <c r="G40" i="78"/>
  <c r="G40" i="77"/>
  <c r="G40" i="79"/>
  <c r="D41" i="79"/>
  <c r="D41" i="78"/>
  <c r="D41" i="77"/>
  <c r="O42" i="64"/>
  <c r="A42" i="78"/>
  <c r="A42" i="77"/>
  <c r="A42" i="79"/>
  <c r="I42" i="77"/>
  <c r="I42" i="79"/>
  <c r="I42" i="78"/>
  <c r="F43" i="78"/>
  <c r="F43" i="77"/>
  <c r="F43" i="79"/>
  <c r="C44" i="78"/>
  <c r="C44" i="77"/>
  <c r="C44" i="79"/>
  <c r="L44" i="78"/>
  <c r="L44" i="77"/>
  <c r="L44" i="79"/>
  <c r="G48" i="79"/>
  <c r="G48" i="78"/>
  <c r="G48" i="77"/>
  <c r="C50" i="78"/>
  <c r="C50" i="79"/>
  <c r="C50" i="77"/>
  <c r="L50" i="79"/>
  <c r="L50" i="78"/>
  <c r="L50" i="77"/>
  <c r="E52" i="79"/>
  <c r="E52" i="78"/>
  <c r="B53" i="79"/>
  <c r="B53" i="78"/>
  <c r="B53" i="77"/>
  <c r="K53" i="78"/>
  <c r="K53" i="79"/>
  <c r="K53" i="77"/>
  <c r="D55" i="78"/>
  <c r="D55" i="79"/>
  <c r="D55" i="77"/>
  <c r="O56" i="64"/>
  <c r="C58" i="79"/>
  <c r="C58" i="78"/>
  <c r="C58" i="77"/>
  <c r="L58" i="78"/>
  <c r="L58" i="79"/>
  <c r="L58" i="77"/>
  <c r="B61" i="79"/>
  <c r="B61" i="78"/>
  <c r="K61" i="79"/>
  <c r="K61" i="78"/>
  <c r="D63" i="79"/>
  <c r="D63" i="78"/>
  <c r="H69" i="77"/>
  <c r="H69" i="78"/>
  <c r="H69" i="79"/>
  <c r="O74" i="64"/>
  <c r="H77" i="77"/>
  <c r="H77" i="79"/>
  <c r="H77" i="78"/>
  <c r="D81" i="77"/>
  <c r="D81" i="78"/>
  <c r="D81" i="79"/>
  <c r="O82" i="64"/>
  <c r="H85" i="78"/>
  <c r="H85" i="77"/>
  <c r="H85" i="79"/>
  <c r="O95" i="64"/>
  <c r="O122" i="64"/>
  <c r="G31" i="79"/>
  <c r="G31" i="78"/>
  <c r="G31" i="77"/>
  <c r="F34" i="77"/>
  <c r="F34" i="79"/>
  <c r="F34" i="78"/>
  <c r="E37" i="79"/>
  <c r="E37" i="78"/>
  <c r="E37" i="77"/>
  <c r="D40" i="78"/>
  <c r="D40" i="79"/>
  <c r="D40" i="77"/>
  <c r="F42" i="77"/>
  <c r="F42" i="79"/>
  <c r="F42" i="78"/>
  <c r="D48" i="79"/>
  <c r="D48" i="78"/>
  <c r="D48" i="77"/>
  <c r="G53" i="79"/>
  <c r="G53" i="78"/>
  <c r="G53" i="77"/>
  <c r="O63" i="64"/>
  <c r="P63" i="64" s="1"/>
  <c r="A63" i="78"/>
  <c r="A63" i="79"/>
  <c r="I81" i="78"/>
  <c r="I81" i="79"/>
  <c r="I81" i="77"/>
  <c r="O94" i="64"/>
  <c r="L30" i="78"/>
  <c r="L30" i="77"/>
  <c r="L30" i="79"/>
  <c r="D35" i="79"/>
  <c r="D35" i="78"/>
  <c r="D35" i="77"/>
  <c r="C38" i="79"/>
  <c r="C38" i="77"/>
  <c r="C38" i="78"/>
  <c r="H39" i="79"/>
  <c r="H39" i="78"/>
  <c r="H39" i="77"/>
  <c r="G42" i="78"/>
  <c r="G42" i="77"/>
  <c r="G42" i="79"/>
  <c r="E48" i="77"/>
  <c r="E48" i="79"/>
  <c r="E48" i="78"/>
  <c r="L52" i="78"/>
  <c r="L52" i="79"/>
  <c r="B55" i="78"/>
  <c r="B55" i="79"/>
  <c r="B55" i="77"/>
  <c r="H61" i="79"/>
  <c r="H61" i="78"/>
  <c r="B63" i="78"/>
  <c r="B63" i="79"/>
  <c r="O14" i="64"/>
  <c r="C31" i="79"/>
  <c r="C31" i="78"/>
  <c r="C31" i="77"/>
  <c r="E33" i="79"/>
  <c r="E33" i="78"/>
  <c r="E33" i="77"/>
  <c r="G35" i="79"/>
  <c r="G35" i="77"/>
  <c r="G35" i="78"/>
  <c r="I37" i="79"/>
  <c r="I37" i="78"/>
  <c r="I37" i="77"/>
  <c r="C39" i="79"/>
  <c r="C39" i="77"/>
  <c r="C39" i="78"/>
  <c r="E41" i="77"/>
  <c r="E41" i="79"/>
  <c r="E41" i="78"/>
  <c r="K42" i="77"/>
  <c r="K42" i="79"/>
  <c r="K42" i="78"/>
  <c r="H48" i="77"/>
  <c r="H48" i="79"/>
  <c r="H48" i="78"/>
  <c r="P51" i="64"/>
  <c r="O51" i="64"/>
  <c r="F52" i="79"/>
  <c r="F52" i="78"/>
  <c r="C53" i="78"/>
  <c r="C53" i="79"/>
  <c r="C53" i="77"/>
  <c r="L53" i="79"/>
  <c r="L53" i="78"/>
  <c r="L53" i="77"/>
  <c r="D58" i="79"/>
  <c r="D58" i="78"/>
  <c r="D58" i="77"/>
  <c r="P59" i="64"/>
  <c r="V59" i="64" s="1"/>
  <c r="O59" i="64"/>
  <c r="C61" i="78"/>
  <c r="C61" i="79"/>
  <c r="L61" i="78"/>
  <c r="L61" i="79"/>
  <c r="E63" i="78"/>
  <c r="E63" i="79"/>
  <c r="H67" i="77"/>
  <c r="H67" i="79"/>
  <c r="H67" i="78"/>
  <c r="O69" i="64"/>
  <c r="H72" i="79"/>
  <c r="H72" i="78"/>
  <c r="H72" i="77"/>
  <c r="O77" i="64"/>
  <c r="P77" i="64" s="1"/>
  <c r="H80" i="77"/>
  <c r="H80" i="79"/>
  <c r="H80" i="78"/>
  <c r="E81" i="77"/>
  <c r="E81" i="78"/>
  <c r="E81" i="79"/>
  <c r="O85" i="64"/>
  <c r="H88" i="79"/>
  <c r="H88" i="78"/>
  <c r="H88" i="77"/>
  <c r="O98" i="64"/>
  <c r="O117" i="64"/>
  <c r="O125" i="64"/>
  <c r="D32" i="77"/>
  <c r="D32" i="79"/>
  <c r="D32" i="78"/>
  <c r="L35" i="77"/>
  <c r="L35" i="79"/>
  <c r="L35" i="78"/>
  <c r="O41" i="64"/>
  <c r="A41" i="79"/>
  <c r="A41" i="78"/>
  <c r="A41" i="77"/>
  <c r="G61" i="79"/>
  <c r="G61" i="78"/>
  <c r="H68" i="77"/>
  <c r="H68" i="79"/>
  <c r="H68" i="78"/>
  <c r="H76" i="77"/>
  <c r="H76" i="79"/>
  <c r="H76" i="78"/>
  <c r="H84" i="77"/>
  <c r="H84" i="78"/>
  <c r="H84" i="79"/>
  <c r="E32" i="77"/>
  <c r="E32" i="78"/>
  <c r="E32" i="79"/>
  <c r="G34" i="77"/>
  <c r="G34" i="78"/>
  <c r="G34" i="79"/>
  <c r="F37" i="78"/>
  <c r="F37" i="79"/>
  <c r="F37" i="77"/>
  <c r="B41" i="77"/>
  <c r="B41" i="78"/>
  <c r="B41" i="79"/>
  <c r="I44" i="77"/>
  <c r="I44" i="79"/>
  <c r="I44" i="78"/>
  <c r="C52" i="78"/>
  <c r="C52" i="79"/>
  <c r="H53" i="79"/>
  <c r="H53" i="78"/>
  <c r="H53" i="77"/>
  <c r="K55" i="79"/>
  <c r="K55" i="78"/>
  <c r="K55" i="77"/>
  <c r="I58" i="78"/>
  <c r="I58" i="79"/>
  <c r="I58" i="77"/>
  <c r="K63" i="79"/>
  <c r="K63" i="78"/>
  <c r="H71" i="79"/>
  <c r="H71" i="78"/>
  <c r="H71" i="77"/>
  <c r="O84" i="64"/>
  <c r="L31" i="77"/>
  <c r="L31" i="78"/>
  <c r="L31" i="79"/>
  <c r="B34" i="77"/>
  <c r="B34" i="78"/>
  <c r="B34" i="79"/>
  <c r="D36" i="77"/>
  <c r="D36" i="79"/>
  <c r="D36" i="78"/>
  <c r="F38" i="77"/>
  <c r="F38" i="78"/>
  <c r="F38" i="79"/>
  <c r="H40" i="79"/>
  <c r="H40" i="78"/>
  <c r="H40" i="77"/>
  <c r="D44" i="79"/>
  <c r="D44" i="78"/>
  <c r="D44" i="77"/>
  <c r="O15" i="64"/>
  <c r="O22" i="64"/>
  <c r="H46" i="64"/>
  <c r="H30" i="77"/>
  <c r="H30" i="79"/>
  <c r="H46" i="79" s="1"/>
  <c r="H30" i="78"/>
  <c r="D31" i="79"/>
  <c r="D31" i="78"/>
  <c r="D31" i="77"/>
  <c r="O32" i="64"/>
  <c r="P32" i="64" s="1"/>
  <c r="A32" i="77"/>
  <c r="A32" i="79"/>
  <c r="O32" i="79" s="1"/>
  <c r="P32" i="79" s="1"/>
  <c r="A32" i="78"/>
  <c r="I32" i="79"/>
  <c r="I32" i="78"/>
  <c r="I32" i="77"/>
  <c r="F33" i="78"/>
  <c r="F33" i="79"/>
  <c r="F33" i="77"/>
  <c r="C34" i="77"/>
  <c r="C34" i="79"/>
  <c r="C34" i="78"/>
  <c r="L34" i="77"/>
  <c r="L34" i="79"/>
  <c r="L34" i="78"/>
  <c r="H35" i="79"/>
  <c r="H35" i="78"/>
  <c r="H35" i="77"/>
  <c r="E36" i="79"/>
  <c r="E36" i="78"/>
  <c r="E36" i="77"/>
  <c r="B37" i="79"/>
  <c r="B37" i="78"/>
  <c r="B37" i="77"/>
  <c r="K37" i="79"/>
  <c r="K37" i="77"/>
  <c r="K37" i="78"/>
  <c r="G38" i="77"/>
  <c r="G38" i="79"/>
  <c r="G38" i="78"/>
  <c r="D39" i="79"/>
  <c r="D39" i="78"/>
  <c r="D39" i="77"/>
  <c r="P40" i="64"/>
  <c r="R40" i="64" s="1"/>
  <c r="O40" i="64"/>
  <c r="A40" i="79"/>
  <c r="A40" i="77"/>
  <c r="A40" i="78"/>
  <c r="I40" i="79"/>
  <c r="I40" i="77"/>
  <c r="I40" i="78"/>
  <c r="F41" i="79"/>
  <c r="F41" i="78"/>
  <c r="F41" i="77"/>
  <c r="C42" i="77"/>
  <c r="C42" i="79"/>
  <c r="C42" i="78"/>
  <c r="L42" i="77"/>
  <c r="L42" i="79"/>
  <c r="L42" i="78"/>
  <c r="H43" i="77"/>
  <c r="H43" i="79"/>
  <c r="H43" i="78"/>
  <c r="E44" i="79"/>
  <c r="E44" i="77"/>
  <c r="E44" i="78"/>
  <c r="O48" i="64"/>
  <c r="A48" i="77"/>
  <c r="O48" i="77" s="1"/>
  <c r="P48" i="77" s="1"/>
  <c r="A48" i="79"/>
  <c r="A48" i="78"/>
  <c r="I48" i="77"/>
  <c r="I48" i="78"/>
  <c r="I48" i="79"/>
  <c r="E50" i="78"/>
  <c r="E50" i="79"/>
  <c r="E50" i="77"/>
  <c r="G52" i="79"/>
  <c r="G52" i="78"/>
  <c r="D53" i="79"/>
  <c r="D53" i="78"/>
  <c r="D53" i="77"/>
  <c r="O54" i="64"/>
  <c r="F55" i="79"/>
  <c r="F55" i="78"/>
  <c r="F55" i="77"/>
  <c r="E58" i="79"/>
  <c r="E58" i="78"/>
  <c r="E58" i="77"/>
  <c r="D61" i="79"/>
  <c r="D61" i="78"/>
  <c r="O62" i="64"/>
  <c r="P62" i="64" s="1"/>
  <c r="F63" i="78"/>
  <c r="F63" i="79"/>
  <c r="O67" i="64"/>
  <c r="O72" i="64"/>
  <c r="H75" i="77"/>
  <c r="H75" i="79"/>
  <c r="H75" i="78"/>
  <c r="O80" i="64"/>
  <c r="F81" i="79"/>
  <c r="F81" i="77"/>
  <c r="F81" i="78"/>
  <c r="H83" i="77"/>
  <c r="H83" i="78"/>
  <c r="H83" i="79"/>
  <c r="O88" i="64"/>
  <c r="P88" i="64" s="1"/>
  <c r="O93" i="64"/>
  <c r="O106" i="64"/>
  <c r="P106" i="64" s="1"/>
  <c r="O120" i="64"/>
  <c r="O33" i="64"/>
  <c r="A33" i="79"/>
  <c r="A33" i="77"/>
  <c r="A33" i="78"/>
  <c r="B38" i="77"/>
  <c r="B38" i="79"/>
  <c r="B38" i="78"/>
  <c r="C43" i="79"/>
  <c r="C43" i="78"/>
  <c r="C43" i="77"/>
  <c r="H50" i="79"/>
  <c r="H50" i="78"/>
  <c r="H50" i="77"/>
  <c r="O55" i="64"/>
  <c r="P55" i="64" s="1"/>
  <c r="A55" i="78"/>
  <c r="A55" i="79"/>
  <c r="A55" i="77"/>
  <c r="H58" i="78"/>
  <c r="H58" i="79"/>
  <c r="H58" i="77"/>
  <c r="H31" i="79"/>
  <c r="H31" i="78"/>
  <c r="H31" i="77"/>
  <c r="O36" i="64"/>
  <c r="A36" i="79"/>
  <c r="A36" i="78"/>
  <c r="A36" i="77"/>
  <c r="K41" i="78"/>
  <c r="K41" i="79"/>
  <c r="K41" i="77"/>
  <c r="I50" i="78"/>
  <c r="I50" i="79"/>
  <c r="I50" i="77"/>
  <c r="O76" i="64"/>
  <c r="D108" i="64"/>
  <c r="G30" i="77"/>
  <c r="G30" i="79"/>
  <c r="G46" i="79" s="1"/>
  <c r="G30" i="78"/>
  <c r="H32" i="77"/>
  <c r="H32" i="78"/>
  <c r="H32" i="79"/>
  <c r="K34" i="77"/>
  <c r="K34" i="79"/>
  <c r="K34" i="78"/>
  <c r="O37" i="64"/>
  <c r="P37" i="64" s="1"/>
  <c r="A37" i="79"/>
  <c r="A37" i="78"/>
  <c r="A37" i="77"/>
  <c r="L39" i="79"/>
  <c r="L39" i="78"/>
  <c r="L39" i="77"/>
  <c r="B42" i="77"/>
  <c r="B42" i="79"/>
  <c r="B42" i="78"/>
  <c r="G43" i="77"/>
  <c r="G43" i="78"/>
  <c r="G43" i="79"/>
  <c r="D50" i="79"/>
  <c r="D50" i="78"/>
  <c r="D50" i="77"/>
  <c r="E55" i="79"/>
  <c r="E55" i="78"/>
  <c r="E55" i="77"/>
  <c r="O16" i="64"/>
  <c r="P25" i="64"/>
  <c r="O25" i="64"/>
  <c r="O30" i="64"/>
  <c r="A30" i="78"/>
  <c r="A30" i="77"/>
  <c r="A30" i="79"/>
  <c r="I30" i="77"/>
  <c r="I30" i="78"/>
  <c r="I30" i="79"/>
  <c r="E31" i="79"/>
  <c r="E31" i="78"/>
  <c r="E31" i="77"/>
  <c r="B32" i="77"/>
  <c r="B32" i="78"/>
  <c r="B32" i="79"/>
  <c r="K32" i="77"/>
  <c r="K32" i="79"/>
  <c r="K32" i="78"/>
  <c r="G33" i="79"/>
  <c r="G33" i="78"/>
  <c r="G33" i="77"/>
  <c r="D34" i="77"/>
  <c r="D34" i="78"/>
  <c r="D34" i="79"/>
  <c r="O35" i="64"/>
  <c r="A35" i="79"/>
  <c r="A35" i="77"/>
  <c r="A35" i="78"/>
  <c r="I35" i="79"/>
  <c r="I35" i="77"/>
  <c r="I35" i="78"/>
  <c r="F36" i="77"/>
  <c r="F36" i="79"/>
  <c r="F36" i="78"/>
  <c r="C37" i="78"/>
  <c r="C37" i="79"/>
  <c r="C37" i="77"/>
  <c r="L37" i="79"/>
  <c r="L37" i="77"/>
  <c r="L37" i="78"/>
  <c r="H38" i="77"/>
  <c r="H38" i="79"/>
  <c r="H38" i="78"/>
  <c r="E39" i="77"/>
  <c r="E39" i="79"/>
  <c r="E39" i="78"/>
  <c r="B40" i="78"/>
  <c r="B40" i="77"/>
  <c r="B40" i="79"/>
  <c r="K40" i="77"/>
  <c r="K40" i="79"/>
  <c r="K40" i="78"/>
  <c r="G41" i="77"/>
  <c r="G41" i="78"/>
  <c r="G41" i="79"/>
  <c r="D42" i="77"/>
  <c r="D42" i="78"/>
  <c r="D42" i="79"/>
  <c r="O43" i="64"/>
  <c r="A43" i="79"/>
  <c r="A43" i="78"/>
  <c r="O43" i="78" s="1"/>
  <c r="P43" i="78" s="1"/>
  <c r="A43" i="77"/>
  <c r="I43" i="78"/>
  <c r="I43" i="77"/>
  <c r="I43" i="79"/>
  <c r="F44" i="77"/>
  <c r="F44" i="79"/>
  <c r="F44" i="78"/>
  <c r="B48" i="79"/>
  <c r="B48" i="78"/>
  <c r="B48" i="77"/>
  <c r="K48" i="77"/>
  <c r="K48" i="79"/>
  <c r="K48" i="78"/>
  <c r="F50" i="79"/>
  <c r="F50" i="78"/>
  <c r="F50" i="77"/>
  <c r="H52" i="79"/>
  <c r="H52" i="78"/>
  <c r="E53" i="79"/>
  <c r="E53" i="78"/>
  <c r="E53" i="77"/>
  <c r="G55" i="78"/>
  <c r="G55" i="79"/>
  <c r="G55" i="77"/>
  <c r="O57" i="64"/>
  <c r="F58" i="78"/>
  <c r="F58" i="79"/>
  <c r="F58" i="77"/>
  <c r="E61" i="79"/>
  <c r="E61" i="78"/>
  <c r="G63" i="78"/>
  <c r="G63" i="79"/>
  <c r="H70" i="77"/>
  <c r="H70" i="79"/>
  <c r="H70" i="78"/>
  <c r="O75" i="64"/>
  <c r="H78" i="77"/>
  <c r="H78" i="79"/>
  <c r="H78" i="78"/>
  <c r="G81" i="78"/>
  <c r="G81" i="77"/>
  <c r="G81" i="79"/>
  <c r="O83" i="64"/>
  <c r="H86" i="77"/>
  <c r="H86" i="79"/>
  <c r="H86" i="78"/>
  <c r="O96" i="64"/>
  <c r="P96" i="64" s="1"/>
  <c r="A108" i="64"/>
  <c r="O104" i="64"/>
  <c r="O108" i="64" s="1"/>
  <c r="O115" i="64"/>
  <c r="O123" i="64"/>
  <c r="K30" i="77"/>
  <c r="K30" i="79"/>
  <c r="K30" i="78"/>
  <c r="I33" i="79"/>
  <c r="I33" i="78"/>
  <c r="I33" i="77"/>
  <c r="H36" i="77"/>
  <c r="H36" i="79"/>
  <c r="H36" i="78"/>
  <c r="K38" i="78"/>
  <c r="K38" i="77"/>
  <c r="K38" i="79"/>
  <c r="I41" i="79"/>
  <c r="I41" i="77"/>
  <c r="I41" i="78"/>
  <c r="H44" i="79"/>
  <c r="H44" i="78"/>
  <c r="H44" i="77"/>
  <c r="K52" i="79"/>
  <c r="K52" i="78"/>
  <c r="O81" i="64"/>
  <c r="A81" i="78"/>
  <c r="O81" i="78" s="1"/>
  <c r="P81" i="78" s="1"/>
  <c r="A81" i="79"/>
  <c r="A81" i="77"/>
  <c r="O121" i="64"/>
  <c r="P121" i="64" s="1"/>
  <c r="O8" i="64"/>
  <c r="D30" i="77"/>
  <c r="D30" i="79"/>
  <c r="D46" i="79" s="1"/>
  <c r="D30" i="78"/>
  <c r="D46" i="78" s="1"/>
  <c r="B33" i="79"/>
  <c r="B33" i="78"/>
  <c r="B33" i="77"/>
  <c r="I36" i="77"/>
  <c r="I36" i="79"/>
  <c r="I36" i="78"/>
  <c r="E40" i="79"/>
  <c r="E40" i="78"/>
  <c r="E40" i="77"/>
  <c r="D43" i="78"/>
  <c r="D43" i="77"/>
  <c r="D43" i="79"/>
  <c r="O50" i="64"/>
  <c r="A50" i="78"/>
  <c r="O50" i="78" s="1"/>
  <c r="P50" i="78" s="1"/>
  <c r="A50" i="79"/>
  <c r="A50" i="77"/>
  <c r="O50" i="77" s="1"/>
  <c r="P50" i="77" s="1"/>
  <c r="B30" i="79"/>
  <c r="B30" i="78"/>
  <c r="B30" i="77"/>
  <c r="F31" i="78"/>
  <c r="F31" i="77"/>
  <c r="F31" i="79"/>
  <c r="C32" i="78"/>
  <c r="C32" i="77"/>
  <c r="C32" i="79"/>
  <c r="L32" i="77"/>
  <c r="L32" i="79"/>
  <c r="L32" i="78"/>
  <c r="H33" i="79"/>
  <c r="H33" i="78"/>
  <c r="H33" i="77"/>
  <c r="E34" i="79"/>
  <c r="E34" i="78"/>
  <c r="E34" i="77"/>
  <c r="B35" i="77"/>
  <c r="B35" i="79"/>
  <c r="B35" i="78"/>
  <c r="K35" i="77"/>
  <c r="K35" i="79"/>
  <c r="K35" i="78"/>
  <c r="G36" i="77"/>
  <c r="G36" i="78"/>
  <c r="G36" i="79"/>
  <c r="D37" i="79"/>
  <c r="D37" i="78"/>
  <c r="D37" i="77"/>
  <c r="O38" i="64"/>
  <c r="A38" i="78"/>
  <c r="O38" i="78" s="1"/>
  <c r="P38" i="78" s="1"/>
  <c r="A38" i="77"/>
  <c r="A38" i="79"/>
  <c r="I38" i="78"/>
  <c r="I38" i="77"/>
  <c r="I38" i="79"/>
  <c r="F39" i="77"/>
  <c r="F39" i="79"/>
  <c r="F39" i="78"/>
  <c r="C40" i="79"/>
  <c r="C40" i="78"/>
  <c r="C40" i="77"/>
  <c r="L40" i="79"/>
  <c r="L40" i="77"/>
  <c r="L40" i="78"/>
  <c r="H41" i="79"/>
  <c r="H41" i="77"/>
  <c r="H41" i="78"/>
  <c r="E42" i="79"/>
  <c r="E42" i="77"/>
  <c r="E42" i="78"/>
  <c r="B43" i="77"/>
  <c r="B43" i="78"/>
  <c r="B43" i="79"/>
  <c r="K43" i="77"/>
  <c r="K43" i="79"/>
  <c r="K43" i="78"/>
  <c r="G44" i="77"/>
  <c r="G44" i="78"/>
  <c r="G44" i="79"/>
  <c r="C48" i="77"/>
  <c r="C48" i="79"/>
  <c r="C48" i="78"/>
  <c r="L48" i="77"/>
  <c r="L48" i="79"/>
  <c r="L48" i="78"/>
  <c r="G50" i="79"/>
  <c r="G50" i="78"/>
  <c r="G50" i="77"/>
  <c r="O52" i="64"/>
  <c r="A52" i="79"/>
  <c r="O52" i="79" s="1"/>
  <c r="P52" i="79" s="1"/>
  <c r="A52" i="78"/>
  <c r="I52" i="78"/>
  <c r="I52" i="79"/>
  <c r="F53" i="79"/>
  <c r="F53" i="78"/>
  <c r="F53" i="77"/>
  <c r="H55" i="79"/>
  <c r="H55" i="78"/>
  <c r="H55" i="77"/>
  <c r="G58" i="79"/>
  <c r="G58" i="78"/>
  <c r="G58" i="77"/>
  <c r="O60" i="64"/>
  <c r="F61" i="79"/>
  <c r="F61" i="78"/>
  <c r="H63" i="78"/>
  <c r="H63" i="79"/>
  <c r="O70" i="64"/>
  <c r="H73" i="77"/>
  <c r="H73" i="78"/>
  <c r="H73" i="79"/>
  <c r="O78" i="64"/>
  <c r="P78" i="64" s="1"/>
  <c r="H81" i="78"/>
  <c r="H81" i="79"/>
  <c r="H81" i="77"/>
  <c r="O86" i="64"/>
  <c r="P86" i="64" s="1"/>
  <c r="H89" i="79"/>
  <c r="H89" i="78"/>
  <c r="H89" i="77"/>
  <c r="O99" i="64"/>
  <c r="O118" i="64"/>
  <c r="P118" i="64" s="1"/>
  <c r="R51" i="64"/>
  <c r="V51" i="64"/>
  <c r="D58" i="51"/>
  <c r="D58" i="66"/>
  <c r="P54" i="64"/>
  <c r="P22" i="64"/>
  <c r="G46" i="64"/>
  <c r="B46" i="64"/>
  <c r="G65" i="64"/>
  <c r="C50" i="51"/>
  <c r="C50" i="66"/>
  <c r="L65" i="64"/>
  <c r="B53" i="51"/>
  <c r="B53" i="66"/>
  <c r="K53" i="51"/>
  <c r="K53" i="66"/>
  <c r="D55" i="51"/>
  <c r="D55" i="66"/>
  <c r="P56" i="64"/>
  <c r="C58" i="51"/>
  <c r="C58" i="66"/>
  <c r="L58" i="51"/>
  <c r="L58" i="66"/>
  <c r="P74" i="64"/>
  <c r="D81" i="51"/>
  <c r="D81" i="66"/>
  <c r="P82" i="64"/>
  <c r="P97" i="64"/>
  <c r="L108" i="64"/>
  <c r="E81" i="51"/>
  <c r="E81" i="66"/>
  <c r="I48" i="51"/>
  <c r="I48" i="66"/>
  <c r="P80" i="64"/>
  <c r="P95" i="64"/>
  <c r="H127" i="64"/>
  <c r="F50" i="51"/>
  <c r="F50" i="66"/>
  <c r="E53" i="51"/>
  <c r="E53" i="66"/>
  <c r="G55" i="51"/>
  <c r="G55" i="66"/>
  <c r="F58" i="51"/>
  <c r="F58" i="66"/>
  <c r="B91" i="64"/>
  <c r="G81" i="51"/>
  <c r="G81" i="66"/>
  <c r="G81" i="69" s="1"/>
  <c r="P83" i="64"/>
  <c r="H102" i="64"/>
  <c r="G108" i="64"/>
  <c r="E127" i="64"/>
  <c r="D50" i="51"/>
  <c r="D50" i="66"/>
  <c r="C53" i="51"/>
  <c r="C53" i="66"/>
  <c r="E55" i="51"/>
  <c r="E55" i="66"/>
  <c r="P69" i="64"/>
  <c r="P35" i="64"/>
  <c r="F55" i="51"/>
  <c r="F55" i="66"/>
  <c r="P87" i="64"/>
  <c r="F108" i="64"/>
  <c r="P116" i="64"/>
  <c r="P124" i="64"/>
  <c r="P26" i="64"/>
  <c r="P33" i="64"/>
  <c r="P41" i="64"/>
  <c r="G50" i="51"/>
  <c r="G50" i="66"/>
  <c r="P52" i="64"/>
  <c r="F53" i="51"/>
  <c r="F53" i="66"/>
  <c r="H55" i="51"/>
  <c r="H55" i="66"/>
  <c r="G58" i="51"/>
  <c r="G58" i="66"/>
  <c r="P60" i="64"/>
  <c r="X70" i="64"/>
  <c r="P70" i="64"/>
  <c r="H81" i="51"/>
  <c r="H81" i="66"/>
  <c r="H108" i="64"/>
  <c r="B127" i="64"/>
  <c r="P122" i="64"/>
  <c r="R25" i="64"/>
  <c r="V25" i="64"/>
  <c r="L53" i="51"/>
  <c r="L53" i="66"/>
  <c r="E65" i="64"/>
  <c r="E50" i="51"/>
  <c r="E50" i="66"/>
  <c r="P72" i="64"/>
  <c r="P21" i="64"/>
  <c r="F46" i="64"/>
  <c r="D65" i="64"/>
  <c r="H50" i="51"/>
  <c r="H50" i="66"/>
  <c r="G53" i="51"/>
  <c r="G53" i="66"/>
  <c r="A55" i="51"/>
  <c r="A55" i="66"/>
  <c r="I55" i="51"/>
  <c r="I55" i="66"/>
  <c r="H58" i="51"/>
  <c r="H58" i="66"/>
  <c r="D91" i="64"/>
  <c r="L91" i="64"/>
  <c r="P73" i="64"/>
  <c r="A81" i="51"/>
  <c r="P81" i="64"/>
  <c r="A81" i="66"/>
  <c r="I81" i="51"/>
  <c r="I81" i="66"/>
  <c r="B102" i="64"/>
  <c r="E108" i="64"/>
  <c r="P117" i="64"/>
  <c r="P125" i="64"/>
  <c r="R59" i="64"/>
  <c r="I46" i="64"/>
  <c r="P43" i="64"/>
  <c r="I65" i="64"/>
  <c r="E58" i="51"/>
  <c r="E58" i="66"/>
  <c r="F81" i="51"/>
  <c r="F81" i="66"/>
  <c r="P31" i="64"/>
  <c r="P39" i="64"/>
  <c r="A65" i="64"/>
  <c r="P50" i="64"/>
  <c r="I50" i="51"/>
  <c r="I50" i="66"/>
  <c r="H53" i="51"/>
  <c r="H53" i="66"/>
  <c r="B55" i="51"/>
  <c r="B55" i="66"/>
  <c r="K55" i="51"/>
  <c r="K55" i="66"/>
  <c r="A58" i="51"/>
  <c r="X58" i="64"/>
  <c r="A58" i="66"/>
  <c r="I58" i="51"/>
  <c r="I58" i="66"/>
  <c r="A91" i="64"/>
  <c r="I91" i="64"/>
  <c r="P76" i="64"/>
  <c r="B81" i="51"/>
  <c r="B81" i="66"/>
  <c r="L102" i="64"/>
  <c r="B108" i="64"/>
  <c r="P120" i="64"/>
  <c r="P170" i="66"/>
  <c r="R170" i="66" s="1"/>
  <c r="D53" i="51"/>
  <c r="D53" i="66"/>
  <c r="P36" i="64"/>
  <c r="C18" i="64"/>
  <c r="A46" i="64"/>
  <c r="P42" i="64"/>
  <c r="F65" i="64"/>
  <c r="B50" i="51"/>
  <c r="B50" i="66"/>
  <c r="A53" i="51"/>
  <c r="P53" i="64"/>
  <c r="A53" i="66"/>
  <c r="I53" i="51"/>
  <c r="I53" i="66"/>
  <c r="C55" i="51"/>
  <c r="C55" i="66"/>
  <c r="L55" i="51"/>
  <c r="L55" i="66"/>
  <c r="B58" i="51"/>
  <c r="B58" i="66"/>
  <c r="K58" i="51"/>
  <c r="K58" i="66"/>
  <c r="P61" i="64"/>
  <c r="X71" i="64"/>
  <c r="X79" i="64"/>
  <c r="C81" i="51"/>
  <c r="C81" i="66"/>
  <c r="D102" i="64"/>
  <c r="C108" i="64"/>
  <c r="K108" i="64"/>
  <c r="P115" i="64"/>
  <c r="P123" i="64"/>
  <c r="G18" i="64"/>
  <c r="P9" i="64"/>
  <c r="K18" i="64"/>
  <c r="P15" i="64"/>
  <c r="D18" i="64"/>
  <c r="X16" i="64"/>
  <c r="B18" i="64"/>
  <c r="L18" i="64"/>
  <c r="P14" i="64"/>
  <c r="U28" i="64"/>
  <c r="U127" i="64"/>
  <c r="E17" i="75"/>
  <c r="E17" i="74"/>
  <c r="X54" i="64"/>
  <c r="X22" i="64"/>
  <c r="X40" i="64"/>
  <c r="X50" i="64"/>
  <c r="X89" i="64"/>
  <c r="X98" i="64"/>
  <c r="X77" i="64"/>
  <c r="X31" i="64"/>
  <c r="X43" i="64"/>
  <c r="X74" i="64"/>
  <c r="X80" i="64"/>
  <c r="X12" i="64"/>
  <c r="X39" i="64"/>
  <c r="X57" i="64"/>
  <c r="X68" i="64"/>
  <c r="X38" i="64"/>
  <c r="X61" i="64"/>
  <c r="X8" i="64"/>
  <c r="X23" i="64"/>
  <c r="X26" i="64"/>
  <c r="X51" i="64"/>
  <c r="X62" i="64"/>
  <c r="X88" i="64"/>
  <c r="X30" i="64"/>
  <c r="X59" i="64"/>
  <c r="X32" i="64"/>
  <c r="X35" i="64"/>
  <c r="X81" i="64"/>
  <c r="X82" i="64"/>
  <c r="X114" i="64"/>
  <c r="F91" i="64"/>
  <c r="X76" i="64"/>
  <c r="A102" i="64"/>
  <c r="C127" i="64"/>
  <c r="K127" i="64"/>
  <c r="X118" i="64"/>
  <c r="X119" i="64"/>
  <c r="G102" i="64"/>
  <c r="A28" i="64"/>
  <c r="G91" i="64"/>
  <c r="I102" i="64"/>
  <c r="I110" i="64" s="1"/>
  <c r="D127" i="64"/>
  <c r="L127" i="64"/>
  <c r="X125" i="64"/>
  <c r="X99" i="64"/>
  <c r="A18" i="64"/>
  <c r="C46" i="64"/>
  <c r="K46" i="64"/>
  <c r="B65" i="64"/>
  <c r="B110" i="64" s="1"/>
  <c r="J65" i="64"/>
  <c r="H91" i="64"/>
  <c r="E91" i="64"/>
  <c r="J102" i="64"/>
  <c r="E102" i="64"/>
  <c r="E18" i="64"/>
  <c r="D46" i="64"/>
  <c r="L46" i="64"/>
  <c r="C65" i="64"/>
  <c r="K65" i="64"/>
  <c r="C102" i="64"/>
  <c r="K102" i="64"/>
  <c r="F127" i="64"/>
  <c r="X95" i="64"/>
  <c r="X20" i="64"/>
  <c r="H65" i="64"/>
  <c r="X104" i="64"/>
  <c r="X120" i="64"/>
  <c r="F18" i="64"/>
  <c r="W110" i="64"/>
  <c r="W112" i="64" s="1"/>
  <c r="W129" i="64" s="1"/>
  <c r="W12" i="76" s="1"/>
  <c r="C91" i="64"/>
  <c r="K91" i="64"/>
  <c r="X97" i="64"/>
  <c r="X124" i="64"/>
  <c r="R121" i="64" l="1"/>
  <c r="V121" i="64"/>
  <c r="R100" i="64"/>
  <c r="V100" i="64"/>
  <c r="R32" i="64"/>
  <c r="V32" i="64"/>
  <c r="R52" i="79"/>
  <c r="V52" i="79"/>
  <c r="A46" i="79"/>
  <c r="O30" i="79"/>
  <c r="H91" i="77"/>
  <c r="L46" i="77"/>
  <c r="R43" i="78"/>
  <c r="V43" i="78"/>
  <c r="O65" i="64"/>
  <c r="H46" i="77"/>
  <c r="O52" i="78"/>
  <c r="P52" i="78" s="1"/>
  <c r="B46" i="79"/>
  <c r="O81" i="79"/>
  <c r="P81" i="79" s="1"/>
  <c r="I46" i="77"/>
  <c r="O37" i="78"/>
  <c r="P37" i="78" s="1"/>
  <c r="O55" i="78"/>
  <c r="P55" i="78" s="1"/>
  <c r="O48" i="79"/>
  <c r="P48" i="79" s="1"/>
  <c r="O32" i="78"/>
  <c r="P32" i="78" s="1"/>
  <c r="H46" i="78"/>
  <c r="H91" i="79"/>
  <c r="L46" i="79"/>
  <c r="O63" i="78"/>
  <c r="P63" i="78" s="1"/>
  <c r="O34" i="77"/>
  <c r="P34" i="77" s="1"/>
  <c r="F46" i="79"/>
  <c r="O44" i="79"/>
  <c r="P44" i="79" s="1"/>
  <c r="R38" i="78"/>
  <c r="V38" i="78"/>
  <c r="V32" i="79"/>
  <c r="R32" i="79"/>
  <c r="E46" i="78"/>
  <c r="O58" i="78"/>
  <c r="P58" i="78" s="1"/>
  <c r="C46" i="79"/>
  <c r="O61" i="79"/>
  <c r="P61" i="79" s="1"/>
  <c r="O39" i="79"/>
  <c r="P39" i="79" s="1"/>
  <c r="E46" i="77"/>
  <c r="G46" i="78"/>
  <c r="V48" i="77"/>
  <c r="R48" i="77"/>
  <c r="O32" i="77"/>
  <c r="P32" i="77" s="1"/>
  <c r="C46" i="77"/>
  <c r="F110" i="64"/>
  <c r="F112" i="64" s="1"/>
  <c r="F129" i="64" s="1"/>
  <c r="O33" i="78"/>
  <c r="P33" i="78" s="1"/>
  <c r="O102" i="64"/>
  <c r="P94" i="64"/>
  <c r="R105" i="64"/>
  <c r="O18" i="64"/>
  <c r="K46" i="78"/>
  <c r="O35" i="77"/>
  <c r="P35" i="77" s="1"/>
  <c r="O46" i="64"/>
  <c r="O110" i="64" s="1"/>
  <c r="O36" i="77"/>
  <c r="P36" i="77" s="1"/>
  <c r="O33" i="77"/>
  <c r="P33" i="77" s="1"/>
  <c r="O41" i="78"/>
  <c r="P41" i="78" s="1"/>
  <c r="O42" i="79"/>
  <c r="P42" i="79" s="1"/>
  <c r="O58" i="79"/>
  <c r="P58" i="79" s="1"/>
  <c r="O53" i="77"/>
  <c r="P53" i="77" s="1"/>
  <c r="O39" i="78"/>
  <c r="P39" i="78" s="1"/>
  <c r="O50" i="79"/>
  <c r="P50" i="79" s="1"/>
  <c r="A46" i="78"/>
  <c r="O30" i="78"/>
  <c r="G46" i="77"/>
  <c r="O41" i="77"/>
  <c r="P41" i="77" s="1"/>
  <c r="V40" i="64"/>
  <c r="K46" i="79"/>
  <c r="O35" i="79"/>
  <c r="P35" i="79" s="1"/>
  <c r="O36" i="78"/>
  <c r="P36" i="78" s="1"/>
  <c r="O33" i="79"/>
  <c r="P33" i="79" s="1"/>
  <c r="O40" i="78"/>
  <c r="P40" i="78" s="1"/>
  <c r="O41" i="79"/>
  <c r="P41" i="79" s="1"/>
  <c r="O42" i="77"/>
  <c r="P42" i="77" s="1"/>
  <c r="O127" i="64"/>
  <c r="O53" i="78"/>
  <c r="P53" i="78" s="1"/>
  <c r="O39" i="77"/>
  <c r="P39" i="77" s="1"/>
  <c r="O31" i="79"/>
  <c r="P31" i="79" s="1"/>
  <c r="R81" i="78"/>
  <c r="V81" i="78"/>
  <c r="O43" i="77"/>
  <c r="P43" i="77" s="1"/>
  <c r="O37" i="79"/>
  <c r="P37" i="79" s="1"/>
  <c r="A46" i="77"/>
  <c r="O30" i="77"/>
  <c r="O61" i="78"/>
  <c r="P61" i="78" s="1"/>
  <c r="E46" i="79"/>
  <c r="R50" i="78"/>
  <c r="V50" i="78"/>
  <c r="O43" i="79"/>
  <c r="P43" i="79" s="1"/>
  <c r="O35" i="78"/>
  <c r="P35" i="78" s="1"/>
  <c r="P24" i="64"/>
  <c r="D58" i="69"/>
  <c r="B46" i="77"/>
  <c r="K46" i="77"/>
  <c r="O38" i="77"/>
  <c r="P38" i="77" s="1"/>
  <c r="I46" i="79"/>
  <c r="O36" i="79"/>
  <c r="P36" i="79" s="1"/>
  <c r="O55" i="77"/>
  <c r="P55" i="77" s="1"/>
  <c r="O40" i="77"/>
  <c r="P40" i="77" s="1"/>
  <c r="O42" i="78"/>
  <c r="P42" i="78" s="1"/>
  <c r="O34" i="78"/>
  <c r="P34" i="78" s="1"/>
  <c r="F46" i="78"/>
  <c r="O44" i="77"/>
  <c r="P44" i="77" s="1"/>
  <c r="O53" i="79"/>
  <c r="P53" i="79" s="1"/>
  <c r="O31" i="77"/>
  <c r="P31" i="77" s="1"/>
  <c r="L46" i="78"/>
  <c r="O58" i="77"/>
  <c r="P58" i="77" s="1"/>
  <c r="D46" i="77"/>
  <c r="O38" i="79"/>
  <c r="P38" i="79" s="1"/>
  <c r="B46" i="78"/>
  <c r="O81" i="77"/>
  <c r="P81" i="77" s="1"/>
  <c r="I46" i="78"/>
  <c r="O37" i="77"/>
  <c r="P37" i="77" s="1"/>
  <c r="O55" i="79"/>
  <c r="P55" i="79" s="1"/>
  <c r="O91" i="64"/>
  <c r="O48" i="78"/>
  <c r="P48" i="78" s="1"/>
  <c r="O40" i="79"/>
  <c r="P40" i="79" s="1"/>
  <c r="H91" i="78"/>
  <c r="O63" i="79"/>
  <c r="P63" i="79" s="1"/>
  <c r="O34" i="79"/>
  <c r="P34" i="79" s="1"/>
  <c r="F46" i="77"/>
  <c r="O44" i="78"/>
  <c r="P44" i="78" s="1"/>
  <c r="O31" i="78"/>
  <c r="P31" i="78" s="1"/>
  <c r="F50" i="69"/>
  <c r="D110" i="64"/>
  <c r="I81" i="69"/>
  <c r="O58" i="66"/>
  <c r="F81" i="69"/>
  <c r="F53" i="69"/>
  <c r="D55" i="69"/>
  <c r="C50" i="69"/>
  <c r="L53" i="69"/>
  <c r="D53" i="69"/>
  <c r="B55" i="69"/>
  <c r="G50" i="69"/>
  <c r="G55" i="69"/>
  <c r="E81" i="69"/>
  <c r="H53" i="69"/>
  <c r="H81" i="69"/>
  <c r="G58" i="69"/>
  <c r="E55" i="69"/>
  <c r="F55" i="69"/>
  <c r="R78" i="64"/>
  <c r="V78" i="64"/>
  <c r="R116" i="64"/>
  <c r="V116" i="64"/>
  <c r="X13" i="64"/>
  <c r="A110" i="64"/>
  <c r="A112" i="64" s="1"/>
  <c r="A129" i="64" s="1"/>
  <c r="X123" i="64"/>
  <c r="R115" i="64"/>
  <c r="V115" i="64"/>
  <c r="C81" i="69"/>
  <c r="R61" i="64"/>
  <c r="V61" i="64"/>
  <c r="C55" i="69"/>
  <c r="P99" i="64"/>
  <c r="R68" i="64"/>
  <c r="V68" i="64"/>
  <c r="R50" i="64"/>
  <c r="V50" i="64"/>
  <c r="E58" i="69"/>
  <c r="P104" i="64"/>
  <c r="N81" i="51"/>
  <c r="H58" i="69"/>
  <c r="G53" i="69"/>
  <c r="R60" i="64"/>
  <c r="V60" i="64"/>
  <c r="R124" i="64"/>
  <c r="V124" i="64"/>
  <c r="P30" i="64"/>
  <c r="X46" i="64"/>
  <c r="D50" i="69"/>
  <c r="P98" i="64"/>
  <c r="E53" i="69"/>
  <c r="P20" i="64"/>
  <c r="R56" i="64"/>
  <c r="V56" i="64"/>
  <c r="R36" i="64"/>
  <c r="V36" i="64"/>
  <c r="R73" i="64"/>
  <c r="V73" i="64"/>
  <c r="R106" i="64"/>
  <c r="V106" i="64"/>
  <c r="R83" i="64"/>
  <c r="V83" i="64"/>
  <c r="R95" i="64"/>
  <c r="V95" i="64"/>
  <c r="R82" i="64"/>
  <c r="V82" i="64"/>
  <c r="L58" i="69"/>
  <c r="R22" i="64"/>
  <c r="V22" i="64"/>
  <c r="X106" i="64"/>
  <c r="R72" i="64"/>
  <c r="V72" i="64"/>
  <c r="X33" i="64"/>
  <c r="X69" i="64"/>
  <c r="K58" i="69"/>
  <c r="O58" i="51"/>
  <c r="O58" i="69" s="1"/>
  <c r="I53" i="69"/>
  <c r="R34" i="64"/>
  <c r="V34" i="64"/>
  <c r="P84" i="64"/>
  <c r="X84" i="64"/>
  <c r="I58" i="69"/>
  <c r="R39" i="64"/>
  <c r="V39" i="64"/>
  <c r="R125" i="64"/>
  <c r="V125" i="64"/>
  <c r="I55" i="69"/>
  <c r="E50" i="69"/>
  <c r="R70" i="64"/>
  <c r="V70" i="64"/>
  <c r="R52" i="64"/>
  <c r="V52" i="64"/>
  <c r="R87" i="64"/>
  <c r="V87" i="64"/>
  <c r="R80" i="64"/>
  <c r="V80" i="64"/>
  <c r="D81" i="69"/>
  <c r="C58" i="69"/>
  <c r="P85" i="64"/>
  <c r="X85" i="64"/>
  <c r="R77" i="64"/>
  <c r="V77" i="64"/>
  <c r="O55" i="51"/>
  <c r="K55" i="69"/>
  <c r="R69" i="64"/>
  <c r="V69" i="64"/>
  <c r="H110" i="64"/>
  <c r="H112" i="64" s="1"/>
  <c r="H129" i="64" s="1"/>
  <c r="L110" i="64"/>
  <c r="L112" i="64" s="1"/>
  <c r="L129" i="64" s="1"/>
  <c r="X116" i="64"/>
  <c r="X72" i="64"/>
  <c r="B58" i="69"/>
  <c r="A53" i="69"/>
  <c r="N53" i="66"/>
  <c r="P48" i="64"/>
  <c r="X65" i="64"/>
  <c r="B81" i="69"/>
  <c r="A58" i="69"/>
  <c r="N58" i="66"/>
  <c r="P58" i="66" s="1"/>
  <c r="R58" i="66" s="1"/>
  <c r="R31" i="64"/>
  <c r="V31" i="64"/>
  <c r="R117" i="64"/>
  <c r="V117" i="64"/>
  <c r="A55" i="69"/>
  <c r="N55" i="66"/>
  <c r="H50" i="69"/>
  <c r="P93" i="64"/>
  <c r="H55" i="69"/>
  <c r="R26" i="64"/>
  <c r="V26" i="64"/>
  <c r="R62" i="64"/>
  <c r="V62" i="64"/>
  <c r="C53" i="69"/>
  <c r="P119" i="64"/>
  <c r="P57" i="64"/>
  <c r="P67" i="64"/>
  <c r="R118" i="64"/>
  <c r="V118" i="64"/>
  <c r="O53" i="66"/>
  <c r="P12" i="64"/>
  <c r="V12" i="64" s="1"/>
  <c r="R53" i="64"/>
  <c r="V53" i="64"/>
  <c r="P58" i="64"/>
  <c r="R24" i="64"/>
  <c r="V24" i="64"/>
  <c r="R43" i="64"/>
  <c r="V43" i="64"/>
  <c r="R55" i="64"/>
  <c r="V55" i="64"/>
  <c r="R88" i="64"/>
  <c r="V88" i="64"/>
  <c r="P75" i="64"/>
  <c r="P38" i="64"/>
  <c r="P79" i="64"/>
  <c r="R21" i="64"/>
  <c r="V21" i="64"/>
  <c r="R33" i="64"/>
  <c r="V33" i="64"/>
  <c r="R42" i="64"/>
  <c r="V42" i="64"/>
  <c r="U112" i="64"/>
  <c r="U110" i="64"/>
  <c r="X53" i="64"/>
  <c r="R120" i="64"/>
  <c r="V120" i="64"/>
  <c r="R76" i="64"/>
  <c r="V76" i="64"/>
  <c r="N58" i="51"/>
  <c r="A81" i="69"/>
  <c r="N81" i="66"/>
  <c r="R63" i="64"/>
  <c r="V63" i="64"/>
  <c r="N55" i="51"/>
  <c r="R122" i="64"/>
  <c r="V122" i="64"/>
  <c r="P114" i="64"/>
  <c r="P23" i="64"/>
  <c r="I48" i="69"/>
  <c r="R74" i="64"/>
  <c r="V74" i="64"/>
  <c r="K53" i="69"/>
  <c r="O53" i="51"/>
  <c r="R37" i="64"/>
  <c r="V37" i="64"/>
  <c r="R96" i="64"/>
  <c r="V96" i="64"/>
  <c r="R86" i="64"/>
  <c r="V86" i="64"/>
  <c r="X73" i="64"/>
  <c r="R94" i="64"/>
  <c r="V94" i="64"/>
  <c r="R123" i="64"/>
  <c r="V123" i="64"/>
  <c r="N53" i="51"/>
  <c r="X94" i="64"/>
  <c r="G110" i="64"/>
  <c r="G112" i="64" s="1"/>
  <c r="G129" i="64" s="1"/>
  <c r="X42" i="64"/>
  <c r="X24" i="64"/>
  <c r="P89" i="64"/>
  <c r="L55" i="69"/>
  <c r="B50" i="69"/>
  <c r="O55" i="66"/>
  <c r="I50" i="69"/>
  <c r="R81" i="64"/>
  <c r="V81" i="64"/>
  <c r="X63" i="64"/>
  <c r="X55" i="64"/>
  <c r="P44" i="64"/>
  <c r="R41" i="64"/>
  <c r="V41" i="64"/>
  <c r="R35" i="64"/>
  <c r="V35" i="64"/>
  <c r="F58" i="69"/>
  <c r="R97" i="64"/>
  <c r="V97" i="64"/>
  <c r="P71" i="64"/>
  <c r="B53" i="69"/>
  <c r="R54" i="64"/>
  <c r="V54" i="64"/>
  <c r="D112" i="64"/>
  <c r="D129" i="64" s="1"/>
  <c r="B112" i="64"/>
  <c r="B129" i="64" s="1"/>
  <c r="R14" i="64"/>
  <c r="V14" i="64"/>
  <c r="R9" i="64"/>
  <c r="V9" i="64"/>
  <c r="P16" i="64"/>
  <c r="R15" i="64"/>
  <c r="V15" i="64"/>
  <c r="R13" i="64"/>
  <c r="V13" i="64"/>
  <c r="P8" i="64"/>
  <c r="E110" i="64"/>
  <c r="E112" i="64" s="1"/>
  <c r="E129" i="64" s="1"/>
  <c r="J110" i="64"/>
  <c r="J112" i="64" s="1"/>
  <c r="X37" i="64"/>
  <c r="X121" i="64"/>
  <c r="X41" i="64"/>
  <c r="X36" i="64"/>
  <c r="X115" i="64"/>
  <c r="X34" i="64"/>
  <c r="X56" i="64"/>
  <c r="X48" i="64"/>
  <c r="X28" i="64"/>
  <c r="X105" i="64"/>
  <c r="X117" i="64"/>
  <c r="X44" i="64"/>
  <c r="X122" i="64"/>
  <c r="X67" i="64"/>
  <c r="X91" i="64"/>
  <c r="K110" i="64"/>
  <c r="K112" i="64" s="1"/>
  <c r="K129" i="64" s="1"/>
  <c r="X87" i="64"/>
  <c r="X21" i="64"/>
  <c r="C110" i="64"/>
  <c r="C112" i="64" s="1"/>
  <c r="C129" i="64" s="1"/>
  <c r="X102" i="64"/>
  <c r="X93" i="64"/>
  <c r="I112" i="64"/>
  <c r="I129" i="64" s="1"/>
  <c r="X75" i="64"/>
  <c r="X60" i="64"/>
  <c r="X96" i="64"/>
  <c r="X52" i="64"/>
  <c r="X86" i="64"/>
  <c r="X9" i="64"/>
  <c r="X78" i="64"/>
  <c r="X83" i="64"/>
  <c r="X108" i="64"/>
  <c r="X100" i="64"/>
  <c r="X25" i="64"/>
  <c r="X15" i="64"/>
  <c r="X14" i="64"/>
  <c r="R31" i="79" l="1"/>
  <c r="V31" i="79"/>
  <c r="R48" i="79"/>
  <c r="V48" i="79"/>
  <c r="V48" i="78"/>
  <c r="R48" i="78"/>
  <c r="P30" i="77"/>
  <c r="O46" i="77"/>
  <c r="R53" i="78"/>
  <c r="V53" i="78"/>
  <c r="R53" i="77"/>
  <c r="V53" i="77"/>
  <c r="R32" i="77"/>
  <c r="V32" i="77"/>
  <c r="R58" i="78"/>
  <c r="V58" i="78"/>
  <c r="R34" i="77"/>
  <c r="V34" i="77"/>
  <c r="R37" i="78"/>
  <c r="V37" i="78"/>
  <c r="R38" i="79"/>
  <c r="V38" i="79"/>
  <c r="V35" i="79"/>
  <c r="R35" i="79"/>
  <c r="R55" i="78"/>
  <c r="V55" i="78"/>
  <c r="R31" i="78"/>
  <c r="V31" i="78"/>
  <c r="R58" i="77"/>
  <c r="V58" i="77"/>
  <c r="R40" i="77"/>
  <c r="V40" i="77"/>
  <c r="R58" i="79"/>
  <c r="V58" i="79"/>
  <c r="O112" i="64"/>
  <c r="O129" i="64" s="1"/>
  <c r="V63" i="78"/>
  <c r="R63" i="78"/>
  <c r="R50" i="79"/>
  <c r="V50" i="79"/>
  <c r="R44" i="79"/>
  <c r="V44" i="79"/>
  <c r="R34" i="78"/>
  <c r="V34" i="78"/>
  <c r="R39" i="78"/>
  <c r="V39" i="78"/>
  <c r="R42" i="78"/>
  <c r="V42" i="78"/>
  <c r="R44" i="78"/>
  <c r="V44" i="78"/>
  <c r="R55" i="79"/>
  <c r="V55" i="79"/>
  <c r="R55" i="77"/>
  <c r="V55" i="77"/>
  <c r="R35" i="78"/>
  <c r="V35" i="78"/>
  <c r="R37" i="79"/>
  <c r="V37" i="79"/>
  <c r="R42" i="77"/>
  <c r="V42" i="77"/>
  <c r="R41" i="77"/>
  <c r="V41" i="77"/>
  <c r="R42" i="79"/>
  <c r="V42" i="79"/>
  <c r="R81" i="79"/>
  <c r="V81" i="79"/>
  <c r="V61" i="79"/>
  <c r="R61" i="79"/>
  <c r="V61" i="78"/>
  <c r="R61" i="78"/>
  <c r="R12" i="64"/>
  <c r="R37" i="77"/>
  <c r="V37" i="77"/>
  <c r="R31" i="77"/>
  <c r="V31" i="77"/>
  <c r="R36" i="79"/>
  <c r="V36" i="79"/>
  <c r="V43" i="79"/>
  <c r="R43" i="79"/>
  <c r="R43" i="77"/>
  <c r="V43" i="77"/>
  <c r="R41" i="79"/>
  <c r="V41" i="79"/>
  <c r="R41" i="78"/>
  <c r="V41" i="78"/>
  <c r="P30" i="79"/>
  <c r="O46" i="79"/>
  <c r="V36" i="78"/>
  <c r="R36" i="78"/>
  <c r="V40" i="79"/>
  <c r="R40" i="79"/>
  <c r="R39" i="77"/>
  <c r="V39" i="77"/>
  <c r="V34" i="79"/>
  <c r="R34" i="79"/>
  <c r="R53" i="79"/>
  <c r="V53" i="79"/>
  <c r="R40" i="78"/>
  <c r="V40" i="78"/>
  <c r="P30" i="78"/>
  <c r="O46" i="78"/>
  <c r="R33" i="77"/>
  <c r="V33" i="77"/>
  <c r="R52" i="78"/>
  <c r="V52" i="78"/>
  <c r="R35" i="77"/>
  <c r="V35" i="77"/>
  <c r="R63" i="79"/>
  <c r="V63" i="79"/>
  <c r="R81" i="77"/>
  <c r="V81" i="77"/>
  <c r="V44" i="77"/>
  <c r="R44" i="77"/>
  <c r="R38" i="77"/>
  <c r="V38" i="77"/>
  <c r="R33" i="79"/>
  <c r="V33" i="79"/>
  <c r="V36" i="77"/>
  <c r="R36" i="77"/>
  <c r="R33" i="78"/>
  <c r="V33" i="78"/>
  <c r="R39" i="79"/>
  <c r="V39" i="79"/>
  <c r="R32" i="78"/>
  <c r="V32" i="78"/>
  <c r="P46" i="64"/>
  <c r="V46" i="64" s="1"/>
  <c r="P65" i="64"/>
  <c r="O12" i="76"/>
  <c r="O53" i="69"/>
  <c r="P53" i="66"/>
  <c r="R53" i="66" s="1"/>
  <c r="R67" i="64"/>
  <c r="V67" i="64"/>
  <c r="P91" i="64"/>
  <c r="V91" i="64" s="1"/>
  <c r="R71" i="64"/>
  <c r="V71" i="64"/>
  <c r="G17" i="75"/>
  <c r="I17" i="75" s="1"/>
  <c r="G17" i="74"/>
  <c r="I17" i="74" s="1"/>
  <c r="X127" i="64"/>
  <c r="R79" i="64"/>
  <c r="V79" i="64"/>
  <c r="R119" i="64"/>
  <c r="V119" i="64"/>
  <c r="R30" i="64"/>
  <c r="R46" i="64" s="1"/>
  <c r="V30" i="64"/>
  <c r="P127" i="64"/>
  <c r="V127" i="64" s="1"/>
  <c r="R114" i="64"/>
  <c r="V114" i="64"/>
  <c r="P58" i="51"/>
  <c r="O55" i="69"/>
  <c r="R104" i="64"/>
  <c r="R108" i="64" s="1"/>
  <c r="V104" i="64"/>
  <c r="P108" i="64"/>
  <c r="V108" i="64" s="1"/>
  <c r="R57" i="64"/>
  <c r="V57" i="64"/>
  <c r="R99" i="64"/>
  <c r="V99" i="64"/>
  <c r="P53" i="51"/>
  <c r="R38" i="64"/>
  <c r="V38" i="64"/>
  <c r="P55" i="66"/>
  <c r="R55" i="66" s="1"/>
  <c r="R58" i="64"/>
  <c r="V58" i="64"/>
  <c r="R44" i="64"/>
  <c r="V44" i="64"/>
  <c r="R75" i="64"/>
  <c r="V75" i="64"/>
  <c r="R84" i="64"/>
  <c r="V84" i="64"/>
  <c r="R20" i="64"/>
  <c r="R28" i="64" s="1"/>
  <c r="V20" i="64"/>
  <c r="P28" i="64"/>
  <c r="R23" i="64"/>
  <c r="V23" i="64"/>
  <c r="R93" i="64"/>
  <c r="V93" i="64"/>
  <c r="P102" i="64"/>
  <c r="V102" i="64" s="1"/>
  <c r="P55" i="51"/>
  <c r="R89" i="64"/>
  <c r="V89" i="64"/>
  <c r="R48" i="64"/>
  <c r="V48" i="64"/>
  <c r="R85" i="64"/>
  <c r="V85" i="64"/>
  <c r="R98" i="64"/>
  <c r="V98" i="64"/>
  <c r="X18" i="64"/>
  <c r="R8" i="64"/>
  <c r="V8" i="64"/>
  <c r="P18" i="64"/>
  <c r="R16" i="64"/>
  <c r="V16" i="64"/>
  <c r="E4" i="74"/>
  <c r="E4" i="75"/>
  <c r="J129" i="64"/>
  <c r="R46" i="77" l="1"/>
  <c r="R127" i="64"/>
  <c r="R102" i="64"/>
  <c r="R30" i="79"/>
  <c r="R46" i="79" s="1"/>
  <c r="V30" i="79"/>
  <c r="P46" i="79"/>
  <c r="V46" i="79" s="1"/>
  <c r="R46" i="78"/>
  <c r="R30" i="78"/>
  <c r="V30" i="78"/>
  <c r="P46" i="78"/>
  <c r="V46" i="78" s="1"/>
  <c r="P46" i="77"/>
  <c r="V46" i="77" s="1"/>
  <c r="R30" i="77"/>
  <c r="V30" i="77"/>
  <c r="R91" i="64"/>
  <c r="R110" i="64" s="1"/>
  <c r="G4" i="74"/>
  <c r="G4" i="75"/>
  <c r="G30" i="75" s="1"/>
  <c r="N12" i="76"/>
  <c r="G30" i="74"/>
  <c r="R53" i="51"/>
  <c r="V53" i="51"/>
  <c r="P53" i="69"/>
  <c r="P110" i="64"/>
  <c r="V110" i="64" s="1"/>
  <c r="V28" i="64"/>
  <c r="Q12" i="76"/>
  <c r="R55" i="51"/>
  <c r="V55" i="51"/>
  <c r="P55" i="69"/>
  <c r="P58" i="69"/>
  <c r="V58" i="51"/>
  <c r="R58" i="51"/>
  <c r="R18" i="64"/>
  <c r="V18" i="64"/>
  <c r="U129" i="64"/>
  <c r="E30" i="75"/>
  <c r="E30" i="74"/>
  <c r="I4" i="74"/>
  <c r="X110" i="64"/>
  <c r="I4" i="75" l="1"/>
  <c r="I30" i="74"/>
  <c r="P112" i="64"/>
  <c r="P129" i="64" s="1"/>
  <c r="P12" i="76" s="1"/>
  <c r="R112" i="64"/>
  <c r="R129" i="64" s="1"/>
  <c r="R12" i="76" s="1"/>
  <c r="U12" i="76"/>
  <c r="I30" i="75"/>
  <c r="X112" i="64"/>
  <c r="X129" i="64"/>
  <c r="V112" i="64" l="1"/>
  <c r="V129" i="64"/>
  <c r="V12" i="76" s="1"/>
  <c r="W108" i="63"/>
  <c r="E95" i="63"/>
  <c r="W91" i="63"/>
  <c r="A91" i="63"/>
  <c r="X79" i="63"/>
  <c r="X74" i="63"/>
  <c r="X72" i="63"/>
  <c r="W65" i="63"/>
  <c r="W46" i="63"/>
  <c r="W28" i="63"/>
  <c r="W18" i="63"/>
  <c r="L7" i="63"/>
  <c r="K7" i="63"/>
  <c r="I7" i="63"/>
  <c r="H7" i="63"/>
  <c r="G7" i="63"/>
  <c r="F7" i="63"/>
  <c r="E7" i="63"/>
  <c r="D7" i="63"/>
  <c r="C7" i="63"/>
  <c r="B7" i="63"/>
  <c r="A7" i="63"/>
  <c r="I7" i="79" l="1"/>
  <c r="I7" i="78"/>
  <c r="I7" i="77"/>
  <c r="B7" i="79"/>
  <c r="B7" i="78"/>
  <c r="K7" i="78"/>
  <c r="K7" i="79"/>
  <c r="C7" i="79"/>
  <c r="C7" i="78"/>
  <c r="D7" i="78"/>
  <c r="D7" i="79"/>
  <c r="E95" i="79"/>
  <c r="E95" i="78"/>
  <c r="F7" i="78"/>
  <c r="F7" i="79"/>
  <c r="A7" i="79"/>
  <c r="A7" i="78"/>
  <c r="O7" i="63"/>
  <c r="L7" i="78"/>
  <c r="L7" i="79"/>
  <c r="E7" i="78"/>
  <c r="E7" i="79"/>
  <c r="G7" i="78"/>
  <c r="G7" i="79"/>
  <c r="H7" i="79"/>
  <c r="H7" i="78"/>
  <c r="H7" i="77"/>
  <c r="I7" i="66"/>
  <c r="I7" i="51"/>
  <c r="P7" i="63"/>
  <c r="H7" i="51"/>
  <c r="H7" i="66"/>
  <c r="P71" i="63"/>
  <c r="K117" i="63"/>
  <c r="B23" i="63"/>
  <c r="L118" i="63"/>
  <c r="I13" i="63"/>
  <c r="G20" i="63"/>
  <c r="X50" i="63"/>
  <c r="L99" i="63"/>
  <c r="D106" i="63"/>
  <c r="K115" i="63"/>
  <c r="C123" i="63"/>
  <c r="I125" i="63"/>
  <c r="E14" i="63"/>
  <c r="H21" i="63"/>
  <c r="A93" i="63"/>
  <c r="G100" i="63"/>
  <c r="X107" i="63"/>
  <c r="E116" i="63"/>
  <c r="L124" i="63"/>
  <c r="L15" i="63"/>
  <c r="X29" i="63"/>
  <c r="X45" i="63"/>
  <c r="K9" i="63"/>
  <c r="K9" i="51" s="1"/>
  <c r="C95" i="63"/>
  <c r="F119" i="63"/>
  <c r="I22" i="63"/>
  <c r="E8" i="63"/>
  <c r="K10" i="63"/>
  <c r="L25" i="63"/>
  <c r="X90" i="63"/>
  <c r="G96" i="63"/>
  <c r="L120" i="63"/>
  <c r="I16" i="63"/>
  <c r="X53" i="63"/>
  <c r="L11" i="63"/>
  <c r="H26" i="63"/>
  <c r="I97" i="63"/>
  <c r="D104" i="63"/>
  <c r="G121" i="63"/>
  <c r="G94" i="63"/>
  <c r="D12" i="63"/>
  <c r="X27" i="63"/>
  <c r="X49" i="63"/>
  <c r="K98" i="63"/>
  <c r="K105" i="63"/>
  <c r="L114" i="63"/>
  <c r="B122" i="63"/>
  <c r="W110" i="63"/>
  <c r="W112" i="63" s="1"/>
  <c r="W129" i="63" s="1"/>
  <c r="W11" i="76" s="1"/>
  <c r="E24" i="74"/>
  <c r="E24" i="75"/>
  <c r="D104" i="66"/>
  <c r="G99" i="63"/>
  <c r="I11" i="63"/>
  <c r="B94" i="63"/>
  <c r="D93" i="63"/>
  <c r="K97" i="63"/>
  <c r="F125" i="63"/>
  <c r="H93" i="63"/>
  <c r="I23" i="63"/>
  <c r="A10" i="63"/>
  <c r="D13" i="63"/>
  <c r="C13" i="63"/>
  <c r="F10" i="63"/>
  <c r="K13" i="63"/>
  <c r="H10" i="63"/>
  <c r="L13" i="63"/>
  <c r="C26" i="63"/>
  <c r="K14" i="63"/>
  <c r="L14" i="63"/>
  <c r="F96" i="63"/>
  <c r="I96" i="63"/>
  <c r="I10" i="63"/>
  <c r="B115" i="63"/>
  <c r="I122" i="63"/>
  <c r="A11" i="63"/>
  <c r="I104" i="63"/>
  <c r="K8" i="63"/>
  <c r="E15" i="63"/>
  <c r="A94" i="63"/>
  <c r="H98" i="63"/>
  <c r="A121" i="63"/>
  <c r="L121" i="63"/>
  <c r="A9" i="63"/>
  <c r="G11" i="63"/>
  <c r="B21" i="63"/>
  <c r="E26" i="63"/>
  <c r="D94" i="63"/>
  <c r="H96" i="63"/>
  <c r="D99" i="63"/>
  <c r="B118" i="63"/>
  <c r="C121" i="63"/>
  <c r="B121" i="63"/>
  <c r="H118" i="63"/>
  <c r="D121" i="63"/>
  <c r="K11" i="63"/>
  <c r="D95" i="63"/>
  <c r="K96" i="63"/>
  <c r="H99" i="63"/>
  <c r="H121" i="63"/>
  <c r="F115" i="63"/>
  <c r="I121" i="63"/>
  <c r="A124" i="63"/>
  <c r="K12" i="63"/>
  <c r="K95" i="63"/>
  <c r="F100" i="63"/>
  <c r="H105" i="63"/>
  <c r="G115" i="63"/>
  <c r="D124" i="63"/>
  <c r="I20" i="63"/>
  <c r="L95" i="63"/>
  <c r="K121" i="63"/>
  <c r="H124" i="63"/>
  <c r="D117" i="63"/>
  <c r="E13" i="63"/>
  <c r="I8" i="63"/>
  <c r="E10" i="63"/>
  <c r="D11" i="63"/>
  <c r="B13" i="63"/>
  <c r="G14" i="63"/>
  <c r="H20" i="63"/>
  <c r="L24" i="63"/>
  <c r="F98" i="63"/>
  <c r="C100" i="63"/>
  <c r="E104" i="63"/>
  <c r="A114" i="63"/>
  <c r="L117" i="63"/>
  <c r="D120" i="63"/>
  <c r="E122" i="63"/>
  <c r="D125" i="63"/>
  <c r="A20" i="63"/>
  <c r="A24" i="63"/>
  <c r="E94" i="63"/>
  <c r="E117" i="63"/>
  <c r="I9" i="63"/>
  <c r="L10" i="63"/>
  <c r="F13" i="63"/>
  <c r="A14" i="63"/>
  <c r="D20" i="63"/>
  <c r="B24" i="63"/>
  <c r="H94" i="63"/>
  <c r="F117" i="63"/>
  <c r="A8" i="63"/>
  <c r="G13" i="63"/>
  <c r="C14" i="63"/>
  <c r="E20" i="63"/>
  <c r="E24" i="63"/>
  <c r="L26" i="63"/>
  <c r="I94" i="63"/>
  <c r="G117" i="63"/>
  <c r="C8" i="63"/>
  <c r="H13" i="63"/>
  <c r="D14" i="63"/>
  <c r="F20" i="63"/>
  <c r="G24" i="63"/>
  <c r="A96" i="63"/>
  <c r="A116" i="63"/>
  <c r="H117" i="63"/>
  <c r="E121" i="63"/>
  <c r="A122" i="63"/>
  <c r="B117" i="63"/>
  <c r="H8" i="63"/>
  <c r="D10" i="63"/>
  <c r="C11" i="63"/>
  <c r="A13" i="63"/>
  <c r="B22" i="63"/>
  <c r="L94" i="63"/>
  <c r="B96" i="63"/>
  <c r="E98" i="63"/>
  <c r="B100" i="63"/>
  <c r="H116" i="63"/>
  <c r="A120" i="63"/>
  <c r="F121" i="63"/>
  <c r="D122" i="63"/>
  <c r="L9" i="63"/>
  <c r="G10" i="63"/>
  <c r="B11" i="63"/>
  <c r="F15" i="63"/>
  <c r="D16" i="63"/>
  <c r="K21" i="63"/>
  <c r="G93" i="63"/>
  <c r="C94" i="63"/>
  <c r="K94" i="63"/>
  <c r="L97" i="63"/>
  <c r="G98" i="63"/>
  <c r="E99" i="63"/>
  <c r="E100" i="63"/>
  <c r="C115" i="63"/>
  <c r="H122" i="63"/>
  <c r="F124" i="63"/>
  <c r="E125" i="63"/>
  <c r="I93" i="63"/>
  <c r="A98" i="63"/>
  <c r="I98" i="63"/>
  <c r="H100" i="63"/>
  <c r="I124" i="63"/>
  <c r="G125" i="63"/>
  <c r="D9" i="63"/>
  <c r="D21" i="63"/>
  <c r="F8" i="63"/>
  <c r="E9" i="63"/>
  <c r="B10" i="63"/>
  <c r="E11" i="63"/>
  <c r="C12" i="63"/>
  <c r="I15" i="63"/>
  <c r="E21" i="63"/>
  <c r="D22" i="63"/>
  <c r="E25" i="63"/>
  <c r="K93" i="63"/>
  <c r="F94" i="63"/>
  <c r="C96" i="63"/>
  <c r="A97" i="63"/>
  <c r="B98" i="63"/>
  <c r="I100" i="63"/>
  <c r="B114" i="63"/>
  <c r="H115" i="63"/>
  <c r="A117" i="63"/>
  <c r="O117" i="63" s="1"/>
  <c r="I117" i="63"/>
  <c r="I118" i="63"/>
  <c r="E120" i="63"/>
  <c r="L122" i="63"/>
  <c r="H125" i="63"/>
  <c r="I13" i="66"/>
  <c r="J81" i="66"/>
  <c r="B25" i="63"/>
  <c r="H15" i="63"/>
  <c r="C25" i="63"/>
  <c r="G8" i="63"/>
  <c r="F9" i="63"/>
  <c r="C10" i="63"/>
  <c r="F11" i="63"/>
  <c r="I12" i="63"/>
  <c r="A15" i="63"/>
  <c r="F21" i="63"/>
  <c r="G25" i="63"/>
  <c r="L93" i="63"/>
  <c r="E96" i="63"/>
  <c r="C97" i="63"/>
  <c r="C98" i="63"/>
  <c r="L98" i="63"/>
  <c r="E114" i="63"/>
  <c r="I120" i="63"/>
  <c r="D97" i="63"/>
  <c r="D98" i="63"/>
  <c r="A100" i="63"/>
  <c r="K100" i="63"/>
  <c r="C117" i="63"/>
  <c r="B125" i="63"/>
  <c r="K125" i="63"/>
  <c r="G15" i="63"/>
  <c r="G9" i="63"/>
  <c r="B15" i="63"/>
  <c r="K15" i="63"/>
  <c r="G21" i="63"/>
  <c r="A23" i="63"/>
  <c r="K25" i="63"/>
  <c r="H9" i="63"/>
  <c r="H11" i="63"/>
  <c r="C15" i="63"/>
  <c r="D23" i="63"/>
  <c r="C93" i="63"/>
  <c r="C125" i="63"/>
  <c r="L125" i="63"/>
  <c r="X55" i="63"/>
  <c r="A12" i="63"/>
  <c r="L12" i="63"/>
  <c r="G16" i="63"/>
  <c r="E22" i="63"/>
  <c r="K23" i="63"/>
  <c r="F22" i="63"/>
  <c r="H16" i="63"/>
  <c r="H16" i="66" s="1"/>
  <c r="H16" i="69" s="1"/>
  <c r="B8" i="63"/>
  <c r="F14" i="63"/>
  <c r="B14" i="63"/>
  <c r="E23" i="63"/>
  <c r="L23" i="63"/>
  <c r="C23" i="63"/>
  <c r="H23" i="63"/>
  <c r="E123" i="63"/>
  <c r="L123" i="63"/>
  <c r="D123" i="63"/>
  <c r="I123" i="63"/>
  <c r="A123" i="63"/>
  <c r="H123" i="63"/>
  <c r="F123" i="63"/>
  <c r="K123" i="63"/>
  <c r="G123" i="63"/>
  <c r="B123" i="63"/>
  <c r="B16" i="63"/>
  <c r="F16" i="63"/>
  <c r="G22" i="63"/>
  <c r="L22" i="63"/>
  <c r="C22" i="63"/>
  <c r="H22" i="63"/>
  <c r="B12" i="63"/>
  <c r="F12" i="63"/>
  <c r="D8" i="63"/>
  <c r="L8" i="63"/>
  <c r="B9" i="63"/>
  <c r="G12" i="63"/>
  <c r="H14" i="63"/>
  <c r="A16" i="63"/>
  <c r="L16" i="63"/>
  <c r="K22" i="63"/>
  <c r="F23" i="63"/>
  <c r="K24" i="63"/>
  <c r="C24" i="63"/>
  <c r="D24" i="63"/>
  <c r="I24" i="63"/>
  <c r="H24" i="63"/>
  <c r="F24" i="63"/>
  <c r="I25" i="63"/>
  <c r="A25" i="63"/>
  <c r="D25" i="63"/>
  <c r="H25" i="63"/>
  <c r="F25" i="63"/>
  <c r="K106" i="63"/>
  <c r="C106" i="63"/>
  <c r="B106" i="63"/>
  <c r="G106" i="63"/>
  <c r="A106" i="63"/>
  <c r="I106" i="63"/>
  <c r="F106" i="63"/>
  <c r="L106" i="63"/>
  <c r="H106" i="63"/>
  <c r="E106" i="63"/>
  <c r="E16" i="63"/>
  <c r="E12" i="63"/>
  <c r="K16" i="63"/>
  <c r="G26" i="63"/>
  <c r="K26" i="63"/>
  <c r="D26" i="63"/>
  <c r="A26" i="63"/>
  <c r="I26" i="63"/>
  <c r="F26" i="63"/>
  <c r="C9" i="63"/>
  <c r="H12" i="63"/>
  <c r="I14" i="63"/>
  <c r="C16" i="63"/>
  <c r="A22" i="63"/>
  <c r="G23" i="63"/>
  <c r="B26" i="63"/>
  <c r="E105" i="63"/>
  <c r="L105" i="63"/>
  <c r="D105" i="63"/>
  <c r="I105" i="63"/>
  <c r="A105" i="63"/>
  <c r="G105" i="63"/>
  <c r="F105" i="63"/>
  <c r="B105" i="63"/>
  <c r="C105" i="63"/>
  <c r="E119" i="63"/>
  <c r="L119" i="63"/>
  <c r="D119" i="63"/>
  <c r="I119" i="63"/>
  <c r="A119" i="63"/>
  <c r="K119" i="63"/>
  <c r="H119" i="63"/>
  <c r="G119" i="63"/>
  <c r="K20" i="63"/>
  <c r="C20" i="63"/>
  <c r="I21" i="63"/>
  <c r="A21" i="63"/>
  <c r="G104" i="63"/>
  <c r="F104" i="63"/>
  <c r="K104" i="63"/>
  <c r="C104" i="63"/>
  <c r="L104" i="63"/>
  <c r="H104" i="63"/>
  <c r="B104" i="63"/>
  <c r="X75" i="63"/>
  <c r="X76" i="63"/>
  <c r="B119" i="63"/>
  <c r="I91" i="63"/>
  <c r="K116" i="63"/>
  <c r="C116" i="63"/>
  <c r="B116" i="63"/>
  <c r="G116" i="63"/>
  <c r="L116" i="63"/>
  <c r="I116" i="63"/>
  <c r="F116" i="63"/>
  <c r="D116" i="63"/>
  <c r="C119" i="63"/>
  <c r="D15" i="63"/>
  <c r="B20" i="63"/>
  <c r="L20" i="63"/>
  <c r="C21" i="63"/>
  <c r="L21" i="63"/>
  <c r="A104" i="63"/>
  <c r="G114" i="63"/>
  <c r="F114" i="63"/>
  <c r="K114" i="63"/>
  <c r="C114" i="63"/>
  <c r="I114" i="63"/>
  <c r="H114" i="63"/>
  <c r="D114" i="63"/>
  <c r="X58" i="63"/>
  <c r="X85" i="63"/>
  <c r="B99" i="63"/>
  <c r="I99" i="63"/>
  <c r="A99" i="63"/>
  <c r="F99" i="63"/>
  <c r="C99" i="63"/>
  <c r="K99" i="63"/>
  <c r="G118" i="63"/>
  <c r="F118" i="63"/>
  <c r="K118" i="63"/>
  <c r="C118" i="63"/>
  <c r="E118" i="63"/>
  <c r="D118" i="63"/>
  <c r="A118" i="63"/>
  <c r="B95" i="63"/>
  <c r="I95" i="63"/>
  <c r="A95" i="63"/>
  <c r="F95" i="63"/>
  <c r="F97" i="63"/>
  <c r="E97" i="63"/>
  <c r="B97" i="63"/>
  <c r="K120" i="63"/>
  <c r="C120" i="63"/>
  <c r="B120" i="63"/>
  <c r="G120" i="63"/>
  <c r="G95" i="63"/>
  <c r="G97" i="63"/>
  <c r="F120" i="63"/>
  <c r="K124" i="63"/>
  <c r="C124" i="63"/>
  <c r="B124" i="63"/>
  <c r="G124" i="63"/>
  <c r="F93" i="63"/>
  <c r="E93" i="63"/>
  <c r="B93" i="63"/>
  <c r="H95" i="63"/>
  <c r="H97" i="63"/>
  <c r="E115" i="63"/>
  <c r="L115" i="63"/>
  <c r="D115" i="63"/>
  <c r="I115" i="63"/>
  <c r="A115" i="63"/>
  <c r="O115" i="63" s="1"/>
  <c r="H120" i="63"/>
  <c r="G122" i="63"/>
  <c r="F122" i="63"/>
  <c r="K122" i="63"/>
  <c r="C122" i="63"/>
  <c r="E124" i="63"/>
  <c r="D96" i="63"/>
  <c r="L96" i="63"/>
  <c r="D100" i="63"/>
  <c r="L100" i="63"/>
  <c r="A125" i="63"/>
  <c r="K93" i="79" l="1"/>
  <c r="K93" i="78"/>
  <c r="H20" i="77"/>
  <c r="H20" i="78"/>
  <c r="H20" i="79"/>
  <c r="O7" i="79"/>
  <c r="D96" i="79"/>
  <c r="D96" i="78"/>
  <c r="O16" i="63"/>
  <c r="I12" i="51"/>
  <c r="I12" i="79"/>
  <c r="I12" i="78"/>
  <c r="I12" i="77"/>
  <c r="F8" i="78"/>
  <c r="F18" i="78" s="1"/>
  <c r="F8" i="79"/>
  <c r="F8" i="77"/>
  <c r="I93" i="78"/>
  <c r="I93" i="79"/>
  <c r="B96" i="79"/>
  <c r="B96" i="78"/>
  <c r="G13" i="79"/>
  <c r="G13" i="78"/>
  <c r="G13" i="77"/>
  <c r="K12" i="51"/>
  <c r="K12" i="79"/>
  <c r="K12" i="78"/>
  <c r="K12" i="77"/>
  <c r="D94" i="78"/>
  <c r="D94" i="79"/>
  <c r="I96" i="79"/>
  <c r="I96" i="78"/>
  <c r="D93" i="79"/>
  <c r="D93" i="78"/>
  <c r="G96" i="78"/>
  <c r="G96" i="79"/>
  <c r="A104" i="51"/>
  <c r="A104" i="79"/>
  <c r="A104" i="78"/>
  <c r="O104" i="63"/>
  <c r="A104" i="77"/>
  <c r="F104" i="78"/>
  <c r="F104" i="79"/>
  <c r="F104" i="77"/>
  <c r="G23" i="77"/>
  <c r="G23" i="79"/>
  <c r="G23" i="78"/>
  <c r="O26" i="63"/>
  <c r="A26" i="77"/>
  <c r="A26" i="79"/>
  <c r="A26" i="78"/>
  <c r="H106" i="79"/>
  <c r="H106" i="78"/>
  <c r="H106" i="77"/>
  <c r="I24" i="78"/>
  <c r="I24" i="77"/>
  <c r="I24" i="79"/>
  <c r="H14" i="79"/>
  <c r="H14" i="78"/>
  <c r="H14" i="77"/>
  <c r="C22" i="77"/>
  <c r="C22" i="79"/>
  <c r="C22" i="78"/>
  <c r="C23" i="79"/>
  <c r="C23" i="77"/>
  <c r="C23" i="78"/>
  <c r="K23" i="78"/>
  <c r="K23" i="77"/>
  <c r="K23" i="79"/>
  <c r="C93" i="78"/>
  <c r="C93" i="79"/>
  <c r="K15" i="79"/>
  <c r="K15" i="78"/>
  <c r="K15" i="77"/>
  <c r="C98" i="79"/>
  <c r="C98" i="78"/>
  <c r="F11" i="78"/>
  <c r="F11" i="79"/>
  <c r="D22" i="77"/>
  <c r="D22" i="79"/>
  <c r="D22" i="78"/>
  <c r="D21" i="79"/>
  <c r="D21" i="77"/>
  <c r="D21" i="78"/>
  <c r="K94" i="78"/>
  <c r="K94" i="79"/>
  <c r="L9" i="79"/>
  <c r="L9" i="78"/>
  <c r="L18" i="78" s="1"/>
  <c r="L9" i="77"/>
  <c r="L94" i="79"/>
  <c r="L94" i="78"/>
  <c r="C8" i="79"/>
  <c r="C8" i="78"/>
  <c r="C8" i="77"/>
  <c r="O8" i="63"/>
  <c r="O18" i="63" s="1"/>
  <c r="A8" i="79"/>
  <c r="A8" i="78"/>
  <c r="A8" i="77"/>
  <c r="I9" i="78"/>
  <c r="I9" i="79"/>
  <c r="I9" i="77"/>
  <c r="B13" i="78"/>
  <c r="B13" i="79"/>
  <c r="B13" i="77"/>
  <c r="L95" i="79"/>
  <c r="L95" i="78"/>
  <c r="O124" i="63"/>
  <c r="E26" i="79"/>
  <c r="E26" i="78"/>
  <c r="E26" i="77"/>
  <c r="E15" i="51"/>
  <c r="E15" i="79"/>
  <c r="E15" i="78"/>
  <c r="E15" i="77"/>
  <c r="F96" i="79"/>
  <c r="F96" i="78"/>
  <c r="C13" i="78"/>
  <c r="C13" i="79"/>
  <c r="C13" i="77"/>
  <c r="B94" i="79"/>
  <c r="B94" i="78"/>
  <c r="D104" i="51"/>
  <c r="D104" i="79"/>
  <c r="D104" i="78"/>
  <c r="D104" i="77"/>
  <c r="H21" i="78"/>
  <c r="H21" i="79"/>
  <c r="G20" i="77"/>
  <c r="G20" i="79"/>
  <c r="G20" i="78"/>
  <c r="O23" i="63"/>
  <c r="A23" i="77"/>
  <c r="A23" i="79"/>
  <c r="A23" i="78"/>
  <c r="A15" i="51"/>
  <c r="A15" i="79"/>
  <c r="A15" i="78"/>
  <c r="O15" i="63"/>
  <c r="A15" i="77"/>
  <c r="O98" i="63"/>
  <c r="P98" i="63" s="1"/>
  <c r="A98" i="78"/>
  <c r="A98" i="79"/>
  <c r="E98" i="79"/>
  <c r="E98" i="78"/>
  <c r="H124" i="51"/>
  <c r="H124" i="79"/>
  <c r="H124" i="77"/>
  <c r="H124" i="78"/>
  <c r="H96" i="78"/>
  <c r="H96" i="79"/>
  <c r="K13" i="78"/>
  <c r="K13" i="79"/>
  <c r="K13" i="77"/>
  <c r="G94" i="78"/>
  <c r="G94" i="79"/>
  <c r="C95" i="78"/>
  <c r="C95" i="79"/>
  <c r="G100" i="79"/>
  <c r="G100" i="78"/>
  <c r="G10" i="78"/>
  <c r="G10" i="79"/>
  <c r="B95" i="78"/>
  <c r="B95" i="79"/>
  <c r="K99" i="78"/>
  <c r="K99" i="79"/>
  <c r="L21" i="79"/>
  <c r="L21" i="77"/>
  <c r="L21" i="78"/>
  <c r="G104" i="79"/>
  <c r="G104" i="78"/>
  <c r="G104" i="77"/>
  <c r="O119" i="63"/>
  <c r="O22" i="63"/>
  <c r="A22" i="78"/>
  <c r="A22" i="77"/>
  <c r="A22" i="79"/>
  <c r="D26" i="79"/>
  <c r="D26" i="77"/>
  <c r="D26" i="78"/>
  <c r="F25" i="77"/>
  <c r="F25" i="79"/>
  <c r="F25" i="78"/>
  <c r="D24" i="77"/>
  <c r="D24" i="79"/>
  <c r="D24" i="78"/>
  <c r="G12" i="79"/>
  <c r="G12" i="78"/>
  <c r="G12" i="77"/>
  <c r="L22" i="77"/>
  <c r="L22" i="78"/>
  <c r="L22" i="79"/>
  <c r="H123" i="51"/>
  <c r="H123" i="79"/>
  <c r="H123" i="78"/>
  <c r="H123" i="77"/>
  <c r="L23" i="77"/>
  <c r="L23" i="78"/>
  <c r="L23" i="79"/>
  <c r="E22" i="77"/>
  <c r="E22" i="79"/>
  <c r="E22" i="78"/>
  <c r="D23" i="77"/>
  <c r="D23" i="78"/>
  <c r="D23" i="79"/>
  <c r="B15" i="51"/>
  <c r="B15" i="79"/>
  <c r="B15" i="78"/>
  <c r="B15" i="77"/>
  <c r="K100" i="79"/>
  <c r="K100" i="78"/>
  <c r="C97" i="78"/>
  <c r="C97" i="79"/>
  <c r="C10" i="79"/>
  <c r="C10" i="78"/>
  <c r="H125" i="51"/>
  <c r="H125" i="77"/>
  <c r="H125" i="79"/>
  <c r="H125" i="78"/>
  <c r="I100" i="79"/>
  <c r="I100" i="78"/>
  <c r="E21" i="78"/>
  <c r="E21" i="77"/>
  <c r="E21" i="79"/>
  <c r="D9" i="79"/>
  <c r="D9" i="78"/>
  <c r="D9" i="77"/>
  <c r="C94" i="79"/>
  <c r="C94" i="78"/>
  <c r="B22" i="79"/>
  <c r="B22" i="77"/>
  <c r="B22" i="78"/>
  <c r="H117" i="51"/>
  <c r="H117" i="77"/>
  <c r="H117" i="79"/>
  <c r="H117" i="78"/>
  <c r="O114" i="63"/>
  <c r="O127" i="63" s="1"/>
  <c r="D11" i="79"/>
  <c r="D11" i="78"/>
  <c r="I20" i="77"/>
  <c r="I20" i="78"/>
  <c r="I20" i="79"/>
  <c r="H118" i="51"/>
  <c r="H118" i="79"/>
  <c r="H118" i="77"/>
  <c r="H118" i="78"/>
  <c r="B21" i="78"/>
  <c r="B21" i="79"/>
  <c r="K8" i="79"/>
  <c r="K8" i="78"/>
  <c r="K8" i="77"/>
  <c r="L14" i="78"/>
  <c r="L14" i="79"/>
  <c r="L14" i="77"/>
  <c r="D13" i="78"/>
  <c r="D13" i="79"/>
  <c r="D13" i="77"/>
  <c r="I11" i="51"/>
  <c r="I11" i="78"/>
  <c r="I11" i="79"/>
  <c r="I11" i="77"/>
  <c r="I18" i="77" s="1"/>
  <c r="I97" i="78"/>
  <c r="I97" i="79"/>
  <c r="L25" i="79"/>
  <c r="L25" i="78"/>
  <c r="L25" i="77"/>
  <c r="E14" i="66"/>
  <c r="E14" i="78"/>
  <c r="E14" i="79"/>
  <c r="E14" i="77"/>
  <c r="I13" i="51"/>
  <c r="I13" i="79"/>
  <c r="I13" i="78"/>
  <c r="I13" i="77"/>
  <c r="G95" i="78"/>
  <c r="G95" i="79"/>
  <c r="B12" i="79"/>
  <c r="B12" i="78"/>
  <c r="B12" i="77"/>
  <c r="G98" i="78"/>
  <c r="G98" i="79"/>
  <c r="F13" i="79"/>
  <c r="F13" i="78"/>
  <c r="F13" i="77"/>
  <c r="I10" i="78"/>
  <c r="I10" i="79"/>
  <c r="I10" i="77"/>
  <c r="F93" i="78"/>
  <c r="F93" i="79"/>
  <c r="I26" i="77"/>
  <c r="I26" i="78"/>
  <c r="I26" i="79"/>
  <c r="H23" i="79"/>
  <c r="H23" i="78"/>
  <c r="H23" i="77"/>
  <c r="H115" i="79"/>
  <c r="H115" i="78"/>
  <c r="L10" i="79"/>
  <c r="L10" i="78"/>
  <c r="I95" i="78"/>
  <c r="I95" i="79"/>
  <c r="O118" i="63"/>
  <c r="C99" i="79"/>
  <c r="C99" i="78"/>
  <c r="H114" i="51"/>
  <c r="H114" i="79"/>
  <c r="H114" i="78"/>
  <c r="H114" i="77"/>
  <c r="C21" i="78"/>
  <c r="C21" i="77"/>
  <c r="C21" i="79"/>
  <c r="O21" i="63"/>
  <c r="A21" i="79"/>
  <c r="A21" i="78"/>
  <c r="A21" i="77"/>
  <c r="O105" i="63"/>
  <c r="P105" i="63" s="1"/>
  <c r="K26" i="79"/>
  <c r="K26" i="78"/>
  <c r="K26" i="77"/>
  <c r="H25" i="77"/>
  <c r="H25" i="79"/>
  <c r="H25" i="78"/>
  <c r="C24" i="79"/>
  <c r="C24" i="77"/>
  <c r="C24" i="78"/>
  <c r="B9" i="51"/>
  <c r="B9" i="79"/>
  <c r="B9" i="78"/>
  <c r="B9" i="77"/>
  <c r="G22" i="77"/>
  <c r="G22" i="79"/>
  <c r="G22" i="78"/>
  <c r="O123" i="63"/>
  <c r="E23" i="78"/>
  <c r="E23" i="79"/>
  <c r="E23" i="77"/>
  <c r="C15" i="51"/>
  <c r="C15" i="79"/>
  <c r="C15" i="78"/>
  <c r="C15" i="77"/>
  <c r="G9" i="78"/>
  <c r="G9" i="79"/>
  <c r="G9" i="77"/>
  <c r="O100" i="63"/>
  <c r="A100" i="79"/>
  <c r="A100" i="78"/>
  <c r="E96" i="78"/>
  <c r="E96" i="79"/>
  <c r="F9" i="79"/>
  <c r="F9" i="78"/>
  <c r="F9" i="77"/>
  <c r="B98" i="79"/>
  <c r="B98" i="78"/>
  <c r="I15" i="51"/>
  <c r="I15" i="79"/>
  <c r="I15" i="78"/>
  <c r="I15" i="77"/>
  <c r="H122" i="51"/>
  <c r="H122" i="79"/>
  <c r="H122" i="78"/>
  <c r="H122" i="77"/>
  <c r="G93" i="78"/>
  <c r="G93" i="79"/>
  <c r="A13" i="79"/>
  <c r="A13" i="78"/>
  <c r="O13" i="63"/>
  <c r="A13" i="77"/>
  <c r="O116" i="63"/>
  <c r="I94" i="79"/>
  <c r="I94" i="78"/>
  <c r="H94" i="78"/>
  <c r="H94" i="79"/>
  <c r="E94" i="79"/>
  <c r="E94" i="78"/>
  <c r="E104" i="78"/>
  <c r="E104" i="79"/>
  <c r="E104" i="77"/>
  <c r="E10" i="79"/>
  <c r="E10" i="78"/>
  <c r="G11" i="78"/>
  <c r="G11" i="79"/>
  <c r="I104" i="51"/>
  <c r="I104" i="79"/>
  <c r="I104" i="78"/>
  <c r="I104" i="77"/>
  <c r="K14" i="51"/>
  <c r="K14" i="79"/>
  <c r="K14" i="78"/>
  <c r="K14" i="77"/>
  <c r="A10" i="78"/>
  <c r="A10" i="79"/>
  <c r="O10" i="63"/>
  <c r="G99" i="79"/>
  <c r="G99" i="78"/>
  <c r="K98" i="79"/>
  <c r="K98" i="78"/>
  <c r="H26" i="77"/>
  <c r="H26" i="78"/>
  <c r="H26" i="79"/>
  <c r="K10" i="79"/>
  <c r="K10" i="78"/>
  <c r="L15" i="51"/>
  <c r="L15" i="79"/>
  <c r="L15" i="78"/>
  <c r="L15" i="77"/>
  <c r="E93" i="79"/>
  <c r="E93" i="78"/>
  <c r="B99" i="79"/>
  <c r="B99" i="78"/>
  <c r="C104" i="51"/>
  <c r="C104" i="79"/>
  <c r="C104" i="78"/>
  <c r="C104" i="77"/>
  <c r="E9" i="79"/>
  <c r="E9" i="78"/>
  <c r="E9" i="77"/>
  <c r="D14" i="78"/>
  <c r="D14" i="79"/>
  <c r="D14" i="77"/>
  <c r="D95" i="79"/>
  <c r="D95" i="78"/>
  <c r="B26" i="79"/>
  <c r="B26" i="78"/>
  <c r="B26" i="77"/>
  <c r="O125" i="63"/>
  <c r="H97" i="78"/>
  <c r="H97" i="79"/>
  <c r="B97" i="78"/>
  <c r="B97" i="79"/>
  <c r="F99" i="79"/>
  <c r="F99" i="78"/>
  <c r="L20" i="77"/>
  <c r="L20" i="79"/>
  <c r="L20" i="78"/>
  <c r="B104" i="51"/>
  <c r="B104" i="78"/>
  <c r="B104" i="79"/>
  <c r="B104" i="77"/>
  <c r="I21" i="78"/>
  <c r="I21" i="77"/>
  <c r="I21" i="79"/>
  <c r="I14" i="51"/>
  <c r="I14" i="79"/>
  <c r="I14" i="78"/>
  <c r="I14" i="77"/>
  <c r="G26" i="77"/>
  <c r="G26" i="78"/>
  <c r="G26" i="79"/>
  <c r="D25" i="78"/>
  <c r="D25" i="77"/>
  <c r="D25" i="79"/>
  <c r="K24" i="78"/>
  <c r="K24" i="77"/>
  <c r="K24" i="79"/>
  <c r="L8" i="78"/>
  <c r="L8" i="79"/>
  <c r="L8" i="77"/>
  <c r="B14" i="78"/>
  <c r="B14" i="79"/>
  <c r="B14" i="77"/>
  <c r="L12" i="51"/>
  <c r="L12" i="79"/>
  <c r="L12" i="78"/>
  <c r="L12" i="77"/>
  <c r="H11" i="51"/>
  <c r="H11" i="78"/>
  <c r="H11" i="79"/>
  <c r="H11" i="77"/>
  <c r="G15" i="51"/>
  <c r="G15" i="78"/>
  <c r="G15" i="79"/>
  <c r="G15" i="77"/>
  <c r="D98" i="78"/>
  <c r="D98" i="79"/>
  <c r="L93" i="79"/>
  <c r="L93" i="78"/>
  <c r="G8" i="79"/>
  <c r="G8" i="78"/>
  <c r="G8" i="77"/>
  <c r="O97" i="63"/>
  <c r="A97" i="78"/>
  <c r="A97" i="79"/>
  <c r="C12" i="79"/>
  <c r="C12" i="78"/>
  <c r="C12" i="77"/>
  <c r="K21" i="79"/>
  <c r="K21" i="77"/>
  <c r="K21" i="78"/>
  <c r="O120" i="63"/>
  <c r="P120" i="63" s="1"/>
  <c r="C11" i="79"/>
  <c r="C11" i="78"/>
  <c r="A96" i="78"/>
  <c r="A96" i="79"/>
  <c r="O96" i="63"/>
  <c r="L26" i="78"/>
  <c r="L26" i="77"/>
  <c r="L26" i="79"/>
  <c r="B24" i="78"/>
  <c r="B24" i="77"/>
  <c r="B24" i="79"/>
  <c r="O24" i="63"/>
  <c r="A24" i="78"/>
  <c r="A24" i="79"/>
  <c r="A24" i="77"/>
  <c r="C100" i="78"/>
  <c r="C100" i="79"/>
  <c r="I8" i="51"/>
  <c r="I8" i="79"/>
  <c r="I8" i="78"/>
  <c r="I8" i="77"/>
  <c r="A9" i="51"/>
  <c r="A9" i="78"/>
  <c r="A9" i="79"/>
  <c r="O9" i="63"/>
  <c r="A9" i="77"/>
  <c r="A11" i="78"/>
  <c r="A11" i="79"/>
  <c r="O11" i="63"/>
  <c r="C26" i="78"/>
  <c r="C26" i="77"/>
  <c r="C26" i="79"/>
  <c r="I23" i="79"/>
  <c r="I23" i="77"/>
  <c r="I23" i="78"/>
  <c r="L11" i="79"/>
  <c r="L11" i="78"/>
  <c r="E8" i="79"/>
  <c r="E8" i="78"/>
  <c r="E8" i="77"/>
  <c r="B23" i="79"/>
  <c r="B23" i="78"/>
  <c r="B23" i="77"/>
  <c r="L96" i="79"/>
  <c r="L96" i="78"/>
  <c r="F95" i="79"/>
  <c r="F95" i="78"/>
  <c r="F26" i="78"/>
  <c r="F26" i="77"/>
  <c r="F26" i="79"/>
  <c r="B11" i="79"/>
  <c r="B11" i="78"/>
  <c r="K95" i="79"/>
  <c r="K95" i="78"/>
  <c r="H98" i="79"/>
  <c r="H98" i="78"/>
  <c r="K97" i="78"/>
  <c r="K97" i="79"/>
  <c r="L99" i="79"/>
  <c r="L99" i="78"/>
  <c r="K104" i="51"/>
  <c r="K104" i="79"/>
  <c r="K104" i="78"/>
  <c r="K104" i="77"/>
  <c r="F22" i="77"/>
  <c r="F22" i="78"/>
  <c r="F22" i="79"/>
  <c r="L97" i="79"/>
  <c r="L97" i="78"/>
  <c r="L100" i="78"/>
  <c r="L100" i="79"/>
  <c r="H95" i="79"/>
  <c r="H95" i="78"/>
  <c r="E97" i="78"/>
  <c r="E97" i="79"/>
  <c r="O99" i="63"/>
  <c r="P99" i="63" s="1"/>
  <c r="A99" i="78"/>
  <c r="A99" i="79"/>
  <c r="B20" i="77"/>
  <c r="B20" i="79"/>
  <c r="B20" i="78"/>
  <c r="H104" i="78"/>
  <c r="H104" i="79"/>
  <c r="H104" i="77"/>
  <c r="C20" i="77"/>
  <c r="C20" i="79"/>
  <c r="C20" i="78"/>
  <c r="H12" i="51"/>
  <c r="H12" i="78"/>
  <c r="H12" i="79"/>
  <c r="H12" i="77"/>
  <c r="O106" i="63"/>
  <c r="O25" i="63"/>
  <c r="A25" i="77"/>
  <c r="A25" i="79"/>
  <c r="A25" i="78"/>
  <c r="F23" i="79"/>
  <c r="F23" i="77"/>
  <c r="F23" i="78"/>
  <c r="D8" i="79"/>
  <c r="D8" i="78"/>
  <c r="D8" i="77"/>
  <c r="F14" i="51"/>
  <c r="F14" i="79"/>
  <c r="F14" i="78"/>
  <c r="F14" i="77"/>
  <c r="O12" i="63"/>
  <c r="A12" i="78"/>
  <c r="A12" i="79"/>
  <c r="A12" i="77"/>
  <c r="H9" i="78"/>
  <c r="H9" i="79"/>
  <c r="H9" i="77"/>
  <c r="D97" i="79"/>
  <c r="D97" i="78"/>
  <c r="G25" i="77"/>
  <c r="G25" i="79"/>
  <c r="G25" i="78"/>
  <c r="C25" i="78"/>
  <c r="C25" i="77"/>
  <c r="C25" i="79"/>
  <c r="C96" i="79"/>
  <c r="C96" i="78"/>
  <c r="E11" i="79"/>
  <c r="E11" i="78"/>
  <c r="H100" i="78"/>
  <c r="H100" i="79"/>
  <c r="E100" i="78"/>
  <c r="E100" i="79"/>
  <c r="H116" i="51"/>
  <c r="H116" i="77"/>
  <c r="H116" i="78"/>
  <c r="H116" i="79"/>
  <c r="D10" i="79"/>
  <c r="D10" i="78"/>
  <c r="G24" i="77"/>
  <c r="G24" i="79"/>
  <c r="G24" i="78"/>
  <c r="E24" i="78"/>
  <c r="E24" i="77"/>
  <c r="E24" i="79"/>
  <c r="D20" i="77"/>
  <c r="D20" i="79"/>
  <c r="D20" i="78"/>
  <c r="O20" i="63"/>
  <c r="A20" i="78"/>
  <c r="A20" i="77"/>
  <c r="A20" i="79"/>
  <c r="F98" i="79"/>
  <c r="F98" i="78"/>
  <c r="E13" i="78"/>
  <c r="E13" i="79"/>
  <c r="E13" i="77"/>
  <c r="H105" i="77"/>
  <c r="H105" i="78"/>
  <c r="H108" i="78" s="1"/>
  <c r="H105" i="79"/>
  <c r="H99" i="79"/>
  <c r="H99" i="78"/>
  <c r="L13" i="78"/>
  <c r="L13" i="79"/>
  <c r="L13" i="77"/>
  <c r="H93" i="78"/>
  <c r="H93" i="79"/>
  <c r="I22" i="79"/>
  <c r="I22" i="77"/>
  <c r="I22" i="78"/>
  <c r="F24" i="77"/>
  <c r="F24" i="79"/>
  <c r="F24" i="78"/>
  <c r="B25" i="77"/>
  <c r="B25" i="78"/>
  <c r="B25" i="79"/>
  <c r="C14" i="78"/>
  <c r="C14" i="79"/>
  <c r="C14" i="77"/>
  <c r="O95" i="63"/>
  <c r="A95" i="79"/>
  <c r="A95" i="78"/>
  <c r="H24" i="79"/>
  <c r="H24" i="77"/>
  <c r="H24" i="78"/>
  <c r="H22" i="79"/>
  <c r="H22" i="78"/>
  <c r="H22" i="77"/>
  <c r="G21" i="78"/>
  <c r="G21" i="79"/>
  <c r="G21" i="77"/>
  <c r="L98" i="79"/>
  <c r="L98" i="78"/>
  <c r="E25" i="77"/>
  <c r="E25" i="79"/>
  <c r="E25" i="78"/>
  <c r="O122" i="63"/>
  <c r="H13" i="79"/>
  <c r="H13" i="78"/>
  <c r="H13" i="77"/>
  <c r="G14" i="79"/>
  <c r="G14" i="78"/>
  <c r="G14" i="77"/>
  <c r="K11" i="79"/>
  <c r="K11" i="78"/>
  <c r="O94" i="63"/>
  <c r="A94" i="79"/>
  <c r="A94" i="78"/>
  <c r="F10" i="78"/>
  <c r="F10" i="79"/>
  <c r="K9" i="79"/>
  <c r="K9" i="78"/>
  <c r="K9" i="77"/>
  <c r="O93" i="63"/>
  <c r="O102" i="63" s="1"/>
  <c r="A93" i="79"/>
  <c r="A93" i="78"/>
  <c r="D100" i="78"/>
  <c r="D100" i="79"/>
  <c r="B93" i="78"/>
  <c r="B93" i="79"/>
  <c r="G97" i="79"/>
  <c r="G97" i="78"/>
  <c r="F97" i="78"/>
  <c r="F97" i="79"/>
  <c r="I99" i="79"/>
  <c r="I99" i="78"/>
  <c r="D15" i="51"/>
  <c r="D15" i="78"/>
  <c r="D15" i="79"/>
  <c r="D15" i="77"/>
  <c r="L104" i="79"/>
  <c r="L104" i="78"/>
  <c r="L104" i="77"/>
  <c r="K20" i="77"/>
  <c r="K20" i="78"/>
  <c r="K20" i="79"/>
  <c r="C9" i="79"/>
  <c r="C9" i="78"/>
  <c r="C18" i="78" s="1"/>
  <c r="C9" i="77"/>
  <c r="E12" i="79"/>
  <c r="E12" i="78"/>
  <c r="E12" i="77"/>
  <c r="I25" i="77"/>
  <c r="I25" i="79"/>
  <c r="I25" i="78"/>
  <c r="K22" i="79"/>
  <c r="K22" i="77"/>
  <c r="K22" i="78"/>
  <c r="F12" i="79"/>
  <c r="F12" i="78"/>
  <c r="F12" i="77"/>
  <c r="B8" i="79"/>
  <c r="B18" i="79" s="1"/>
  <c r="B8" i="78"/>
  <c r="B8" i="77"/>
  <c r="K25" i="79"/>
  <c r="K25" i="78"/>
  <c r="K25" i="77"/>
  <c r="K9" i="66"/>
  <c r="F21" i="78"/>
  <c r="F21" i="79"/>
  <c r="H15" i="51"/>
  <c r="H15" i="78"/>
  <c r="H15" i="79"/>
  <c r="H15" i="77"/>
  <c r="F94" i="78"/>
  <c r="F94" i="79"/>
  <c r="B10" i="78"/>
  <c r="B10" i="79"/>
  <c r="I98" i="79"/>
  <c r="I98" i="78"/>
  <c r="E99" i="79"/>
  <c r="E99" i="78"/>
  <c r="F15" i="51"/>
  <c r="F15" i="78"/>
  <c r="F15" i="79"/>
  <c r="F15" i="77"/>
  <c r="B100" i="79"/>
  <c r="B100" i="78"/>
  <c r="H8" i="51"/>
  <c r="H8" i="79"/>
  <c r="H18" i="79" s="1"/>
  <c r="H8" i="78"/>
  <c r="H8" i="77"/>
  <c r="H18" i="77" s="1"/>
  <c r="F20" i="79"/>
  <c r="F20" i="78"/>
  <c r="F20" i="77"/>
  <c r="E20" i="77"/>
  <c r="E20" i="79"/>
  <c r="E20" i="78"/>
  <c r="A14" i="51"/>
  <c r="A14" i="79"/>
  <c r="A14" i="78"/>
  <c r="O14" i="63"/>
  <c r="A14" i="77"/>
  <c r="L24" i="79"/>
  <c r="L24" i="77"/>
  <c r="L24" i="78"/>
  <c r="F100" i="78"/>
  <c r="F100" i="79"/>
  <c r="K96" i="79"/>
  <c r="K96" i="78"/>
  <c r="D99" i="78"/>
  <c r="D99" i="79"/>
  <c r="O121" i="63"/>
  <c r="H10" i="78"/>
  <c r="H10" i="79"/>
  <c r="H10" i="77"/>
  <c r="D12" i="79"/>
  <c r="D12" i="78"/>
  <c r="D12" i="77"/>
  <c r="I16" i="66"/>
  <c r="I16" i="79"/>
  <c r="O16" i="79" s="1"/>
  <c r="P16" i="79" s="1"/>
  <c r="I16" i="78"/>
  <c r="O16" i="78" s="1"/>
  <c r="P16" i="78" s="1"/>
  <c r="I16" i="77"/>
  <c r="O16" i="77" s="1"/>
  <c r="P16" i="77" s="1"/>
  <c r="O7" i="78"/>
  <c r="I18" i="79"/>
  <c r="R7" i="63"/>
  <c r="V7" i="63"/>
  <c r="V71" i="63"/>
  <c r="R71" i="63"/>
  <c r="I7" i="69"/>
  <c r="H7" i="69"/>
  <c r="D108" i="63"/>
  <c r="I16" i="51"/>
  <c r="N16" i="51" s="1"/>
  <c r="P16" i="51" s="1"/>
  <c r="E14" i="51"/>
  <c r="O12" i="51"/>
  <c r="X71" i="63"/>
  <c r="K14" i="66"/>
  <c r="D104" i="69"/>
  <c r="I11" i="66"/>
  <c r="I11" i="69" s="1"/>
  <c r="I104" i="66"/>
  <c r="I104" i="69" s="1"/>
  <c r="I10" i="66"/>
  <c r="I10" i="51"/>
  <c r="C9" i="66"/>
  <c r="C9" i="51"/>
  <c r="H14" i="66"/>
  <c r="H14" i="51"/>
  <c r="H9" i="66"/>
  <c r="H9" i="51"/>
  <c r="G9" i="66"/>
  <c r="G9" i="51"/>
  <c r="C14" i="66"/>
  <c r="C14" i="51"/>
  <c r="G104" i="66"/>
  <c r="G104" i="51"/>
  <c r="I9" i="66"/>
  <c r="I9" i="51"/>
  <c r="F9" i="66"/>
  <c r="F9" i="51"/>
  <c r="D9" i="66"/>
  <c r="D9" i="51"/>
  <c r="D14" i="66"/>
  <c r="D14" i="51"/>
  <c r="X51" i="63"/>
  <c r="E104" i="66"/>
  <c r="E104" i="51"/>
  <c r="G14" i="66"/>
  <c r="G14" i="51"/>
  <c r="L14" i="66"/>
  <c r="L14" i="51"/>
  <c r="H10" i="66"/>
  <c r="H10" i="51"/>
  <c r="H48" i="66"/>
  <c r="H48" i="51"/>
  <c r="H104" i="66"/>
  <c r="H104" i="51"/>
  <c r="F104" i="66"/>
  <c r="F104" i="51"/>
  <c r="B14" i="66"/>
  <c r="B14" i="51"/>
  <c r="P57" i="63"/>
  <c r="K15" i="51"/>
  <c r="E9" i="66"/>
  <c r="E9" i="51"/>
  <c r="H13" i="66"/>
  <c r="H13" i="51"/>
  <c r="P60" i="63"/>
  <c r="P56" i="63"/>
  <c r="P115" i="63"/>
  <c r="P62" i="63"/>
  <c r="P61" i="63"/>
  <c r="P54" i="63"/>
  <c r="X24" i="63"/>
  <c r="P124" i="63"/>
  <c r="P15" i="63"/>
  <c r="X116" i="63"/>
  <c r="X121" i="63"/>
  <c r="P118" i="63"/>
  <c r="P117" i="63"/>
  <c r="P63" i="63"/>
  <c r="P11" i="63"/>
  <c r="A9" i="66"/>
  <c r="A9" i="69" s="1"/>
  <c r="P9" i="63"/>
  <c r="P25" i="63"/>
  <c r="X96" i="63"/>
  <c r="K8" i="66"/>
  <c r="X14" i="63"/>
  <c r="X114" i="63"/>
  <c r="I8" i="66"/>
  <c r="I8" i="69" s="1"/>
  <c r="K9" i="69"/>
  <c r="H8" i="66"/>
  <c r="H8" i="69" s="1"/>
  <c r="K8" i="51"/>
  <c r="K18" i="63"/>
  <c r="X36" i="63"/>
  <c r="X42" i="63"/>
  <c r="E102" i="63"/>
  <c r="F102" i="63"/>
  <c r="X43" i="63"/>
  <c r="J46" i="63"/>
  <c r="A104" i="66"/>
  <c r="A104" i="69" s="1"/>
  <c r="X97" i="63"/>
  <c r="E108" i="63"/>
  <c r="G18" i="63"/>
  <c r="C102" i="63"/>
  <c r="X33" i="63"/>
  <c r="F18" i="63"/>
  <c r="X23" i="63"/>
  <c r="A14" i="66"/>
  <c r="A14" i="69" s="1"/>
  <c r="I18" i="63"/>
  <c r="I14" i="66"/>
  <c r="J9" i="66"/>
  <c r="J14" i="66"/>
  <c r="D102" i="63"/>
  <c r="L127" i="63"/>
  <c r="H12" i="66"/>
  <c r="B9" i="66"/>
  <c r="F14" i="66"/>
  <c r="E127" i="63"/>
  <c r="D18" i="63"/>
  <c r="B18" i="63"/>
  <c r="I15" i="66"/>
  <c r="L9" i="66"/>
  <c r="L9" i="51"/>
  <c r="O9" i="51" s="1"/>
  <c r="G102" i="63"/>
  <c r="I102" i="63"/>
  <c r="J104" i="66"/>
  <c r="E18" i="63"/>
  <c r="J81" i="69"/>
  <c r="L18" i="63"/>
  <c r="L8" i="66"/>
  <c r="L8" i="51"/>
  <c r="J8" i="66"/>
  <c r="J8" i="51"/>
  <c r="J91" i="63"/>
  <c r="K127" i="63"/>
  <c r="C65" i="63"/>
  <c r="H15" i="66"/>
  <c r="L102" i="63"/>
  <c r="B108" i="63"/>
  <c r="B104" i="66"/>
  <c r="B104" i="69" s="1"/>
  <c r="B102" i="63"/>
  <c r="J102" i="63"/>
  <c r="K102" i="63"/>
  <c r="C108" i="63"/>
  <c r="C104" i="66"/>
  <c r="F65" i="63"/>
  <c r="K65" i="63"/>
  <c r="B46" i="63"/>
  <c r="H11" i="66"/>
  <c r="K108" i="63"/>
  <c r="K104" i="66"/>
  <c r="C18" i="63"/>
  <c r="I12" i="66"/>
  <c r="I13" i="69"/>
  <c r="A46" i="63"/>
  <c r="L46" i="63"/>
  <c r="E46" i="63"/>
  <c r="G127" i="63"/>
  <c r="B127" i="63"/>
  <c r="G108" i="63"/>
  <c r="L65" i="63"/>
  <c r="C46" i="63"/>
  <c r="I46" i="63"/>
  <c r="A127" i="63"/>
  <c r="K46" i="63"/>
  <c r="D65" i="63"/>
  <c r="I108" i="63"/>
  <c r="A28" i="63"/>
  <c r="D127" i="63"/>
  <c r="A108" i="63"/>
  <c r="H108" i="63"/>
  <c r="A65" i="63"/>
  <c r="G46" i="63"/>
  <c r="X39" i="63"/>
  <c r="F127" i="63"/>
  <c r="H127" i="63"/>
  <c r="J108" i="63"/>
  <c r="B65" i="63"/>
  <c r="D46" i="63"/>
  <c r="I65" i="63"/>
  <c r="H18" i="63"/>
  <c r="J127" i="63"/>
  <c r="H91" i="63"/>
  <c r="G65" i="63"/>
  <c r="I127" i="63"/>
  <c r="L108" i="63"/>
  <c r="J65" i="63"/>
  <c r="F46" i="63"/>
  <c r="F108" i="63"/>
  <c r="H65" i="63"/>
  <c r="A102" i="63"/>
  <c r="H102" i="63"/>
  <c r="C127" i="63"/>
  <c r="E65" i="63"/>
  <c r="A18" i="63"/>
  <c r="H46" i="63"/>
  <c r="J18" i="63"/>
  <c r="E28" i="77" l="1"/>
  <c r="O14" i="77"/>
  <c r="P14" i="77" s="1"/>
  <c r="R14" i="77" s="1"/>
  <c r="O9" i="79"/>
  <c r="P9" i="79" s="1"/>
  <c r="O97" i="79"/>
  <c r="P97" i="79" s="1"/>
  <c r="L28" i="78"/>
  <c r="A18" i="79"/>
  <c r="N15" i="51"/>
  <c r="F14" i="69"/>
  <c r="E18" i="79"/>
  <c r="F18" i="79"/>
  <c r="D18" i="79"/>
  <c r="H108" i="77"/>
  <c r="O15" i="79"/>
  <c r="P15" i="79" s="1"/>
  <c r="E28" i="79"/>
  <c r="K18" i="79"/>
  <c r="A18" i="78"/>
  <c r="L18" i="79"/>
  <c r="O95" i="78"/>
  <c r="P95" i="78" s="1"/>
  <c r="V95" i="78" s="1"/>
  <c r="E102" i="78"/>
  <c r="G18" i="79"/>
  <c r="V15" i="79"/>
  <c r="R15" i="79"/>
  <c r="B102" i="79"/>
  <c r="E18" i="78"/>
  <c r="L28" i="77"/>
  <c r="O100" i="78"/>
  <c r="P100" i="78" s="1"/>
  <c r="O15" i="77"/>
  <c r="P15" i="77" s="1"/>
  <c r="O104" i="79"/>
  <c r="P104" i="79" s="1"/>
  <c r="I16" i="69"/>
  <c r="O14" i="51"/>
  <c r="K14" i="69"/>
  <c r="F28" i="79"/>
  <c r="K28" i="78"/>
  <c r="B102" i="78"/>
  <c r="O28" i="63"/>
  <c r="O110" i="63" s="1"/>
  <c r="O112" i="63" s="1"/>
  <c r="O129" i="63" s="1"/>
  <c r="B28" i="78"/>
  <c r="H102" i="78"/>
  <c r="O24" i="79"/>
  <c r="P24" i="79" s="1"/>
  <c r="O100" i="79"/>
  <c r="P100" i="79" s="1"/>
  <c r="O21" i="79"/>
  <c r="P21" i="79" s="1"/>
  <c r="F102" i="79"/>
  <c r="K18" i="78"/>
  <c r="I28" i="79"/>
  <c r="H28" i="79"/>
  <c r="O98" i="78"/>
  <c r="P98" i="78" s="1"/>
  <c r="O8" i="79"/>
  <c r="P8" i="79" s="1"/>
  <c r="H108" i="79"/>
  <c r="C102" i="79"/>
  <c r="H11" i="69"/>
  <c r="P7" i="78"/>
  <c r="F28" i="78"/>
  <c r="K28" i="79"/>
  <c r="A28" i="78"/>
  <c r="O20" i="78"/>
  <c r="O9" i="78"/>
  <c r="P9" i="78" s="1"/>
  <c r="O24" i="77"/>
  <c r="P24" i="77" s="1"/>
  <c r="G102" i="78"/>
  <c r="O21" i="78"/>
  <c r="P21" i="78" s="1"/>
  <c r="C102" i="78"/>
  <c r="O12" i="78"/>
  <c r="P12" i="78" s="1"/>
  <c r="K28" i="77"/>
  <c r="D28" i="78"/>
  <c r="O25" i="78"/>
  <c r="P25" i="78" s="1"/>
  <c r="B28" i="79"/>
  <c r="O24" i="78"/>
  <c r="P24" i="78" s="1"/>
  <c r="G18" i="78"/>
  <c r="E102" i="79"/>
  <c r="F102" i="78"/>
  <c r="I28" i="78"/>
  <c r="O22" i="79"/>
  <c r="P22" i="79" s="1"/>
  <c r="C18" i="79"/>
  <c r="H28" i="78"/>
  <c r="V97" i="79"/>
  <c r="R97" i="79"/>
  <c r="G28" i="77"/>
  <c r="L28" i="79"/>
  <c r="H18" i="78"/>
  <c r="D28" i="79"/>
  <c r="O25" i="79"/>
  <c r="P25" i="79" s="1"/>
  <c r="C28" i="78"/>
  <c r="O11" i="79"/>
  <c r="P11" i="79" s="1"/>
  <c r="I18" i="78"/>
  <c r="O96" i="79"/>
  <c r="P96" i="79" s="1"/>
  <c r="O10" i="79"/>
  <c r="P10" i="79" s="1"/>
  <c r="O13" i="77"/>
  <c r="I28" i="77"/>
  <c r="O22" i="77"/>
  <c r="P22" i="77" s="1"/>
  <c r="O14" i="78"/>
  <c r="P14" i="78" s="1"/>
  <c r="O26" i="78"/>
  <c r="P26" i="78" s="1"/>
  <c r="I102" i="79"/>
  <c r="O23" i="79"/>
  <c r="P23" i="79" s="1"/>
  <c r="B18" i="78"/>
  <c r="H102" i="79"/>
  <c r="A102" i="78"/>
  <c r="O93" i="78"/>
  <c r="O94" i="78"/>
  <c r="P94" i="78" s="1"/>
  <c r="D28" i="77"/>
  <c r="O12" i="77"/>
  <c r="P12" i="77" s="1"/>
  <c r="O25" i="77"/>
  <c r="P25" i="77" s="1"/>
  <c r="C28" i="79"/>
  <c r="O99" i="79"/>
  <c r="P99" i="79" s="1"/>
  <c r="O11" i="78"/>
  <c r="P11" i="78" s="1"/>
  <c r="O96" i="78"/>
  <c r="P96" i="78" s="1"/>
  <c r="L102" i="78"/>
  <c r="O104" i="78"/>
  <c r="P104" i="78" s="1"/>
  <c r="O10" i="78"/>
  <c r="P10" i="78" s="1"/>
  <c r="O22" i="78"/>
  <c r="P22" i="78" s="1"/>
  <c r="G28" i="78"/>
  <c r="O8" i="77"/>
  <c r="P8" i="77" s="1"/>
  <c r="O14" i="79"/>
  <c r="P14" i="79" s="1"/>
  <c r="O26" i="79"/>
  <c r="P26" i="79" s="1"/>
  <c r="D102" i="78"/>
  <c r="I102" i="78"/>
  <c r="A28" i="79"/>
  <c r="O20" i="79"/>
  <c r="O13" i="79"/>
  <c r="P13" i="79" s="1"/>
  <c r="O108" i="63"/>
  <c r="R9" i="79"/>
  <c r="V9" i="79"/>
  <c r="O95" i="79"/>
  <c r="P95" i="79" s="1"/>
  <c r="O20" i="77"/>
  <c r="P20" i="77" s="1"/>
  <c r="A28" i="77"/>
  <c r="O97" i="78"/>
  <c r="P97" i="78" s="1"/>
  <c r="G102" i="79"/>
  <c r="O23" i="77"/>
  <c r="P23" i="77" s="1"/>
  <c r="P7" i="79"/>
  <c r="C104" i="69"/>
  <c r="H15" i="69"/>
  <c r="R16" i="78"/>
  <c r="V16" i="78"/>
  <c r="E28" i="78"/>
  <c r="O15" i="51"/>
  <c r="E14" i="69"/>
  <c r="R16" i="79"/>
  <c r="V16" i="79"/>
  <c r="A102" i="79"/>
  <c r="O93" i="79"/>
  <c r="O94" i="79"/>
  <c r="P94" i="79" s="1"/>
  <c r="O12" i="79"/>
  <c r="P12" i="79" s="1"/>
  <c r="D18" i="78"/>
  <c r="C28" i="77"/>
  <c r="O99" i="78"/>
  <c r="P99" i="78" s="1"/>
  <c r="K102" i="78"/>
  <c r="O9" i="77"/>
  <c r="P9" i="77" s="1"/>
  <c r="L102" i="79"/>
  <c r="O13" i="78"/>
  <c r="P13" i="78" s="1"/>
  <c r="O98" i="79"/>
  <c r="P98" i="79" s="1"/>
  <c r="O23" i="78"/>
  <c r="P23" i="78" s="1"/>
  <c r="G28" i="79"/>
  <c r="O15" i="78"/>
  <c r="P15" i="78" s="1"/>
  <c r="O8" i="78"/>
  <c r="P8" i="78" s="1"/>
  <c r="O26" i="77"/>
  <c r="P26" i="77" s="1"/>
  <c r="O104" i="77"/>
  <c r="P104" i="77" s="1"/>
  <c r="D102" i="79"/>
  <c r="K102" i="79"/>
  <c r="R11" i="63"/>
  <c r="V11" i="63"/>
  <c r="V120" i="63"/>
  <c r="R120" i="63"/>
  <c r="V105" i="63"/>
  <c r="R105" i="63"/>
  <c r="P123" i="63"/>
  <c r="V98" i="63"/>
  <c r="R98" i="63"/>
  <c r="P10" i="63"/>
  <c r="V118" i="63"/>
  <c r="R118" i="63"/>
  <c r="V15" i="63"/>
  <c r="R15" i="63"/>
  <c r="V25" i="63"/>
  <c r="R25" i="63"/>
  <c r="V99" i="63"/>
  <c r="R99" i="63"/>
  <c r="V9" i="63"/>
  <c r="R9" i="63"/>
  <c r="V117" i="63"/>
  <c r="R117" i="63"/>
  <c r="V124" i="63"/>
  <c r="R124" i="63"/>
  <c r="P122" i="63"/>
  <c r="V115" i="63"/>
  <c r="R115" i="63"/>
  <c r="R63" i="63"/>
  <c r="V63" i="63"/>
  <c r="R62" i="63"/>
  <c r="V62" i="63"/>
  <c r="V56" i="63"/>
  <c r="R56" i="63"/>
  <c r="R61" i="63"/>
  <c r="V61" i="63"/>
  <c r="R54" i="63"/>
  <c r="V54" i="63"/>
  <c r="V57" i="63"/>
  <c r="R57" i="63"/>
  <c r="V60" i="63"/>
  <c r="R60" i="63"/>
  <c r="O8" i="51"/>
  <c r="N14" i="51"/>
  <c r="X15" i="63"/>
  <c r="P93" i="63"/>
  <c r="U11" i="76"/>
  <c r="P52" i="63"/>
  <c r="P59" i="63"/>
  <c r="P26" i="63"/>
  <c r="H48" i="69"/>
  <c r="P121" i="63"/>
  <c r="X56" i="63"/>
  <c r="P22" i="63"/>
  <c r="P67" i="63"/>
  <c r="D14" i="69"/>
  <c r="F9" i="69"/>
  <c r="X59" i="63"/>
  <c r="X57" i="63"/>
  <c r="D9" i="69"/>
  <c r="G9" i="69"/>
  <c r="X9" i="63"/>
  <c r="X61" i="63"/>
  <c r="N104" i="51"/>
  <c r="N9" i="51"/>
  <c r="P104" i="63"/>
  <c r="B14" i="69"/>
  <c r="F104" i="69"/>
  <c r="L14" i="69"/>
  <c r="E104" i="69"/>
  <c r="C9" i="69"/>
  <c r="P20" i="63"/>
  <c r="I10" i="69"/>
  <c r="P106" i="63"/>
  <c r="H13" i="69"/>
  <c r="G104" i="69"/>
  <c r="C14" i="69"/>
  <c r="H9" i="69"/>
  <c r="X11" i="63"/>
  <c r="E9" i="69"/>
  <c r="O14" i="66"/>
  <c r="O14" i="69" s="1"/>
  <c r="X118" i="63"/>
  <c r="P51" i="63"/>
  <c r="H104" i="69"/>
  <c r="H10" i="69"/>
  <c r="G14" i="69"/>
  <c r="H14" i="69"/>
  <c r="P68" i="63"/>
  <c r="P23" i="63"/>
  <c r="P100" i="63"/>
  <c r="X26" i="63"/>
  <c r="P119" i="63"/>
  <c r="X62" i="63"/>
  <c r="P21" i="63"/>
  <c r="P69" i="63"/>
  <c r="X120" i="63"/>
  <c r="X52" i="63"/>
  <c r="P24" i="63"/>
  <c r="P14" i="63"/>
  <c r="P12" i="63"/>
  <c r="P70" i="63"/>
  <c r="P16" i="63"/>
  <c r="P95" i="63"/>
  <c r="P97" i="63"/>
  <c r="P8" i="63"/>
  <c r="X108" i="63"/>
  <c r="X12" i="63"/>
  <c r="P94" i="63"/>
  <c r="P13" i="63"/>
  <c r="P114" i="63"/>
  <c r="X119" i="63"/>
  <c r="X69" i="63"/>
  <c r="P96" i="63"/>
  <c r="P116" i="63"/>
  <c r="X68" i="63"/>
  <c r="X124" i="63"/>
  <c r="P125" i="63"/>
  <c r="X102" i="63"/>
  <c r="X65" i="63"/>
  <c r="P48" i="63"/>
  <c r="K8" i="69"/>
  <c r="I9" i="69"/>
  <c r="I18" i="66"/>
  <c r="O8" i="66"/>
  <c r="X125" i="63"/>
  <c r="X94" i="63"/>
  <c r="X20" i="63"/>
  <c r="X40" i="63"/>
  <c r="X117" i="63"/>
  <c r="X46" i="63"/>
  <c r="X98" i="63"/>
  <c r="H12" i="69"/>
  <c r="X122" i="63"/>
  <c r="X13" i="63"/>
  <c r="X22" i="63"/>
  <c r="N14" i="66"/>
  <c r="I12" i="69"/>
  <c r="I15" i="69"/>
  <c r="I14" i="69"/>
  <c r="B9" i="69"/>
  <c r="N9" i="66"/>
  <c r="J110" i="63"/>
  <c r="X63" i="63"/>
  <c r="K104" i="69"/>
  <c r="J8" i="69"/>
  <c r="J14" i="69"/>
  <c r="J104" i="69"/>
  <c r="X10" i="63"/>
  <c r="L8" i="69"/>
  <c r="J9" i="69"/>
  <c r="N104" i="66"/>
  <c r="H18" i="66"/>
  <c r="L9" i="69"/>
  <c r="O9" i="66"/>
  <c r="X100" i="63"/>
  <c r="X8" i="63"/>
  <c r="X32" i="63"/>
  <c r="X31" i="63"/>
  <c r="X35" i="63"/>
  <c r="X67" i="63"/>
  <c r="X34" i="63"/>
  <c r="X48" i="63"/>
  <c r="X54" i="63"/>
  <c r="X38" i="63"/>
  <c r="X95" i="63"/>
  <c r="X16" i="63"/>
  <c r="A110" i="63"/>
  <c r="A112" i="63" s="1"/>
  <c r="A129" i="63" s="1"/>
  <c r="X25" i="63"/>
  <c r="X21" i="63"/>
  <c r="X99" i="63"/>
  <c r="X60" i="63"/>
  <c r="X41" i="63"/>
  <c r="X105" i="63"/>
  <c r="H110" i="63"/>
  <c r="H112" i="63" s="1"/>
  <c r="H129" i="63" s="1"/>
  <c r="X115" i="63"/>
  <c r="I110" i="63"/>
  <c r="I112" i="63" s="1"/>
  <c r="I129" i="63" s="1"/>
  <c r="X93" i="63"/>
  <c r="X44" i="63"/>
  <c r="X70" i="63"/>
  <c r="X106" i="63"/>
  <c r="X30" i="63"/>
  <c r="X123" i="63"/>
  <c r="X104" i="63"/>
  <c r="X37" i="63"/>
  <c r="V14" i="77" l="1"/>
  <c r="R95" i="78"/>
  <c r="V15" i="78"/>
  <c r="R15" i="78"/>
  <c r="R96" i="78"/>
  <c r="V96" i="78"/>
  <c r="R104" i="79"/>
  <c r="V104" i="79"/>
  <c r="R23" i="78"/>
  <c r="V23" i="78"/>
  <c r="V23" i="77"/>
  <c r="R23" i="77"/>
  <c r="R8" i="77"/>
  <c r="V8" i="77"/>
  <c r="R99" i="79"/>
  <c r="V99" i="79"/>
  <c r="R22" i="77"/>
  <c r="V22" i="77"/>
  <c r="R25" i="79"/>
  <c r="V25" i="79"/>
  <c r="R25" i="78"/>
  <c r="V25" i="78"/>
  <c r="R9" i="78"/>
  <c r="V9" i="78"/>
  <c r="R100" i="78"/>
  <c r="V100" i="78"/>
  <c r="V26" i="78"/>
  <c r="R26" i="78"/>
  <c r="R14" i="79"/>
  <c r="V14" i="79"/>
  <c r="R24" i="77"/>
  <c r="V24" i="77"/>
  <c r="R15" i="77"/>
  <c r="V15" i="77"/>
  <c r="R98" i="79"/>
  <c r="V98" i="79"/>
  <c r="R12" i="79"/>
  <c r="V12" i="79"/>
  <c r="R13" i="79"/>
  <c r="V13" i="79"/>
  <c r="R22" i="79"/>
  <c r="V22" i="79"/>
  <c r="P20" i="78"/>
  <c r="O28" i="78"/>
  <c r="R11" i="79"/>
  <c r="V11" i="79"/>
  <c r="R11" i="78"/>
  <c r="V11" i="78"/>
  <c r="R14" i="78"/>
  <c r="V14" i="78"/>
  <c r="R13" i="78"/>
  <c r="V13" i="78"/>
  <c r="R94" i="79"/>
  <c r="V94" i="79"/>
  <c r="R97" i="78"/>
  <c r="V97" i="78"/>
  <c r="O28" i="79"/>
  <c r="P20" i="79"/>
  <c r="R22" i="78"/>
  <c r="V22" i="78"/>
  <c r="R23" i="79"/>
  <c r="V23" i="79"/>
  <c r="V99" i="78"/>
  <c r="R99" i="78"/>
  <c r="P18" i="78"/>
  <c r="V18" i="78" s="1"/>
  <c r="R7" i="78"/>
  <c r="V7" i="78"/>
  <c r="R104" i="77"/>
  <c r="V104" i="77"/>
  <c r="P93" i="79"/>
  <c r="O102" i="79"/>
  <c r="R10" i="78"/>
  <c r="V10" i="78"/>
  <c r="R12" i="77"/>
  <c r="V12" i="77"/>
  <c r="R10" i="79"/>
  <c r="V10" i="79"/>
  <c r="R12" i="78"/>
  <c r="V12" i="78"/>
  <c r="R100" i="79"/>
  <c r="V100" i="79"/>
  <c r="R26" i="79"/>
  <c r="V26" i="79"/>
  <c r="P93" i="78"/>
  <c r="O102" i="78"/>
  <c r="O18" i="79"/>
  <c r="V26" i="77"/>
  <c r="R26" i="77"/>
  <c r="R9" i="77"/>
  <c r="V9" i="77"/>
  <c r="R104" i="78"/>
  <c r="V104" i="78"/>
  <c r="R96" i="79"/>
  <c r="V96" i="79"/>
  <c r="R8" i="79"/>
  <c r="V8" i="79"/>
  <c r="V24" i="79"/>
  <c r="R24" i="79"/>
  <c r="R7" i="79"/>
  <c r="V7" i="79"/>
  <c r="P18" i="79"/>
  <c r="V18" i="79" s="1"/>
  <c r="V24" i="78"/>
  <c r="R24" i="78"/>
  <c r="R8" i="78"/>
  <c r="V8" i="78"/>
  <c r="R95" i="79"/>
  <c r="V95" i="79"/>
  <c r="V94" i="78"/>
  <c r="R94" i="78"/>
  <c r="O18" i="78"/>
  <c r="R98" i="78"/>
  <c r="V98" i="78"/>
  <c r="V116" i="63"/>
  <c r="R116" i="63"/>
  <c r="V96" i="63"/>
  <c r="R96" i="63"/>
  <c r="V100" i="63"/>
  <c r="R100" i="63"/>
  <c r="V106" i="63"/>
  <c r="R106" i="63"/>
  <c r="V123" i="63"/>
  <c r="R123" i="63"/>
  <c r="R23" i="63"/>
  <c r="V23" i="63"/>
  <c r="V16" i="63"/>
  <c r="R16" i="63"/>
  <c r="R21" i="63"/>
  <c r="V21" i="63"/>
  <c r="V20" i="63"/>
  <c r="R20" i="63"/>
  <c r="V93" i="63"/>
  <c r="R93" i="63"/>
  <c r="V8" i="63"/>
  <c r="R8" i="63"/>
  <c r="V104" i="63"/>
  <c r="R104" i="63"/>
  <c r="V121" i="63"/>
  <c r="R121" i="63"/>
  <c r="V125" i="63"/>
  <c r="R125" i="63"/>
  <c r="V114" i="63"/>
  <c r="R114" i="63"/>
  <c r="V97" i="63"/>
  <c r="R97" i="63"/>
  <c r="R12" i="63"/>
  <c r="V12" i="63"/>
  <c r="R119" i="63"/>
  <c r="V119" i="63"/>
  <c r="R13" i="63"/>
  <c r="V13" i="63"/>
  <c r="V95" i="63"/>
  <c r="R95" i="63"/>
  <c r="V14" i="63"/>
  <c r="R14" i="63"/>
  <c r="V10" i="63"/>
  <c r="R10" i="63"/>
  <c r="V94" i="63"/>
  <c r="R94" i="63"/>
  <c r="R24" i="63"/>
  <c r="V24" i="63"/>
  <c r="R22" i="63"/>
  <c r="V22" i="63"/>
  <c r="V26" i="63"/>
  <c r="R26" i="63"/>
  <c r="V122" i="63"/>
  <c r="R122" i="63"/>
  <c r="R51" i="63"/>
  <c r="V51" i="63"/>
  <c r="V52" i="63"/>
  <c r="R52" i="63"/>
  <c r="V48" i="63"/>
  <c r="R48" i="63"/>
  <c r="V59" i="63"/>
  <c r="R59" i="63"/>
  <c r="R69" i="63"/>
  <c r="V69" i="63"/>
  <c r="V70" i="63"/>
  <c r="R70" i="63"/>
  <c r="V68" i="63"/>
  <c r="R68" i="63"/>
  <c r="V67" i="63"/>
  <c r="R67" i="63"/>
  <c r="P108" i="63"/>
  <c r="V108" i="63" s="1"/>
  <c r="P14" i="66"/>
  <c r="R14" i="66" s="1"/>
  <c r="H18" i="69"/>
  <c r="P65" i="63"/>
  <c r="V65" i="63" s="1"/>
  <c r="G24" i="74"/>
  <c r="I24" i="74" s="1"/>
  <c r="G24" i="75"/>
  <c r="P28" i="63"/>
  <c r="V28" i="63" s="1"/>
  <c r="P102" i="63"/>
  <c r="P18" i="63"/>
  <c r="V18" i="63" s="1"/>
  <c r="P127" i="63"/>
  <c r="O8" i="69"/>
  <c r="O9" i="69"/>
  <c r="X127" i="63"/>
  <c r="P9" i="66"/>
  <c r="R9" i="66" s="1"/>
  <c r="J112" i="63"/>
  <c r="I18" i="69"/>
  <c r="P9" i="51"/>
  <c r="P14" i="51"/>
  <c r="R46" i="63"/>
  <c r="X28" i="63"/>
  <c r="X18" i="63"/>
  <c r="R18" i="78" l="1"/>
  <c r="V20" i="79"/>
  <c r="P28" i="79"/>
  <c r="R20" i="79"/>
  <c r="R93" i="79"/>
  <c r="R102" i="79" s="1"/>
  <c r="V93" i="79"/>
  <c r="P102" i="79"/>
  <c r="V102" i="79" s="1"/>
  <c r="V93" i="78"/>
  <c r="R93" i="78"/>
  <c r="R102" i="78" s="1"/>
  <c r="P102" i="78"/>
  <c r="V102" i="78" s="1"/>
  <c r="R18" i="79"/>
  <c r="R20" i="78"/>
  <c r="V20" i="78"/>
  <c r="P28" i="78"/>
  <c r="R14" i="51"/>
  <c r="V14" i="51"/>
  <c r="R9" i="51"/>
  <c r="V9" i="51"/>
  <c r="R28" i="63"/>
  <c r="R65" i="63"/>
  <c r="R18" i="63"/>
  <c r="R108" i="63"/>
  <c r="I24" i="75"/>
  <c r="J129" i="63"/>
  <c r="P14" i="69"/>
  <c r="P9" i="69"/>
  <c r="M134" i="62" l="1"/>
  <c r="W127" i="62"/>
  <c r="W108" i="62"/>
  <c r="H108" i="62"/>
  <c r="Y103" i="77"/>
  <c r="W102" i="62"/>
  <c r="P93" i="62"/>
  <c r="W91" i="62"/>
  <c r="W65" i="62"/>
  <c r="P63" i="62"/>
  <c r="W46" i="62"/>
  <c r="W28" i="62"/>
  <c r="W18" i="62"/>
  <c r="X17" i="78"/>
  <c r="Y17" i="78" s="1"/>
  <c r="G12" i="51"/>
  <c r="F12" i="51"/>
  <c r="E12" i="51"/>
  <c r="Y27" i="77" l="1"/>
  <c r="X27" i="78"/>
  <c r="Y27" i="78" s="1"/>
  <c r="X106" i="78"/>
  <c r="Q106" i="78"/>
  <c r="X123" i="78"/>
  <c r="Q123" i="78"/>
  <c r="Y29" i="77"/>
  <c r="X29" i="78"/>
  <c r="Y29" i="78" s="1"/>
  <c r="Y107" i="77"/>
  <c r="X107" i="78"/>
  <c r="Y107" i="78" s="1"/>
  <c r="X116" i="78"/>
  <c r="Q116" i="78"/>
  <c r="X124" i="78"/>
  <c r="Q124" i="78"/>
  <c r="X114" i="78"/>
  <c r="Q114" i="78"/>
  <c r="Y90" i="77"/>
  <c r="X90" i="78"/>
  <c r="Y90" i="78" s="1"/>
  <c r="Q125" i="78"/>
  <c r="X125" i="78"/>
  <c r="Y125" i="78" s="1"/>
  <c r="Q118" i="78"/>
  <c r="X118" i="78"/>
  <c r="Y126" i="77"/>
  <c r="X126" i="78"/>
  <c r="Y126" i="78" s="1"/>
  <c r="Y47" i="77"/>
  <c r="X47" i="78"/>
  <c r="Y47" i="78" s="1"/>
  <c r="Y101" i="77"/>
  <c r="X101" i="78"/>
  <c r="Y101" i="78" s="1"/>
  <c r="Y109" i="77"/>
  <c r="X109" i="78"/>
  <c r="Y109" i="78" s="1"/>
  <c r="Q119" i="78"/>
  <c r="X119" i="78"/>
  <c r="Q105" i="78"/>
  <c r="X105" i="78"/>
  <c r="X115" i="78"/>
  <c r="Q115" i="78"/>
  <c r="X117" i="78"/>
  <c r="Q117" i="78"/>
  <c r="X120" i="78"/>
  <c r="Q120" i="78"/>
  <c r="Y128" i="77"/>
  <c r="X128" i="78"/>
  <c r="Y128" i="78" s="1"/>
  <c r="X122" i="78"/>
  <c r="Q122" i="78"/>
  <c r="Y45" i="77"/>
  <c r="X45" i="78"/>
  <c r="Y45" i="78" s="1"/>
  <c r="Y92" i="77"/>
  <c r="X92" i="78"/>
  <c r="Y92" i="78" s="1"/>
  <c r="Y64" i="77"/>
  <c r="X64" i="78"/>
  <c r="Y64" i="78" s="1"/>
  <c r="Y113" i="77"/>
  <c r="X113" i="78"/>
  <c r="Y113" i="78" s="1"/>
  <c r="X121" i="78"/>
  <c r="Q121" i="78"/>
  <c r="Q114" i="77"/>
  <c r="Q106" i="77"/>
  <c r="Q105" i="77"/>
  <c r="Q117" i="77"/>
  <c r="Q125" i="77"/>
  <c r="Q122" i="77"/>
  <c r="Q116" i="77"/>
  <c r="Q124" i="77"/>
  <c r="Y17" i="77"/>
  <c r="Q118" i="77"/>
  <c r="Q120" i="77"/>
  <c r="Q121" i="77"/>
  <c r="Q105" i="51"/>
  <c r="Z105" i="51" s="1"/>
  <c r="AA105" i="51" s="1"/>
  <c r="Q114" i="51"/>
  <c r="Z114" i="51" s="1"/>
  <c r="AA114" i="51" s="1"/>
  <c r="AB114" i="51" s="1"/>
  <c r="Q122" i="51"/>
  <c r="Z122" i="51" s="1"/>
  <c r="AA122" i="51" s="1"/>
  <c r="AB122" i="51" s="1"/>
  <c r="Q124" i="51"/>
  <c r="Z124" i="51" s="1"/>
  <c r="AA124" i="51" s="1"/>
  <c r="AB124" i="51" s="1"/>
  <c r="Q117" i="51"/>
  <c r="Z117" i="51" s="1"/>
  <c r="AA117" i="51" s="1"/>
  <c r="AB117" i="51" s="1"/>
  <c r="Q125" i="51"/>
  <c r="Z125" i="51" s="1"/>
  <c r="AB125" i="51" s="1"/>
  <c r="Q116" i="51"/>
  <c r="Z116" i="51" s="1"/>
  <c r="AA116" i="51" s="1"/>
  <c r="AB116" i="51" s="1"/>
  <c r="Q118" i="51"/>
  <c r="Z118" i="51" s="1"/>
  <c r="AA118" i="51" s="1"/>
  <c r="AB118" i="51" s="1"/>
  <c r="Q106" i="51"/>
  <c r="Z106" i="51" s="1"/>
  <c r="AA106" i="51" s="1"/>
  <c r="AB106" i="51" s="1"/>
  <c r="V111" i="62"/>
  <c r="Q120" i="51"/>
  <c r="Z120" i="51" s="1"/>
  <c r="AA120" i="51" s="1"/>
  <c r="AB120" i="51" s="1"/>
  <c r="V128" i="62"/>
  <c r="V113" i="62"/>
  <c r="Q121" i="51"/>
  <c r="Z121" i="51" s="1"/>
  <c r="AA121" i="51" s="1"/>
  <c r="AB121" i="51" s="1"/>
  <c r="X17" i="51"/>
  <c r="Y17" i="51" s="1"/>
  <c r="R25" i="62"/>
  <c r="X29" i="51"/>
  <c r="Y29" i="51" s="1"/>
  <c r="X33" i="51"/>
  <c r="Y33" i="51" s="1"/>
  <c r="X45" i="51"/>
  <c r="Y45" i="51" s="1"/>
  <c r="R49" i="62"/>
  <c r="R53" i="62"/>
  <c r="X53" i="51"/>
  <c r="Y53" i="51" s="1"/>
  <c r="X64" i="51"/>
  <c r="Y64" i="51" s="1"/>
  <c r="X71" i="51"/>
  <c r="Y71" i="51" s="1"/>
  <c r="X92" i="51"/>
  <c r="Y92" i="51" s="1"/>
  <c r="X103" i="51"/>
  <c r="Y103" i="51" s="1"/>
  <c r="X107" i="51"/>
  <c r="Y107" i="51" s="1"/>
  <c r="X116" i="51"/>
  <c r="Y116" i="51" s="1"/>
  <c r="X120" i="51"/>
  <c r="X124" i="51"/>
  <c r="V9" i="62"/>
  <c r="R9" i="62"/>
  <c r="V14" i="62"/>
  <c r="R14" i="62"/>
  <c r="V22" i="62"/>
  <c r="R22" i="62"/>
  <c r="X42" i="51"/>
  <c r="Y42" i="51" s="1"/>
  <c r="R58" i="62"/>
  <c r="X58" i="51"/>
  <c r="Y58" i="51" s="1"/>
  <c r="R96" i="62"/>
  <c r="X108" i="78"/>
  <c r="X104" i="51"/>
  <c r="Y104" i="51" s="1"/>
  <c r="X117" i="51"/>
  <c r="X121" i="51"/>
  <c r="X125" i="51"/>
  <c r="R15" i="62"/>
  <c r="V15" i="62"/>
  <c r="V19" i="62"/>
  <c r="X27" i="51"/>
  <c r="Y27" i="51" s="1"/>
  <c r="X43" i="51"/>
  <c r="Y43" i="51" s="1"/>
  <c r="X47" i="51"/>
  <c r="Y47" i="51" s="1"/>
  <c r="R55" i="62"/>
  <c r="X55" i="51"/>
  <c r="Y55" i="51" s="1"/>
  <c r="R81" i="62"/>
  <c r="X90" i="51"/>
  <c r="Y90" i="51" s="1"/>
  <c r="R93" i="62"/>
  <c r="X101" i="51"/>
  <c r="Y101" i="51" s="1"/>
  <c r="X105" i="51"/>
  <c r="X114" i="51"/>
  <c r="X118" i="51"/>
  <c r="X122" i="51"/>
  <c r="X126" i="51"/>
  <c r="Y126" i="51" s="1"/>
  <c r="R24" i="62"/>
  <c r="V24" i="62"/>
  <c r="X32" i="51"/>
  <c r="Y32" i="51" s="1"/>
  <c r="X106" i="51"/>
  <c r="X109" i="51"/>
  <c r="Y109" i="51" s="1"/>
  <c r="V63" i="62"/>
  <c r="R63" i="62"/>
  <c r="Y46" i="77"/>
  <c r="X127" i="78"/>
  <c r="K71" i="62"/>
  <c r="I79" i="62"/>
  <c r="G118" i="62"/>
  <c r="G118" i="79" s="1"/>
  <c r="R126" i="62"/>
  <c r="G72" i="62"/>
  <c r="I80" i="62"/>
  <c r="R103" i="62"/>
  <c r="R109" i="62"/>
  <c r="E119" i="62"/>
  <c r="R29" i="62"/>
  <c r="G73" i="62"/>
  <c r="R90" i="62"/>
  <c r="A120" i="62"/>
  <c r="A120" i="79" s="1"/>
  <c r="R45" i="62"/>
  <c r="L74" i="62"/>
  <c r="J105" i="62"/>
  <c r="J105" i="79" s="1"/>
  <c r="R113" i="62"/>
  <c r="G121" i="62"/>
  <c r="R128" i="62"/>
  <c r="L104" i="66"/>
  <c r="O104" i="66" s="1"/>
  <c r="P104" i="66" s="1"/>
  <c r="R104" i="66" s="1"/>
  <c r="R17" i="62"/>
  <c r="R92" i="62"/>
  <c r="I106" i="62"/>
  <c r="I106" i="79" s="1"/>
  <c r="K114" i="62"/>
  <c r="K114" i="79" s="1"/>
  <c r="R47" i="62"/>
  <c r="K68" i="62"/>
  <c r="L76" i="62"/>
  <c r="R107" i="62"/>
  <c r="I115" i="62"/>
  <c r="I123" i="62"/>
  <c r="I123" i="79" s="1"/>
  <c r="I69" i="62"/>
  <c r="A77" i="62"/>
  <c r="R101" i="62"/>
  <c r="F116" i="62"/>
  <c r="F116" i="79" s="1"/>
  <c r="R111" i="62"/>
  <c r="R19" i="62"/>
  <c r="R27" i="62"/>
  <c r="R64" i="62"/>
  <c r="G78" i="62"/>
  <c r="G117" i="62"/>
  <c r="G117" i="79" s="1"/>
  <c r="I125" i="62"/>
  <c r="I125" i="79" s="1"/>
  <c r="W110" i="62"/>
  <c r="W112" i="62" s="1"/>
  <c r="W129" i="62" s="1"/>
  <c r="W10" i="76" s="1"/>
  <c r="C68" i="62"/>
  <c r="P12" i="62"/>
  <c r="A80" i="62"/>
  <c r="B80" i="62"/>
  <c r="C80" i="62"/>
  <c r="F68" i="62"/>
  <c r="K80" i="62"/>
  <c r="A79" i="62"/>
  <c r="B79" i="62"/>
  <c r="C79" i="62"/>
  <c r="D79" i="62"/>
  <c r="L114" i="62"/>
  <c r="L114" i="79" s="1"/>
  <c r="E79" i="62"/>
  <c r="L79" i="62"/>
  <c r="G122" i="62"/>
  <c r="G122" i="79" s="1"/>
  <c r="E68" i="62"/>
  <c r="E69" i="62"/>
  <c r="F105" i="62"/>
  <c r="F105" i="79" s="1"/>
  <c r="K115" i="62"/>
  <c r="L125" i="62"/>
  <c r="L125" i="79" s="1"/>
  <c r="G68" i="62"/>
  <c r="G106" i="62"/>
  <c r="G106" i="79" s="1"/>
  <c r="G116" i="62"/>
  <c r="G116" i="79" s="1"/>
  <c r="I68" i="62"/>
  <c r="J106" i="62"/>
  <c r="J106" i="79" s="1"/>
  <c r="I116" i="62"/>
  <c r="I116" i="79" s="1"/>
  <c r="A68" i="62"/>
  <c r="I122" i="62"/>
  <c r="I122" i="79" s="1"/>
  <c r="B68" i="62"/>
  <c r="L68" i="62"/>
  <c r="D68" i="62"/>
  <c r="A69" i="62"/>
  <c r="E105" i="62"/>
  <c r="E105" i="79" s="1"/>
  <c r="A119" i="62"/>
  <c r="K106" i="62"/>
  <c r="K106" i="79" s="1"/>
  <c r="F77" i="62"/>
  <c r="A74" i="62"/>
  <c r="O74" i="62" s="1"/>
  <c r="I77" i="62"/>
  <c r="K123" i="62"/>
  <c r="K123" i="79" s="1"/>
  <c r="C74" i="62"/>
  <c r="G79" i="62"/>
  <c r="E80" i="62"/>
  <c r="A106" i="62"/>
  <c r="A106" i="79" s="1"/>
  <c r="K116" i="62"/>
  <c r="K116" i="79" s="1"/>
  <c r="E71" i="62"/>
  <c r="D74" i="62"/>
  <c r="L78" i="62"/>
  <c r="F80" i="62"/>
  <c r="B106" i="62"/>
  <c r="B106" i="79" s="1"/>
  <c r="D124" i="62"/>
  <c r="D124" i="79" s="1"/>
  <c r="F71" i="62"/>
  <c r="K74" i="62"/>
  <c r="K79" i="62"/>
  <c r="F106" i="62"/>
  <c r="F106" i="79" s="1"/>
  <c r="B115" i="62"/>
  <c r="L117" i="62"/>
  <c r="L117" i="79" s="1"/>
  <c r="A122" i="62"/>
  <c r="A122" i="79" s="1"/>
  <c r="L71" i="62"/>
  <c r="K118" i="62"/>
  <c r="K118" i="79" s="1"/>
  <c r="K122" i="62"/>
  <c r="K122" i="79" s="1"/>
  <c r="A71" i="62"/>
  <c r="O71" i="62" s="1"/>
  <c r="C122" i="62"/>
  <c r="C122" i="79" s="1"/>
  <c r="B123" i="62"/>
  <c r="B123" i="79" s="1"/>
  <c r="B71" i="62"/>
  <c r="C106" i="62"/>
  <c r="C106" i="79" s="1"/>
  <c r="A116" i="62"/>
  <c r="A116" i="79" s="1"/>
  <c r="D117" i="62"/>
  <c r="D117" i="79" s="1"/>
  <c r="B119" i="62"/>
  <c r="D122" i="62"/>
  <c r="D122" i="79" s="1"/>
  <c r="C123" i="62"/>
  <c r="C123" i="79" s="1"/>
  <c r="C125" i="62"/>
  <c r="C125" i="79" s="1"/>
  <c r="C71" i="62"/>
  <c r="C105" i="62"/>
  <c r="C105" i="79" s="1"/>
  <c r="D106" i="62"/>
  <c r="D106" i="79" s="1"/>
  <c r="B116" i="62"/>
  <c r="B116" i="79" s="1"/>
  <c r="I117" i="62"/>
  <c r="I117" i="79" s="1"/>
  <c r="E122" i="62"/>
  <c r="E122" i="79" s="1"/>
  <c r="E123" i="62"/>
  <c r="E123" i="79" s="1"/>
  <c r="D125" i="62"/>
  <c r="D125" i="79" s="1"/>
  <c r="D71" i="62"/>
  <c r="D105" i="62"/>
  <c r="D105" i="79" s="1"/>
  <c r="E106" i="62"/>
  <c r="E106" i="79" s="1"/>
  <c r="C114" i="62"/>
  <c r="C114" i="79" s="1"/>
  <c r="D116" i="62"/>
  <c r="D116" i="79" s="1"/>
  <c r="K117" i="62"/>
  <c r="K117" i="79" s="1"/>
  <c r="F122" i="62"/>
  <c r="F122" i="79" s="1"/>
  <c r="F123" i="62"/>
  <c r="F123" i="79" s="1"/>
  <c r="K125" i="62"/>
  <c r="K125" i="79" s="1"/>
  <c r="B124" i="62"/>
  <c r="B124" i="79" s="1"/>
  <c r="K124" i="62"/>
  <c r="K124" i="79" s="1"/>
  <c r="E12" i="66"/>
  <c r="K72" i="62"/>
  <c r="L73" i="62"/>
  <c r="A76" i="62"/>
  <c r="D114" i="62"/>
  <c r="D114" i="79" s="1"/>
  <c r="C124" i="62"/>
  <c r="C124" i="79" s="1"/>
  <c r="L124" i="62"/>
  <c r="L124" i="79" s="1"/>
  <c r="G12" i="66"/>
  <c r="B72" i="62"/>
  <c r="A73" i="62"/>
  <c r="E76" i="62"/>
  <c r="F114" i="62"/>
  <c r="F114" i="79" s="1"/>
  <c r="E124" i="62"/>
  <c r="E124" i="79" s="1"/>
  <c r="B76" i="62"/>
  <c r="E114" i="62"/>
  <c r="E114" i="79" s="1"/>
  <c r="J18" i="62"/>
  <c r="G71" i="62"/>
  <c r="C72" i="62"/>
  <c r="B73" i="62"/>
  <c r="F76" i="62"/>
  <c r="G105" i="62"/>
  <c r="G105" i="79" s="1"/>
  <c r="G114" i="62"/>
  <c r="G114" i="79" s="1"/>
  <c r="C115" i="62"/>
  <c r="C116" i="62"/>
  <c r="C116" i="79" s="1"/>
  <c r="L116" i="62"/>
  <c r="L116" i="79" s="1"/>
  <c r="D119" i="62"/>
  <c r="F124" i="62"/>
  <c r="F124" i="79" s="1"/>
  <c r="F8" i="66"/>
  <c r="F8" i="51"/>
  <c r="I71" i="62"/>
  <c r="E72" i="62"/>
  <c r="D73" i="62"/>
  <c r="G76" i="62"/>
  <c r="F79" i="62"/>
  <c r="I105" i="62"/>
  <c r="I105" i="79" s="1"/>
  <c r="I108" i="79" s="1"/>
  <c r="I114" i="62"/>
  <c r="I114" i="79" s="1"/>
  <c r="E115" i="62"/>
  <c r="B118" i="62"/>
  <c r="B118" i="79" s="1"/>
  <c r="F119" i="62"/>
  <c r="G124" i="62"/>
  <c r="G124" i="79" s="1"/>
  <c r="F12" i="66"/>
  <c r="G8" i="51"/>
  <c r="G8" i="66"/>
  <c r="F72" i="62"/>
  <c r="E73" i="62"/>
  <c r="I76" i="62"/>
  <c r="A105" i="62"/>
  <c r="A105" i="79" s="1"/>
  <c r="K105" i="62"/>
  <c r="K105" i="79" s="1"/>
  <c r="A114" i="62"/>
  <c r="A114" i="79" s="1"/>
  <c r="F115" i="62"/>
  <c r="E116" i="62"/>
  <c r="E116" i="79" s="1"/>
  <c r="A117" i="62"/>
  <c r="A117" i="79" s="1"/>
  <c r="C118" i="62"/>
  <c r="C118" i="79" s="1"/>
  <c r="G119" i="62"/>
  <c r="L122" i="62"/>
  <c r="L122" i="79" s="1"/>
  <c r="I124" i="62"/>
  <c r="I124" i="79" s="1"/>
  <c r="A72" i="62"/>
  <c r="I72" i="62"/>
  <c r="I73" i="62"/>
  <c r="B105" i="62"/>
  <c r="B105" i="79" s="1"/>
  <c r="B108" i="79" s="1"/>
  <c r="L105" i="62"/>
  <c r="L105" i="79" s="1"/>
  <c r="B114" i="62"/>
  <c r="B114" i="79" s="1"/>
  <c r="C117" i="62"/>
  <c r="C117" i="79" s="1"/>
  <c r="I119" i="62"/>
  <c r="A124" i="62"/>
  <c r="A124" i="79" s="1"/>
  <c r="K70" i="62"/>
  <c r="C70" i="62"/>
  <c r="B70" i="62"/>
  <c r="I70" i="62"/>
  <c r="A70" i="62"/>
  <c r="F70" i="62"/>
  <c r="L70" i="62"/>
  <c r="G70" i="62"/>
  <c r="E70" i="62"/>
  <c r="F120" i="62"/>
  <c r="E120" i="62"/>
  <c r="L120" i="62"/>
  <c r="L120" i="79" s="1"/>
  <c r="D120" i="62"/>
  <c r="D120" i="79" s="1"/>
  <c r="K120" i="62"/>
  <c r="K120" i="79" s="1"/>
  <c r="C120" i="62"/>
  <c r="C120" i="79" s="1"/>
  <c r="B120" i="62"/>
  <c r="B120" i="79" s="1"/>
  <c r="G120" i="62"/>
  <c r="I120" i="62"/>
  <c r="I120" i="79" s="1"/>
  <c r="I18" i="62"/>
  <c r="C75" i="62"/>
  <c r="K78" i="62"/>
  <c r="C78" i="62"/>
  <c r="B78" i="62"/>
  <c r="I78" i="62"/>
  <c r="A78" i="62"/>
  <c r="F78" i="62"/>
  <c r="E78" i="62"/>
  <c r="D78" i="62"/>
  <c r="L50" i="51"/>
  <c r="K50" i="51"/>
  <c r="F67" i="62"/>
  <c r="E67" i="62"/>
  <c r="L67" i="62"/>
  <c r="D67" i="62"/>
  <c r="I67" i="62"/>
  <c r="A67" i="62"/>
  <c r="K67" i="62"/>
  <c r="G67" i="62"/>
  <c r="C67" i="62"/>
  <c r="B75" i="62"/>
  <c r="L69" i="62"/>
  <c r="D69" i="62"/>
  <c r="K69" i="62"/>
  <c r="C69" i="62"/>
  <c r="B69" i="62"/>
  <c r="G69" i="62"/>
  <c r="F69" i="62"/>
  <c r="E121" i="62"/>
  <c r="L121" i="62"/>
  <c r="L121" i="79" s="1"/>
  <c r="D121" i="62"/>
  <c r="D121" i="79" s="1"/>
  <c r="K121" i="62"/>
  <c r="K121" i="79" s="1"/>
  <c r="C121" i="62"/>
  <c r="C121" i="79" s="1"/>
  <c r="B121" i="62"/>
  <c r="B121" i="79" s="1"/>
  <c r="I121" i="62"/>
  <c r="I121" i="79" s="1"/>
  <c r="A121" i="62"/>
  <c r="A121" i="79" s="1"/>
  <c r="F121" i="62"/>
  <c r="I28" i="62"/>
  <c r="D70" i="62"/>
  <c r="F75" i="62"/>
  <c r="E75" i="62"/>
  <c r="L75" i="62"/>
  <c r="D75" i="62"/>
  <c r="I75" i="62"/>
  <c r="A75" i="62"/>
  <c r="K75" i="62"/>
  <c r="G75" i="62"/>
  <c r="B67" i="62"/>
  <c r="I74" i="62"/>
  <c r="L77" i="62"/>
  <c r="D77" i="62"/>
  <c r="K77" i="62"/>
  <c r="C77" i="62"/>
  <c r="B77" i="62"/>
  <c r="G77" i="62"/>
  <c r="E77" i="62"/>
  <c r="G74" i="62"/>
  <c r="F74" i="62"/>
  <c r="E74" i="62"/>
  <c r="B74" i="62"/>
  <c r="D72" i="62"/>
  <c r="L72" i="62"/>
  <c r="C73" i="62"/>
  <c r="K73" i="62"/>
  <c r="D80" i="62"/>
  <c r="L80" i="62"/>
  <c r="L106" i="62"/>
  <c r="L106" i="79" s="1"/>
  <c r="D115" i="62"/>
  <c r="L115" i="62"/>
  <c r="B117" i="62"/>
  <c r="B117" i="79" s="1"/>
  <c r="A118" i="62"/>
  <c r="A118" i="79" s="1"/>
  <c r="I118" i="62"/>
  <c r="I118" i="79" s="1"/>
  <c r="D123" i="62"/>
  <c r="D123" i="79" s="1"/>
  <c r="L123" i="62"/>
  <c r="L123" i="79" s="1"/>
  <c r="B125" i="62"/>
  <c r="B125" i="79" s="1"/>
  <c r="F73" i="62"/>
  <c r="C76" i="62"/>
  <c r="K76" i="62"/>
  <c r="G80" i="62"/>
  <c r="G115" i="62"/>
  <c r="E117" i="62"/>
  <c r="E117" i="79" s="1"/>
  <c r="D118" i="62"/>
  <c r="D118" i="79" s="1"/>
  <c r="L118" i="62"/>
  <c r="L118" i="79" s="1"/>
  <c r="C119" i="62"/>
  <c r="K119" i="62"/>
  <c r="G123" i="62"/>
  <c r="G123" i="79" s="1"/>
  <c r="E125" i="62"/>
  <c r="E125" i="79" s="1"/>
  <c r="D76" i="62"/>
  <c r="F117" i="62"/>
  <c r="F117" i="79" s="1"/>
  <c r="E118" i="62"/>
  <c r="E118" i="79" s="1"/>
  <c r="L119" i="62"/>
  <c r="F125" i="62"/>
  <c r="F125" i="79" s="1"/>
  <c r="A115" i="62"/>
  <c r="A115" i="79" s="1"/>
  <c r="F118" i="62"/>
  <c r="F118" i="79" s="1"/>
  <c r="B122" i="62"/>
  <c r="B122" i="79" s="1"/>
  <c r="A123" i="62"/>
  <c r="A123" i="79" s="1"/>
  <c r="G125" i="62"/>
  <c r="G125" i="79" s="1"/>
  <c r="A125" i="62"/>
  <c r="A125" i="79" s="1"/>
  <c r="E108" i="79" l="1"/>
  <c r="G108" i="79"/>
  <c r="O118" i="79"/>
  <c r="P118" i="79" s="1"/>
  <c r="K108" i="79"/>
  <c r="D108" i="79"/>
  <c r="F108" i="79"/>
  <c r="D70" i="77"/>
  <c r="D70" i="79"/>
  <c r="D70" i="78"/>
  <c r="D67" i="77"/>
  <c r="D67" i="79"/>
  <c r="D67" i="78"/>
  <c r="O73" i="62"/>
  <c r="D72" i="77"/>
  <c r="D72" i="79"/>
  <c r="D72" i="78"/>
  <c r="O75" i="62"/>
  <c r="O124" i="79"/>
  <c r="P124" i="79" s="1"/>
  <c r="O72" i="62"/>
  <c r="O114" i="79"/>
  <c r="P114" i="79" s="1"/>
  <c r="A108" i="79"/>
  <c r="O106" i="79"/>
  <c r="P106" i="79" s="1"/>
  <c r="O68" i="62"/>
  <c r="K115" i="78"/>
  <c r="K115" i="79"/>
  <c r="D79" i="77"/>
  <c r="D79" i="79"/>
  <c r="D79" i="78"/>
  <c r="O80" i="62"/>
  <c r="I115" i="78"/>
  <c r="I115" i="79"/>
  <c r="O120" i="79"/>
  <c r="P120" i="79" s="1"/>
  <c r="D73" i="78"/>
  <c r="D73" i="77"/>
  <c r="D73" i="79"/>
  <c r="O116" i="79"/>
  <c r="P116" i="79" s="1"/>
  <c r="D115" i="78"/>
  <c r="D115" i="79"/>
  <c r="L119" i="78"/>
  <c r="L119" i="79"/>
  <c r="L127" i="79" s="1"/>
  <c r="L108" i="79"/>
  <c r="D77" i="77"/>
  <c r="D77" i="79"/>
  <c r="D77" i="78"/>
  <c r="D75" i="78"/>
  <c r="D75" i="77"/>
  <c r="D75" i="79"/>
  <c r="O105" i="79"/>
  <c r="C115" i="78"/>
  <c r="C115" i="79"/>
  <c r="C108" i="79"/>
  <c r="O122" i="79"/>
  <c r="P122" i="79" s="1"/>
  <c r="F115" i="78"/>
  <c r="F115" i="79"/>
  <c r="O121" i="79"/>
  <c r="P121" i="79" s="1"/>
  <c r="O125" i="79"/>
  <c r="P125" i="79" s="1"/>
  <c r="O70" i="62"/>
  <c r="D71" i="51"/>
  <c r="D71" i="77"/>
  <c r="D71" i="79"/>
  <c r="D71" i="78"/>
  <c r="O69" i="62"/>
  <c r="O79" i="62"/>
  <c r="V118" i="79"/>
  <c r="R118" i="79"/>
  <c r="D69" i="79"/>
  <c r="D69" i="78"/>
  <c r="D69" i="77"/>
  <c r="O78" i="62"/>
  <c r="D80" i="77"/>
  <c r="D80" i="79"/>
  <c r="D80" i="78"/>
  <c r="B115" i="78"/>
  <c r="B115" i="79"/>
  <c r="D68" i="79"/>
  <c r="D68" i="78"/>
  <c r="D68" i="77"/>
  <c r="O67" i="62"/>
  <c r="D78" i="77"/>
  <c r="D78" i="79"/>
  <c r="D78" i="78"/>
  <c r="E115" i="78"/>
  <c r="E115" i="79"/>
  <c r="O123" i="79"/>
  <c r="P123" i="79" s="1"/>
  <c r="D76" i="79"/>
  <c r="D76" i="77"/>
  <c r="D76" i="78"/>
  <c r="G115" i="78"/>
  <c r="G115" i="79"/>
  <c r="O117" i="79"/>
  <c r="P117" i="79" s="1"/>
  <c r="O76" i="62"/>
  <c r="D74" i="79"/>
  <c r="D74" i="77"/>
  <c r="D74" i="78"/>
  <c r="O77" i="62"/>
  <c r="J108" i="79"/>
  <c r="Y125" i="51"/>
  <c r="AC114" i="77"/>
  <c r="X114" i="77"/>
  <c r="AC118" i="77"/>
  <c r="X118" i="77"/>
  <c r="AC106" i="77"/>
  <c r="X106" i="77"/>
  <c r="Y106" i="77" s="1"/>
  <c r="Y117" i="51"/>
  <c r="AC124" i="77"/>
  <c r="X124" i="77"/>
  <c r="AC116" i="77"/>
  <c r="X116" i="77"/>
  <c r="Y116" i="77" s="1"/>
  <c r="AC122" i="77"/>
  <c r="X122" i="77"/>
  <c r="AC125" i="77"/>
  <c r="X125" i="77"/>
  <c r="Y125" i="77" s="1"/>
  <c r="Y122" i="78"/>
  <c r="AC121" i="77"/>
  <c r="X121" i="77"/>
  <c r="Y121" i="77" s="1"/>
  <c r="AC117" i="77"/>
  <c r="X117" i="77"/>
  <c r="U117" i="51"/>
  <c r="AC120" i="77"/>
  <c r="X120" i="77"/>
  <c r="Y120" i="77" s="1"/>
  <c r="AC105" i="77"/>
  <c r="X105" i="77"/>
  <c r="Y115" i="78"/>
  <c r="Y105" i="78"/>
  <c r="Y120" i="78"/>
  <c r="Y114" i="78"/>
  <c r="Y117" i="77"/>
  <c r="Y118" i="78"/>
  <c r="Y120" i="51"/>
  <c r="Y116" i="78"/>
  <c r="AC119" i="78"/>
  <c r="U119" i="78"/>
  <c r="AC117" i="78"/>
  <c r="U117" i="78"/>
  <c r="F117" i="77"/>
  <c r="F117" i="78"/>
  <c r="E117" i="77"/>
  <c r="E117" i="78"/>
  <c r="A123" i="77"/>
  <c r="A123" i="78"/>
  <c r="O123" i="62"/>
  <c r="I118" i="77"/>
  <c r="I118" i="78"/>
  <c r="K121" i="77"/>
  <c r="K121" i="78"/>
  <c r="B105" i="77"/>
  <c r="B108" i="77" s="1"/>
  <c r="B105" i="78"/>
  <c r="A117" i="77"/>
  <c r="A117" i="78"/>
  <c r="O117" i="62"/>
  <c r="I114" i="77"/>
  <c r="I114" i="78"/>
  <c r="F114" i="77"/>
  <c r="F114" i="78"/>
  <c r="F122" i="77"/>
  <c r="F122" i="78"/>
  <c r="E123" i="77"/>
  <c r="E123" i="78"/>
  <c r="C123" i="77"/>
  <c r="C123" i="78"/>
  <c r="C122" i="77"/>
  <c r="C122" i="78"/>
  <c r="F106" i="77"/>
  <c r="F106" i="78"/>
  <c r="G106" i="77"/>
  <c r="G106" i="78"/>
  <c r="G117" i="77"/>
  <c r="G117" i="78"/>
  <c r="K114" i="77"/>
  <c r="K114" i="78"/>
  <c r="J105" i="77"/>
  <c r="J105" i="78"/>
  <c r="U120" i="78"/>
  <c r="AC120" i="78"/>
  <c r="Y119" i="78"/>
  <c r="AC114" i="78"/>
  <c r="Q127" i="78"/>
  <c r="AC127" i="78" s="1"/>
  <c r="U114" i="78"/>
  <c r="A118" i="77"/>
  <c r="A118" i="78"/>
  <c r="O118" i="62"/>
  <c r="F124" i="77"/>
  <c r="F124" i="78"/>
  <c r="F118" i="77"/>
  <c r="F118" i="78"/>
  <c r="D116" i="77"/>
  <c r="D116" i="78"/>
  <c r="K122" i="77"/>
  <c r="K122" i="78"/>
  <c r="I122" i="77"/>
  <c r="I122" i="78"/>
  <c r="I123" i="77"/>
  <c r="I123" i="78"/>
  <c r="AC121" i="78"/>
  <c r="U121" i="78"/>
  <c r="AC123" i="78"/>
  <c r="U123" i="78"/>
  <c r="A115" i="78"/>
  <c r="O115" i="62"/>
  <c r="B120" i="77"/>
  <c r="B120" i="78"/>
  <c r="A124" i="77"/>
  <c r="A124" i="78"/>
  <c r="O124" i="62"/>
  <c r="A114" i="77"/>
  <c r="A114" i="78"/>
  <c r="O114" i="62"/>
  <c r="L116" i="77"/>
  <c r="L116" i="78"/>
  <c r="C114" i="77"/>
  <c r="C114" i="78"/>
  <c r="B116" i="77"/>
  <c r="B116" i="78"/>
  <c r="D117" i="77"/>
  <c r="D117" i="78"/>
  <c r="K118" i="77"/>
  <c r="K118" i="78"/>
  <c r="A106" i="77"/>
  <c r="A106" i="78"/>
  <c r="O106" i="62"/>
  <c r="K106" i="77"/>
  <c r="K106" i="78"/>
  <c r="A120" i="77"/>
  <c r="A120" i="78"/>
  <c r="O120" i="62"/>
  <c r="Y121" i="78"/>
  <c r="Y117" i="78"/>
  <c r="AC118" i="78"/>
  <c r="U118" i="78"/>
  <c r="Y124" i="78"/>
  <c r="Y123" i="78"/>
  <c r="G123" i="77"/>
  <c r="G123" i="78"/>
  <c r="L121" i="77"/>
  <c r="L121" i="78"/>
  <c r="I117" i="77"/>
  <c r="I117" i="78"/>
  <c r="K116" i="77"/>
  <c r="K116" i="78"/>
  <c r="L125" i="77"/>
  <c r="L125" i="78"/>
  <c r="A121" i="77"/>
  <c r="A121" i="78"/>
  <c r="O121" i="62"/>
  <c r="C120" i="77"/>
  <c r="C120" i="78"/>
  <c r="I124" i="77"/>
  <c r="I124" i="78"/>
  <c r="K105" i="77"/>
  <c r="K108" i="77" s="1"/>
  <c r="K105" i="78"/>
  <c r="G124" i="77"/>
  <c r="G124" i="78"/>
  <c r="C116" i="77"/>
  <c r="C116" i="78"/>
  <c r="K124" i="77"/>
  <c r="K124" i="78"/>
  <c r="E106" i="77"/>
  <c r="E106" i="78"/>
  <c r="D106" i="77"/>
  <c r="D106" i="78"/>
  <c r="A116" i="77"/>
  <c r="A116" i="78"/>
  <c r="O116" i="62"/>
  <c r="D124" i="77"/>
  <c r="D124" i="78"/>
  <c r="O119" i="62"/>
  <c r="I116" i="77"/>
  <c r="I116" i="78"/>
  <c r="F105" i="77"/>
  <c r="F105" i="78"/>
  <c r="AC122" i="78"/>
  <c r="U122" i="78"/>
  <c r="AC115" i="78"/>
  <c r="U115" i="78"/>
  <c r="AC116" i="78"/>
  <c r="U116" i="78"/>
  <c r="U106" i="78"/>
  <c r="AC106" i="78"/>
  <c r="B122" i="77"/>
  <c r="B122" i="78"/>
  <c r="D121" i="77"/>
  <c r="D121" i="78"/>
  <c r="E116" i="77"/>
  <c r="E116" i="78"/>
  <c r="E122" i="77"/>
  <c r="E122" i="78"/>
  <c r="B117" i="77"/>
  <c r="B117" i="78"/>
  <c r="L114" i="77"/>
  <c r="L114" i="78"/>
  <c r="AC124" i="78"/>
  <c r="U124" i="78"/>
  <c r="F125" i="77"/>
  <c r="F125" i="78"/>
  <c r="L118" i="77"/>
  <c r="L118" i="78"/>
  <c r="L106" i="77"/>
  <c r="L106" i="78"/>
  <c r="I121" i="77"/>
  <c r="I121" i="78"/>
  <c r="K120" i="77"/>
  <c r="K120" i="78"/>
  <c r="C117" i="77"/>
  <c r="C117" i="78"/>
  <c r="L122" i="77"/>
  <c r="L122" i="78"/>
  <c r="A105" i="77"/>
  <c r="A105" i="78"/>
  <c r="O105" i="62"/>
  <c r="E114" i="77"/>
  <c r="E114" i="78"/>
  <c r="L124" i="77"/>
  <c r="L124" i="78"/>
  <c r="B124" i="77"/>
  <c r="B124" i="78"/>
  <c r="D105" i="77"/>
  <c r="D105" i="78"/>
  <c r="C105" i="77"/>
  <c r="C105" i="78"/>
  <c r="C106" i="77"/>
  <c r="C106" i="78"/>
  <c r="A122" i="77"/>
  <c r="A122" i="78"/>
  <c r="O122" i="62"/>
  <c r="B106" i="77"/>
  <c r="B106" i="78"/>
  <c r="E105" i="77"/>
  <c r="E105" i="78"/>
  <c r="J106" i="77"/>
  <c r="J106" i="78"/>
  <c r="G118" i="77"/>
  <c r="G118" i="78"/>
  <c r="AC125" i="78"/>
  <c r="U125" i="78"/>
  <c r="Y106" i="78"/>
  <c r="E125" i="77"/>
  <c r="E125" i="78"/>
  <c r="D122" i="77"/>
  <c r="D122" i="78"/>
  <c r="I106" i="77"/>
  <c r="I106" i="78"/>
  <c r="B125" i="77"/>
  <c r="B125" i="78"/>
  <c r="A125" i="77"/>
  <c r="A125" i="78"/>
  <c r="O125" i="62"/>
  <c r="E118" i="77"/>
  <c r="E118" i="78"/>
  <c r="D118" i="77"/>
  <c r="D118" i="78"/>
  <c r="L123" i="77"/>
  <c r="L123" i="78"/>
  <c r="B121" i="77"/>
  <c r="B121" i="78"/>
  <c r="D120" i="77"/>
  <c r="D120" i="78"/>
  <c r="B114" i="77"/>
  <c r="B114" i="78"/>
  <c r="B118" i="77"/>
  <c r="B118" i="78"/>
  <c r="G114" i="77"/>
  <c r="G114" i="78"/>
  <c r="C124" i="77"/>
  <c r="C124" i="78"/>
  <c r="K125" i="77"/>
  <c r="K125" i="78"/>
  <c r="L117" i="77"/>
  <c r="L117" i="78"/>
  <c r="F116" i="77"/>
  <c r="F116" i="78"/>
  <c r="I120" i="77"/>
  <c r="I120" i="78"/>
  <c r="I105" i="77"/>
  <c r="I105" i="78"/>
  <c r="K117" i="77"/>
  <c r="K117" i="78"/>
  <c r="G125" i="77"/>
  <c r="G125" i="78"/>
  <c r="D123" i="77"/>
  <c r="D123" i="78"/>
  <c r="C121" i="77"/>
  <c r="C121" i="78"/>
  <c r="L120" i="77"/>
  <c r="L120" i="78"/>
  <c r="L105" i="77"/>
  <c r="L108" i="77" s="1"/>
  <c r="L105" i="78"/>
  <c r="L108" i="78" s="1"/>
  <c r="C118" i="77"/>
  <c r="C118" i="78"/>
  <c r="G105" i="77"/>
  <c r="G108" i="77" s="1"/>
  <c r="G105" i="78"/>
  <c r="G108" i="78" s="1"/>
  <c r="E124" i="77"/>
  <c r="E124" i="78"/>
  <c r="D114" i="77"/>
  <c r="D114" i="78"/>
  <c r="F123" i="77"/>
  <c r="F123" i="78"/>
  <c r="D125" i="77"/>
  <c r="D125" i="78"/>
  <c r="C125" i="77"/>
  <c r="C125" i="78"/>
  <c r="B123" i="77"/>
  <c r="B123" i="78"/>
  <c r="K123" i="77"/>
  <c r="K123" i="78"/>
  <c r="G116" i="77"/>
  <c r="G116" i="78"/>
  <c r="G122" i="77"/>
  <c r="G122" i="78"/>
  <c r="I125" i="77"/>
  <c r="I125" i="78"/>
  <c r="U105" i="78"/>
  <c r="Q108" i="78"/>
  <c r="AC105" i="78"/>
  <c r="Y105" i="51"/>
  <c r="Y122" i="51"/>
  <c r="Q122" i="69"/>
  <c r="U122" i="51"/>
  <c r="Q105" i="69"/>
  <c r="Q106" i="69"/>
  <c r="Y106" i="51"/>
  <c r="Q108" i="51"/>
  <c r="U108" i="51" s="1"/>
  <c r="U114" i="51"/>
  <c r="U105" i="51"/>
  <c r="Y114" i="51"/>
  <c r="U116" i="51"/>
  <c r="Y105" i="77"/>
  <c r="Y114" i="77"/>
  <c r="P7" i="62"/>
  <c r="Y122" i="77"/>
  <c r="U120" i="51"/>
  <c r="Z108" i="51"/>
  <c r="U118" i="51"/>
  <c r="U124" i="51"/>
  <c r="AA118" i="77"/>
  <c r="U118" i="77"/>
  <c r="AA123" i="77"/>
  <c r="Y121" i="51"/>
  <c r="Y124" i="51"/>
  <c r="Y118" i="77"/>
  <c r="AA122" i="77"/>
  <c r="U122" i="77"/>
  <c r="U125" i="77"/>
  <c r="U121" i="77"/>
  <c r="AA121" i="77"/>
  <c r="Q125" i="69"/>
  <c r="AA120" i="77"/>
  <c r="U120" i="77"/>
  <c r="AA124" i="77"/>
  <c r="U124" i="77"/>
  <c r="U106" i="77"/>
  <c r="AA106" i="77"/>
  <c r="U125" i="51"/>
  <c r="Y124" i="77"/>
  <c r="AA117" i="77"/>
  <c r="U117" i="77"/>
  <c r="AA116" i="77"/>
  <c r="U116" i="77"/>
  <c r="Q108" i="77"/>
  <c r="U105" i="77"/>
  <c r="U114" i="77"/>
  <c r="AA114" i="77"/>
  <c r="Y118" i="51"/>
  <c r="Q118" i="69"/>
  <c r="Q124" i="69"/>
  <c r="Q117" i="69"/>
  <c r="E20" i="74"/>
  <c r="U106" i="51"/>
  <c r="Q120" i="69"/>
  <c r="Q121" i="69"/>
  <c r="Q116" i="69"/>
  <c r="U121" i="51"/>
  <c r="AB105" i="51"/>
  <c r="AB108" i="51" s="1"/>
  <c r="AA108" i="51"/>
  <c r="R7" i="62"/>
  <c r="V7" i="62"/>
  <c r="L104" i="51"/>
  <c r="O104" i="51" s="1"/>
  <c r="P104" i="62"/>
  <c r="R104" i="62" s="1"/>
  <c r="V64" i="62"/>
  <c r="V126" i="62"/>
  <c r="X108" i="51"/>
  <c r="V103" i="62"/>
  <c r="V45" i="62"/>
  <c r="V25" i="62"/>
  <c r="V17" i="62"/>
  <c r="V93" i="62"/>
  <c r="V81" i="62"/>
  <c r="V55" i="62"/>
  <c r="V58" i="62"/>
  <c r="V49" i="62"/>
  <c r="V29" i="62"/>
  <c r="V96" i="62"/>
  <c r="V90" i="62"/>
  <c r="V27" i="62"/>
  <c r="E20" i="75"/>
  <c r="X46" i="51"/>
  <c r="Y46" i="51" s="1"/>
  <c r="V109" i="62"/>
  <c r="V101" i="62"/>
  <c r="V47" i="62"/>
  <c r="V107" i="62"/>
  <c r="V92" i="62"/>
  <c r="V53" i="62"/>
  <c r="R12" i="62"/>
  <c r="V12" i="62"/>
  <c r="J108" i="62"/>
  <c r="B18" i="62"/>
  <c r="P85" i="62"/>
  <c r="P88" i="62"/>
  <c r="P11" i="62"/>
  <c r="R11" i="62" s="1"/>
  <c r="P74" i="62"/>
  <c r="E108" i="62"/>
  <c r="P82" i="62"/>
  <c r="R82" i="62" s="1"/>
  <c r="P10" i="62"/>
  <c r="R10" i="62" s="1"/>
  <c r="P52" i="62"/>
  <c r="F108" i="62"/>
  <c r="P89" i="62"/>
  <c r="P86" i="62"/>
  <c r="P35" i="62"/>
  <c r="R35" i="62" s="1"/>
  <c r="K18" i="62"/>
  <c r="P8" i="62"/>
  <c r="B108" i="62"/>
  <c r="D18" i="62"/>
  <c r="G12" i="69"/>
  <c r="C18" i="62"/>
  <c r="G8" i="69"/>
  <c r="K108" i="62"/>
  <c r="F8" i="69"/>
  <c r="G108" i="62"/>
  <c r="F127" i="62"/>
  <c r="E127" i="62"/>
  <c r="D108" i="62"/>
  <c r="E12" i="69"/>
  <c r="C46" i="62"/>
  <c r="E18" i="62"/>
  <c r="A108" i="62"/>
  <c r="C108" i="62"/>
  <c r="B127" i="62"/>
  <c r="G127" i="62"/>
  <c r="D127" i="62"/>
  <c r="L46" i="62"/>
  <c r="F12" i="69"/>
  <c r="D46" i="62"/>
  <c r="G46" i="62"/>
  <c r="K50" i="66"/>
  <c r="J50" i="66"/>
  <c r="E46" i="62"/>
  <c r="K127" i="62"/>
  <c r="G18" i="62"/>
  <c r="I46" i="62"/>
  <c r="L50" i="66"/>
  <c r="I108" i="62"/>
  <c r="F46" i="62"/>
  <c r="C127" i="62"/>
  <c r="B46" i="62"/>
  <c r="K46" i="62"/>
  <c r="F18" i="62"/>
  <c r="A28" i="62"/>
  <c r="K28" i="62"/>
  <c r="A91" i="62"/>
  <c r="H18" i="62"/>
  <c r="H127" i="62"/>
  <c r="L91" i="62"/>
  <c r="C28" i="62"/>
  <c r="A46" i="62"/>
  <c r="E91" i="62"/>
  <c r="A127" i="62"/>
  <c r="G91" i="62"/>
  <c r="F91" i="62"/>
  <c r="L127" i="62"/>
  <c r="E28" i="62"/>
  <c r="L18" i="62"/>
  <c r="H28" i="62"/>
  <c r="B28" i="62"/>
  <c r="I127" i="62"/>
  <c r="J127" i="62"/>
  <c r="B91" i="62"/>
  <c r="A18" i="62"/>
  <c r="J91" i="62"/>
  <c r="D28" i="62"/>
  <c r="F28" i="62"/>
  <c r="I91" i="62"/>
  <c r="D91" i="62"/>
  <c r="H91" i="62"/>
  <c r="J28" i="62"/>
  <c r="J46" i="62"/>
  <c r="C91" i="62"/>
  <c r="H46" i="62"/>
  <c r="L28" i="62"/>
  <c r="K91" i="62"/>
  <c r="L108" i="62"/>
  <c r="G28" i="62"/>
  <c r="E108" i="78" l="1"/>
  <c r="A108" i="77"/>
  <c r="O115" i="79"/>
  <c r="P115" i="79" s="1"/>
  <c r="O115" i="78"/>
  <c r="P115" i="78" s="1"/>
  <c r="R115" i="78" s="1"/>
  <c r="V116" i="79"/>
  <c r="R116" i="79"/>
  <c r="V117" i="79"/>
  <c r="R117" i="79"/>
  <c r="V122" i="79"/>
  <c r="R122" i="79"/>
  <c r="R114" i="79"/>
  <c r="V114" i="79"/>
  <c r="J108" i="77"/>
  <c r="R124" i="79"/>
  <c r="V124" i="79"/>
  <c r="R125" i="79"/>
  <c r="V125" i="79"/>
  <c r="P105" i="79"/>
  <c r="O108" i="79"/>
  <c r="V123" i="79"/>
  <c r="R123" i="79"/>
  <c r="R115" i="79"/>
  <c r="V115" i="79"/>
  <c r="C108" i="78"/>
  <c r="O127" i="62"/>
  <c r="R121" i="79"/>
  <c r="V121" i="79"/>
  <c r="R120" i="79"/>
  <c r="V120" i="79"/>
  <c r="F108" i="78"/>
  <c r="O91" i="62"/>
  <c r="I108" i="77"/>
  <c r="V106" i="79"/>
  <c r="R106" i="79"/>
  <c r="I108" i="78"/>
  <c r="O106" i="77"/>
  <c r="P106" i="77" s="1"/>
  <c r="R106" i="77" s="1"/>
  <c r="F108" i="77"/>
  <c r="D108" i="77"/>
  <c r="AC108" i="77"/>
  <c r="X108" i="77"/>
  <c r="E108" i="77"/>
  <c r="O122" i="78"/>
  <c r="P122" i="78" s="1"/>
  <c r="R122" i="78" s="1"/>
  <c r="O122" i="77"/>
  <c r="P122" i="77" s="1"/>
  <c r="R122" i="77" s="1"/>
  <c r="O123" i="77"/>
  <c r="C108" i="77"/>
  <c r="O120" i="77"/>
  <c r="P120" i="77" s="1"/>
  <c r="R120" i="77" s="1"/>
  <c r="O125" i="77"/>
  <c r="P125" i="77" s="1"/>
  <c r="R125" i="77" s="1"/>
  <c r="L127" i="78"/>
  <c r="O116" i="77"/>
  <c r="P116" i="77" s="1"/>
  <c r="R116" i="77" s="1"/>
  <c r="O125" i="78"/>
  <c r="P125" i="78" s="1"/>
  <c r="R125" i="78" s="1"/>
  <c r="O114" i="78"/>
  <c r="O114" i="77"/>
  <c r="P114" i="77" s="1"/>
  <c r="V114" i="77" s="1"/>
  <c r="V115" i="78"/>
  <c r="O118" i="78"/>
  <c r="P118" i="78" s="1"/>
  <c r="R118" i="78" s="1"/>
  <c r="O117" i="78"/>
  <c r="P117" i="78" s="1"/>
  <c r="R117" i="78" s="1"/>
  <c r="O116" i="78"/>
  <c r="P116" i="78" s="1"/>
  <c r="R116" i="78" s="1"/>
  <c r="O121" i="78"/>
  <c r="P121" i="78" s="1"/>
  <c r="R121" i="78" s="1"/>
  <c r="O106" i="78"/>
  <c r="P106" i="78" s="1"/>
  <c r="O124" i="78"/>
  <c r="P124" i="78" s="1"/>
  <c r="R124" i="78" s="1"/>
  <c r="O118" i="77"/>
  <c r="P118" i="77" s="1"/>
  <c r="R118" i="77" s="1"/>
  <c r="J108" i="78"/>
  <c r="O117" i="77"/>
  <c r="P117" i="77" s="1"/>
  <c r="R117" i="77" s="1"/>
  <c r="O123" i="78"/>
  <c r="P123" i="78" s="1"/>
  <c r="R123" i="78" s="1"/>
  <c r="O105" i="77"/>
  <c r="O108" i="77" s="1"/>
  <c r="K108" i="78"/>
  <c r="O121" i="77"/>
  <c r="P121" i="77" s="1"/>
  <c r="R121" i="77" s="1"/>
  <c r="O124" i="77"/>
  <c r="P124" i="77" s="1"/>
  <c r="R124" i="77" s="1"/>
  <c r="B108" i="78"/>
  <c r="U108" i="78"/>
  <c r="Y108" i="78"/>
  <c r="AC108" i="78"/>
  <c r="D108" i="78"/>
  <c r="O108" i="62"/>
  <c r="O120" i="78"/>
  <c r="P120" i="78" s="1"/>
  <c r="R120" i="78" s="1"/>
  <c r="O105" i="78"/>
  <c r="A108" i="78"/>
  <c r="Y127" i="78"/>
  <c r="U127" i="78"/>
  <c r="Y108" i="51"/>
  <c r="Y108" i="77"/>
  <c r="U108" i="77"/>
  <c r="P123" i="77"/>
  <c r="Z127" i="77"/>
  <c r="AA127" i="77"/>
  <c r="P76" i="62"/>
  <c r="V76" i="62" s="1"/>
  <c r="P50" i="62"/>
  <c r="L104" i="69"/>
  <c r="P32" i="62"/>
  <c r="R32" i="62" s="1"/>
  <c r="P68" i="62"/>
  <c r="R68" i="62" s="1"/>
  <c r="P40" i="62"/>
  <c r="R40" i="62" s="1"/>
  <c r="P48" i="62"/>
  <c r="R48" i="62" s="1"/>
  <c r="P42" i="62"/>
  <c r="R88" i="62"/>
  <c r="V88" i="62"/>
  <c r="V104" i="62"/>
  <c r="V11" i="62"/>
  <c r="R89" i="62"/>
  <c r="V89" i="62"/>
  <c r="R76" i="62"/>
  <c r="P26" i="62"/>
  <c r="R85" i="62"/>
  <c r="V85" i="62"/>
  <c r="V35" i="62"/>
  <c r="V68" i="62"/>
  <c r="R86" i="62"/>
  <c r="V86" i="62"/>
  <c r="R74" i="62"/>
  <c r="V74" i="62"/>
  <c r="V10" i="62"/>
  <c r="V82" i="62"/>
  <c r="V8" i="62"/>
  <c r="R8" i="62"/>
  <c r="P71" i="62"/>
  <c r="P31" i="62"/>
  <c r="P21" i="62"/>
  <c r="P78" i="62"/>
  <c r="P13" i="62"/>
  <c r="P72" i="62"/>
  <c r="P98" i="62"/>
  <c r="P120" i="62"/>
  <c r="P39" i="62"/>
  <c r="P73" i="62"/>
  <c r="P77" i="62"/>
  <c r="P125" i="62"/>
  <c r="P41" i="62"/>
  <c r="P43" i="62"/>
  <c r="P118" i="62"/>
  <c r="P123" i="62"/>
  <c r="P117" i="62"/>
  <c r="P124" i="62"/>
  <c r="P16" i="62"/>
  <c r="P106" i="62"/>
  <c r="P122" i="62"/>
  <c r="P36" i="62"/>
  <c r="P119" i="62"/>
  <c r="P121" i="62"/>
  <c r="P69" i="62"/>
  <c r="G20" i="75"/>
  <c r="P33" i="62"/>
  <c r="P38" i="62"/>
  <c r="P84" i="62"/>
  <c r="P116" i="62"/>
  <c r="P100" i="62"/>
  <c r="P80" i="62"/>
  <c r="P95" i="62"/>
  <c r="P115" i="62"/>
  <c r="P79" i="62"/>
  <c r="P83" i="62"/>
  <c r="P67" i="62"/>
  <c r="P114" i="62"/>
  <c r="P30" i="62"/>
  <c r="P23" i="62"/>
  <c r="P37" i="62"/>
  <c r="P20" i="62"/>
  <c r="P99" i="62"/>
  <c r="P97" i="62"/>
  <c r="P105" i="62"/>
  <c r="P44" i="62"/>
  <c r="P75" i="62"/>
  <c r="P70" i="62"/>
  <c r="O50" i="51"/>
  <c r="L50" i="69"/>
  <c r="K50" i="69"/>
  <c r="J50" i="69"/>
  <c r="O50" i="66"/>
  <c r="O104" i="69"/>
  <c r="P104" i="51"/>
  <c r="R105" i="79" l="1"/>
  <c r="R108" i="79" s="1"/>
  <c r="V105" i="79"/>
  <c r="P108" i="79"/>
  <c r="V108" i="79" s="1"/>
  <c r="V116" i="77"/>
  <c r="V125" i="77"/>
  <c r="V121" i="77"/>
  <c r="V117" i="77"/>
  <c r="V124" i="78"/>
  <c r="V122" i="78"/>
  <c r="V122" i="77"/>
  <c r="V116" i="78"/>
  <c r="P105" i="77"/>
  <c r="V105" i="77" s="1"/>
  <c r="V117" i="78"/>
  <c r="V123" i="78"/>
  <c r="V120" i="78"/>
  <c r="V118" i="78"/>
  <c r="P105" i="78"/>
  <c r="O108" i="78"/>
  <c r="V125" i="78"/>
  <c r="V121" i="78"/>
  <c r="V106" i="78"/>
  <c r="R106" i="78"/>
  <c r="V120" i="77"/>
  <c r="P114" i="78"/>
  <c r="V32" i="62"/>
  <c r="V50" i="62"/>
  <c r="R50" i="62"/>
  <c r="V118" i="77"/>
  <c r="V106" i="77"/>
  <c r="V124" i="77"/>
  <c r="R114" i="77"/>
  <c r="AA105" i="77"/>
  <c r="AA108" i="77" s="1"/>
  <c r="AA110" i="77" s="1"/>
  <c r="Z108" i="77"/>
  <c r="Z110" i="77" s="1"/>
  <c r="Z112" i="77" s="1"/>
  <c r="Z129" i="77" s="1"/>
  <c r="Z172" i="77" s="1"/>
  <c r="R52" i="62"/>
  <c r="V52" i="62"/>
  <c r="V40" i="62"/>
  <c r="V48" i="62"/>
  <c r="R42" i="62"/>
  <c r="V42" i="62"/>
  <c r="R79" i="62"/>
  <c r="V79" i="62"/>
  <c r="R84" i="62"/>
  <c r="V84" i="62"/>
  <c r="R36" i="62"/>
  <c r="V36" i="62"/>
  <c r="R118" i="62"/>
  <c r="V118" i="62"/>
  <c r="R77" i="62"/>
  <c r="V77" i="62"/>
  <c r="R98" i="62"/>
  <c r="V98" i="62"/>
  <c r="R31" i="62"/>
  <c r="V31" i="62"/>
  <c r="R97" i="62"/>
  <c r="V97" i="62"/>
  <c r="R20" i="62"/>
  <c r="V20" i="62"/>
  <c r="R30" i="62"/>
  <c r="V30" i="62"/>
  <c r="R115" i="62"/>
  <c r="V115" i="62"/>
  <c r="R124" i="62"/>
  <c r="V124" i="62"/>
  <c r="R37" i="62"/>
  <c r="V37" i="62"/>
  <c r="R67" i="62"/>
  <c r="V67" i="62"/>
  <c r="R100" i="62"/>
  <c r="V100" i="62"/>
  <c r="R121" i="62"/>
  <c r="V121" i="62"/>
  <c r="R106" i="62"/>
  <c r="V106" i="62"/>
  <c r="R117" i="62"/>
  <c r="V117" i="62"/>
  <c r="R41" i="62"/>
  <c r="V41" i="62"/>
  <c r="R21" i="62"/>
  <c r="V21" i="62"/>
  <c r="R26" i="62"/>
  <c r="V26" i="62"/>
  <c r="R44" i="62"/>
  <c r="V44" i="62"/>
  <c r="R114" i="62"/>
  <c r="V114" i="62"/>
  <c r="R16" i="62"/>
  <c r="V16" i="62"/>
  <c r="R78" i="62"/>
  <c r="V78" i="62"/>
  <c r="R80" i="62"/>
  <c r="V80" i="62"/>
  <c r="R38" i="62"/>
  <c r="V38" i="62"/>
  <c r="R69" i="62"/>
  <c r="V69" i="62"/>
  <c r="R122" i="62"/>
  <c r="V122" i="62"/>
  <c r="R43" i="62"/>
  <c r="V43" i="62"/>
  <c r="R73" i="62"/>
  <c r="V73" i="62"/>
  <c r="R120" i="62"/>
  <c r="V120" i="62"/>
  <c r="R72" i="62"/>
  <c r="V72" i="62"/>
  <c r="R71" i="62"/>
  <c r="V71" i="62"/>
  <c r="R70" i="62"/>
  <c r="V70" i="62"/>
  <c r="R75" i="62"/>
  <c r="V75" i="62"/>
  <c r="R105" i="62"/>
  <c r="V105" i="62"/>
  <c r="R99" i="62"/>
  <c r="V99" i="62"/>
  <c r="R23" i="62"/>
  <c r="V23" i="62"/>
  <c r="R83" i="62"/>
  <c r="V83" i="62"/>
  <c r="R95" i="62"/>
  <c r="V95" i="62"/>
  <c r="R116" i="62"/>
  <c r="V116" i="62"/>
  <c r="R33" i="62"/>
  <c r="V33" i="62"/>
  <c r="R119" i="62"/>
  <c r="V119" i="62"/>
  <c r="R123" i="62"/>
  <c r="V123" i="62"/>
  <c r="R125" i="62"/>
  <c r="V125" i="62"/>
  <c r="R39" i="62"/>
  <c r="V39" i="62"/>
  <c r="R13" i="62"/>
  <c r="V13" i="62"/>
  <c r="R104" i="51"/>
  <c r="V104" i="51"/>
  <c r="P91" i="62"/>
  <c r="V91" i="62" s="1"/>
  <c r="P18" i="62"/>
  <c r="G20" i="74"/>
  <c r="I20" i="74" s="1"/>
  <c r="I20" i="75"/>
  <c r="P46" i="62"/>
  <c r="V46" i="62" s="1"/>
  <c r="P28" i="62"/>
  <c r="V28" i="62" s="1"/>
  <c r="P108" i="62"/>
  <c r="V108" i="62" s="1"/>
  <c r="P127" i="62"/>
  <c r="V127" i="62" s="1"/>
  <c r="O50" i="69"/>
  <c r="P104" i="69"/>
  <c r="R105" i="77" l="1"/>
  <c r="R108" i="77" s="1"/>
  <c r="P108" i="77"/>
  <c r="P108" i="78"/>
  <c r="R105" i="78"/>
  <c r="R108" i="78" s="1"/>
  <c r="V105" i="78"/>
  <c r="R114" i="78"/>
  <c r="V114" i="78"/>
  <c r="V108" i="77"/>
  <c r="R108" i="62"/>
  <c r="R28" i="62"/>
  <c r="R46" i="62"/>
  <c r="R127" i="62"/>
  <c r="R18" i="62"/>
  <c r="R91" i="62"/>
  <c r="V108" i="78" l="1"/>
  <c r="V18" i="62"/>
  <c r="T18" i="51"/>
  <c r="V15" i="61"/>
  <c r="W18" i="61"/>
  <c r="W28" i="61"/>
  <c r="W46" i="61"/>
  <c r="W65" i="61"/>
  <c r="X66" i="61"/>
  <c r="D91" i="61"/>
  <c r="W91" i="61"/>
  <c r="C102" i="61"/>
  <c r="W102" i="61"/>
  <c r="D108" i="61"/>
  <c r="W108" i="61"/>
  <c r="D127" i="61"/>
  <c r="Y111" i="77" l="1"/>
  <c r="X111" i="78"/>
  <c r="Y111" i="78" s="1"/>
  <c r="X111" i="51"/>
  <c r="Y111" i="51" s="1"/>
  <c r="R13" i="61"/>
  <c r="V13" i="61"/>
  <c r="T112" i="51"/>
  <c r="X55" i="61"/>
  <c r="X17" i="61"/>
  <c r="X9" i="61"/>
  <c r="X107" i="61"/>
  <c r="X90" i="61"/>
  <c r="X45" i="61"/>
  <c r="X29" i="61"/>
  <c r="X47" i="61"/>
  <c r="P98" i="61"/>
  <c r="X64" i="61"/>
  <c r="X8" i="61"/>
  <c r="X126" i="61"/>
  <c r="X111" i="61"/>
  <c r="X104" i="61"/>
  <c r="X97" i="61"/>
  <c r="X49" i="61"/>
  <c r="X12" i="61"/>
  <c r="V12" i="61"/>
  <c r="X94" i="61"/>
  <c r="X118" i="61"/>
  <c r="W110" i="61"/>
  <c r="W112" i="61" s="1"/>
  <c r="W129" i="61" s="1"/>
  <c r="W9" i="76" s="1"/>
  <c r="E34" i="51"/>
  <c r="I34" i="51"/>
  <c r="H22" i="51"/>
  <c r="I21" i="51"/>
  <c r="H26" i="51"/>
  <c r="H88" i="51"/>
  <c r="H24" i="51"/>
  <c r="H77" i="51"/>
  <c r="E21" i="74"/>
  <c r="H86" i="51"/>
  <c r="H36" i="51"/>
  <c r="X59" i="61"/>
  <c r="K34" i="51"/>
  <c r="J26" i="51"/>
  <c r="X113" i="61"/>
  <c r="X53" i="61"/>
  <c r="X58" i="61"/>
  <c r="J39" i="51"/>
  <c r="X119" i="61"/>
  <c r="H68" i="51"/>
  <c r="J31" i="51"/>
  <c r="H44" i="51"/>
  <c r="J43" i="51"/>
  <c r="X13" i="61"/>
  <c r="J22" i="51"/>
  <c r="X19" i="61"/>
  <c r="G34" i="51"/>
  <c r="D34" i="51"/>
  <c r="X92" i="61"/>
  <c r="C34" i="51"/>
  <c r="H25" i="51"/>
  <c r="H87" i="51"/>
  <c r="A34" i="51"/>
  <c r="X27" i="61"/>
  <c r="X98" i="61"/>
  <c r="H40" i="51"/>
  <c r="X128" i="61"/>
  <c r="J35" i="51"/>
  <c r="L34" i="51"/>
  <c r="J24" i="51"/>
  <c r="X14" i="61"/>
  <c r="H75" i="51"/>
  <c r="X114" i="61"/>
  <c r="X100" i="61"/>
  <c r="X50" i="61"/>
  <c r="H76" i="51"/>
  <c r="J105" i="51"/>
  <c r="D102" i="61"/>
  <c r="X81" i="61"/>
  <c r="H85" i="51"/>
  <c r="H74" i="51"/>
  <c r="H84" i="51"/>
  <c r="H73" i="51"/>
  <c r="J23" i="51"/>
  <c r="H83" i="51"/>
  <c r="H80" i="51"/>
  <c r="H72" i="51"/>
  <c r="X60" i="61"/>
  <c r="H32" i="51"/>
  <c r="H23" i="51"/>
  <c r="H20" i="51"/>
  <c r="H82" i="51"/>
  <c r="H79" i="51"/>
  <c r="H71" i="51"/>
  <c r="X15" i="61"/>
  <c r="H89" i="51"/>
  <c r="H78" i="51"/>
  <c r="H70" i="51"/>
  <c r="J40" i="51"/>
  <c r="J25" i="51"/>
  <c r="J36" i="51"/>
  <c r="J21" i="51"/>
  <c r="J32" i="51"/>
  <c r="H43" i="51"/>
  <c r="J42" i="51"/>
  <c r="H39" i="51"/>
  <c r="J38" i="51"/>
  <c r="H35" i="51"/>
  <c r="J34" i="51"/>
  <c r="B34" i="51"/>
  <c r="H31" i="51"/>
  <c r="J30" i="51"/>
  <c r="H42" i="51"/>
  <c r="J41" i="51"/>
  <c r="H38" i="51"/>
  <c r="J37" i="51"/>
  <c r="H34" i="51"/>
  <c r="J33" i="51"/>
  <c r="H30" i="51"/>
  <c r="H41" i="51"/>
  <c r="H37" i="51"/>
  <c r="F34" i="51"/>
  <c r="H33" i="51"/>
  <c r="V98" i="61" l="1"/>
  <c r="R98" i="61"/>
  <c r="V111" i="61"/>
  <c r="T10" i="76"/>
  <c r="T13" i="76" s="1"/>
  <c r="U10" i="76"/>
  <c r="T129" i="51"/>
  <c r="P7" i="61"/>
  <c r="N34" i="51"/>
  <c r="X56" i="61"/>
  <c r="X51" i="61"/>
  <c r="P96" i="61"/>
  <c r="X96" i="61" s="1"/>
  <c r="X54" i="61"/>
  <c r="H67" i="66"/>
  <c r="H67" i="51"/>
  <c r="H69" i="66"/>
  <c r="H69" i="51"/>
  <c r="X123" i="61"/>
  <c r="X22" i="61"/>
  <c r="X121" i="61"/>
  <c r="X88" i="61"/>
  <c r="P106" i="61"/>
  <c r="X115" i="61"/>
  <c r="X32" i="61"/>
  <c r="X41" i="61"/>
  <c r="P38" i="61"/>
  <c r="P25" i="61"/>
  <c r="X31" i="61"/>
  <c r="X34" i="61"/>
  <c r="X73" i="61"/>
  <c r="X39" i="61"/>
  <c r="X35" i="61"/>
  <c r="P85" i="61"/>
  <c r="I46" i="61"/>
  <c r="P79" i="61"/>
  <c r="X84" i="61"/>
  <c r="X26" i="61"/>
  <c r="P93" i="61"/>
  <c r="P57" i="61"/>
  <c r="P76" i="61"/>
  <c r="I28" i="61"/>
  <c r="I34" i="66"/>
  <c r="I34" i="69" s="1"/>
  <c r="G18" i="61"/>
  <c r="D18" i="61"/>
  <c r="F102" i="61"/>
  <c r="I108" i="61"/>
  <c r="K18" i="61"/>
  <c r="D65" i="61"/>
  <c r="I21" i="66"/>
  <c r="B18" i="61"/>
  <c r="J108" i="61"/>
  <c r="C18" i="61"/>
  <c r="F18" i="61"/>
  <c r="G102" i="61"/>
  <c r="G108" i="61"/>
  <c r="L65" i="61"/>
  <c r="B127" i="61"/>
  <c r="B65" i="61"/>
  <c r="K108" i="61"/>
  <c r="C46" i="61"/>
  <c r="B28" i="61"/>
  <c r="C127" i="61"/>
  <c r="L18" i="61"/>
  <c r="L46" i="61"/>
  <c r="I127" i="61"/>
  <c r="K127" i="61"/>
  <c r="D46" i="61"/>
  <c r="E46" i="61"/>
  <c r="K102" i="61"/>
  <c r="F127" i="61"/>
  <c r="G127" i="61"/>
  <c r="L28" i="61"/>
  <c r="G46" i="61"/>
  <c r="F46" i="61"/>
  <c r="F65" i="61"/>
  <c r="F91" i="61"/>
  <c r="G28" i="61"/>
  <c r="E127" i="61"/>
  <c r="A46" i="61"/>
  <c r="C91" i="61"/>
  <c r="B102" i="61"/>
  <c r="E28" i="61"/>
  <c r="A127" i="61"/>
  <c r="A91" i="61"/>
  <c r="H108" i="61"/>
  <c r="H65" i="61"/>
  <c r="L91" i="61"/>
  <c r="J102" i="61"/>
  <c r="H18" i="61"/>
  <c r="H46" i="61"/>
  <c r="D28" i="61"/>
  <c r="J65" i="61"/>
  <c r="K65" i="61"/>
  <c r="B108" i="61"/>
  <c r="C108" i="61"/>
  <c r="E108" i="61"/>
  <c r="J91" i="61"/>
  <c r="I102" i="61"/>
  <c r="E18" i="61"/>
  <c r="F28" i="61"/>
  <c r="H28" i="61"/>
  <c r="C65" i="61"/>
  <c r="K28" i="61"/>
  <c r="X57" i="61"/>
  <c r="A102" i="61"/>
  <c r="L108" i="61"/>
  <c r="I91" i="61"/>
  <c r="H91" i="61"/>
  <c r="E65" i="61"/>
  <c r="K91" i="61"/>
  <c r="A108" i="61"/>
  <c r="J18" i="61"/>
  <c r="B46" i="61"/>
  <c r="A65" i="61"/>
  <c r="J28" i="61"/>
  <c r="B91" i="61"/>
  <c r="H102" i="61"/>
  <c r="E102" i="61"/>
  <c r="H127" i="61"/>
  <c r="K46" i="61"/>
  <c r="A18" i="61"/>
  <c r="J46" i="61"/>
  <c r="A28" i="61"/>
  <c r="C28" i="61"/>
  <c r="G65" i="61"/>
  <c r="J127" i="61"/>
  <c r="L127" i="61"/>
  <c r="E91" i="61"/>
  <c r="G91" i="61"/>
  <c r="F108" i="61"/>
  <c r="L102" i="61"/>
  <c r="X93" i="61" l="1"/>
  <c r="P71" i="61"/>
  <c r="R71" i="61" s="1"/>
  <c r="P83" i="61"/>
  <c r="P51" i="61"/>
  <c r="V106" i="61"/>
  <c r="R106" i="61"/>
  <c r="V7" i="61"/>
  <c r="R7" i="61"/>
  <c r="V93" i="61"/>
  <c r="R93" i="61"/>
  <c r="P74" i="61"/>
  <c r="P89" i="61"/>
  <c r="R85" i="61"/>
  <c r="V85" i="61"/>
  <c r="R83" i="61"/>
  <c r="V83" i="61"/>
  <c r="R79" i="61"/>
  <c r="V79" i="61"/>
  <c r="V76" i="61"/>
  <c r="R76" i="61"/>
  <c r="V38" i="61"/>
  <c r="R38" i="61"/>
  <c r="V25" i="61"/>
  <c r="R25" i="61"/>
  <c r="R96" i="61"/>
  <c r="V96" i="61"/>
  <c r="P54" i="61"/>
  <c r="R57" i="61"/>
  <c r="V57" i="61"/>
  <c r="V51" i="61"/>
  <c r="R51" i="61"/>
  <c r="T172" i="51"/>
  <c r="X38" i="61"/>
  <c r="P75" i="61"/>
  <c r="P72" i="61"/>
  <c r="P122" i="61"/>
  <c r="P56" i="61"/>
  <c r="X106" i="61"/>
  <c r="H69" i="69"/>
  <c r="H67" i="69"/>
  <c r="P123" i="61"/>
  <c r="P86" i="61"/>
  <c r="P52" i="61"/>
  <c r="P78" i="61"/>
  <c r="P121" i="61"/>
  <c r="P42" i="61"/>
  <c r="P70" i="61"/>
  <c r="P44" i="61"/>
  <c r="P69" i="61"/>
  <c r="P21" i="61"/>
  <c r="X108" i="61"/>
  <c r="P82" i="61"/>
  <c r="P124" i="61"/>
  <c r="P31" i="61"/>
  <c r="P48" i="61"/>
  <c r="P37" i="61"/>
  <c r="P24" i="61"/>
  <c r="P84" i="61"/>
  <c r="P23" i="61"/>
  <c r="P36" i="61"/>
  <c r="P80" i="61"/>
  <c r="P125" i="61"/>
  <c r="P61" i="61"/>
  <c r="X61" i="61" s="1"/>
  <c r="P117" i="61"/>
  <c r="X11" i="61"/>
  <c r="P41" i="61"/>
  <c r="X122" i="61"/>
  <c r="P35" i="61"/>
  <c r="P39" i="61"/>
  <c r="P34" i="61"/>
  <c r="P22" i="61"/>
  <c r="P63" i="61"/>
  <c r="X63" i="61" s="1"/>
  <c r="P26" i="61"/>
  <c r="AA18" i="61"/>
  <c r="P77" i="61"/>
  <c r="X36" i="61"/>
  <c r="X77" i="61"/>
  <c r="P120" i="61"/>
  <c r="P68" i="61"/>
  <c r="P40" i="61"/>
  <c r="P99" i="61"/>
  <c r="P20" i="61"/>
  <c r="P73" i="61"/>
  <c r="P67" i="61"/>
  <c r="X91" i="61"/>
  <c r="X42" i="61"/>
  <c r="P33" i="61"/>
  <c r="P32" i="61"/>
  <c r="P95" i="61"/>
  <c r="X102" i="61"/>
  <c r="P116" i="61"/>
  <c r="X85" i="61"/>
  <c r="P87" i="61"/>
  <c r="P115" i="61"/>
  <c r="X74" i="61"/>
  <c r="X125" i="61"/>
  <c r="P43" i="61"/>
  <c r="X46" i="61"/>
  <c r="P30" i="61"/>
  <c r="X72" i="61"/>
  <c r="X43" i="61"/>
  <c r="P105" i="61"/>
  <c r="P62" i="61"/>
  <c r="X62" i="61" s="1"/>
  <c r="P88" i="61"/>
  <c r="X116" i="61"/>
  <c r="C110" i="61"/>
  <c r="C112" i="61" s="1"/>
  <c r="C129" i="61" s="1"/>
  <c r="X25" i="61"/>
  <c r="I21" i="69"/>
  <c r="D110" i="61"/>
  <c r="D112" i="61" s="1"/>
  <c r="D129" i="61" s="1"/>
  <c r="I110" i="61"/>
  <c r="I112" i="61" s="1"/>
  <c r="I129" i="61" s="1"/>
  <c r="X71" i="61"/>
  <c r="G110" i="61"/>
  <c r="G112" i="61" s="1"/>
  <c r="G129" i="61" s="1"/>
  <c r="X124" i="61"/>
  <c r="L110" i="61"/>
  <c r="L112" i="61" s="1"/>
  <c r="L129" i="61" s="1"/>
  <c r="H110" i="61"/>
  <c r="H112" i="61" s="1"/>
  <c r="H129" i="61" s="1"/>
  <c r="X69" i="61"/>
  <c r="B110" i="61"/>
  <c r="B112" i="61" s="1"/>
  <c r="B129" i="61" s="1"/>
  <c r="A110" i="61"/>
  <c r="A112" i="61" s="1"/>
  <c r="J110" i="61"/>
  <c r="X117" i="61"/>
  <c r="X10" i="61"/>
  <c r="X75" i="61"/>
  <c r="X82" i="61"/>
  <c r="X79" i="61"/>
  <c r="X37" i="61"/>
  <c r="X86" i="61"/>
  <c r="X78" i="61"/>
  <c r="X16" i="61"/>
  <c r="X23" i="61"/>
  <c r="X99" i="61"/>
  <c r="X70" i="61"/>
  <c r="X33" i="61"/>
  <c r="X67" i="61"/>
  <c r="X120" i="61"/>
  <c r="X20" i="61"/>
  <c r="X105" i="61"/>
  <c r="X48" i="61"/>
  <c r="X83" i="61"/>
  <c r="F110" i="61"/>
  <c r="F112" i="61" s="1"/>
  <c r="F129" i="61" s="1"/>
  <c r="X68" i="61"/>
  <c r="E110" i="61"/>
  <c r="E112" i="61" s="1"/>
  <c r="E129" i="61" s="1"/>
  <c r="K110" i="61"/>
  <c r="K112" i="61" s="1"/>
  <c r="K129" i="61" s="1"/>
  <c r="X80" i="61"/>
  <c r="X76" i="61"/>
  <c r="X21" i="61"/>
  <c r="X40" i="61"/>
  <c r="X89" i="61"/>
  <c r="X24" i="61"/>
  <c r="X95" i="61"/>
  <c r="X87" i="61"/>
  <c r="X30" i="61"/>
  <c r="X44" i="61"/>
  <c r="Q9" i="76" l="1"/>
  <c r="X52" i="61"/>
  <c r="V71" i="61"/>
  <c r="R105" i="61"/>
  <c r="R108" i="61" s="1"/>
  <c r="V105" i="61"/>
  <c r="R116" i="61"/>
  <c r="V116" i="61"/>
  <c r="R122" i="61"/>
  <c r="V122" i="61"/>
  <c r="R115" i="61"/>
  <c r="V115" i="61"/>
  <c r="V117" i="61"/>
  <c r="R117" i="61"/>
  <c r="V124" i="61"/>
  <c r="R124" i="61"/>
  <c r="V120" i="61"/>
  <c r="R120" i="61"/>
  <c r="V121" i="61"/>
  <c r="R121" i="61"/>
  <c r="V125" i="61"/>
  <c r="R125" i="61"/>
  <c r="V123" i="61"/>
  <c r="R123" i="61"/>
  <c r="V84" i="61"/>
  <c r="R84" i="61"/>
  <c r="V86" i="61"/>
  <c r="R86" i="61"/>
  <c r="R73" i="61"/>
  <c r="V73" i="61"/>
  <c r="V80" i="61"/>
  <c r="R80" i="61"/>
  <c r="V78" i="61"/>
  <c r="R78" i="61"/>
  <c r="V89" i="61"/>
  <c r="R89" i="61"/>
  <c r="R87" i="61"/>
  <c r="V87" i="61"/>
  <c r="R75" i="61"/>
  <c r="V75" i="61"/>
  <c r="V88" i="61"/>
  <c r="R88" i="61"/>
  <c r="R67" i="61"/>
  <c r="V67" i="61"/>
  <c r="V70" i="61"/>
  <c r="R70" i="61"/>
  <c r="V68" i="61"/>
  <c r="R68" i="61"/>
  <c r="V77" i="61"/>
  <c r="R77" i="61"/>
  <c r="V82" i="61"/>
  <c r="R82" i="61"/>
  <c r="V69" i="61"/>
  <c r="R69" i="61"/>
  <c r="R72" i="61"/>
  <c r="V72" i="61"/>
  <c r="V74" i="61"/>
  <c r="R74" i="61"/>
  <c r="V34" i="61"/>
  <c r="R34" i="61"/>
  <c r="V41" i="61"/>
  <c r="R41" i="61"/>
  <c r="V44" i="61"/>
  <c r="R44" i="61"/>
  <c r="V32" i="61"/>
  <c r="R32" i="61"/>
  <c r="V39" i="61"/>
  <c r="R39" i="61"/>
  <c r="V31" i="61"/>
  <c r="R31" i="61"/>
  <c r="V43" i="61"/>
  <c r="R43" i="61"/>
  <c r="V33" i="61"/>
  <c r="R33" i="61"/>
  <c r="V40" i="61"/>
  <c r="R40" i="61"/>
  <c r="V35" i="61"/>
  <c r="R35" i="61"/>
  <c r="V37" i="61"/>
  <c r="R37" i="61"/>
  <c r="V30" i="61"/>
  <c r="R30" i="61"/>
  <c r="V36" i="61"/>
  <c r="R36" i="61"/>
  <c r="V42" i="61"/>
  <c r="R42" i="61"/>
  <c r="R21" i="61"/>
  <c r="V21" i="61"/>
  <c r="V22" i="61"/>
  <c r="R22" i="61"/>
  <c r="V26" i="61"/>
  <c r="R26" i="61"/>
  <c r="V23" i="61"/>
  <c r="R23" i="61"/>
  <c r="V24" i="61"/>
  <c r="R24" i="61"/>
  <c r="V20" i="61"/>
  <c r="R20" i="61"/>
  <c r="R99" i="61"/>
  <c r="V99" i="61"/>
  <c r="V95" i="61"/>
  <c r="R95" i="61"/>
  <c r="R52" i="61"/>
  <c r="V52" i="61"/>
  <c r="R61" i="61"/>
  <c r="V61" i="61"/>
  <c r="R56" i="61"/>
  <c r="V56" i="61"/>
  <c r="R48" i="61"/>
  <c r="V48" i="61"/>
  <c r="V62" i="61"/>
  <c r="R62" i="61"/>
  <c r="V63" i="61"/>
  <c r="R63" i="61"/>
  <c r="V54" i="61"/>
  <c r="R54" i="61"/>
  <c r="V16" i="61"/>
  <c r="R16" i="61"/>
  <c r="R11" i="61"/>
  <c r="V11" i="61"/>
  <c r="R10" i="61"/>
  <c r="V10" i="61"/>
  <c r="P108" i="61"/>
  <c r="V108" i="61" s="1"/>
  <c r="X127" i="61"/>
  <c r="G21" i="75"/>
  <c r="O9" i="76"/>
  <c r="P65" i="61"/>
  <c r="V65" i="61" s="1"/>
  <c r="P28" i="61"/>
  <c r="V28" i="61" s="1"/>
  <c r="P102" i="61"/>
  <c r="V102" i="61" s="1"/>
  <c r="P18" i="61"/>
  <c r="V18" i="61" s="1"/>
  <c r="P127" i="61"/>
  <c r="P91" i="61"/>
  <c r="V91" i="61" s="1"/>
  <c r="G21" i="74"/>
  <c r="I21" i="74" s="1"/>
  <c r="P46" i="61"/>
  <c r="V46" i="61" s="1"/>
  <c r="J112" i="61"/>
  <c r="X28" i="61"/>
  <c r="A129" i="61"/>
  <c r="X18" i="61"/>
  <c r="E8" i="74" l="1"/>
  <c r="E34" i="74" s="1"/>
  <c r="X65" i="61"/>
  <c r="R18" i="61"/>
  <c r="P110" i="61"/>
  <c r="V110" i="61" s="1"/>
  <c r="R102" i="61"/>
  <c r="R91" i="61"/>
  <c r="R46" i="61"/>
  <c r="R65" i="61"/>
  <c r="R28" i="61"/>
  <c r="G8" i="75"/>
  <c r="I21" i="75"/>
  <c r="X112" i="61"/>
  <c r="X110" i="61"/>
  <c r="G8" i="74"/>
  <c r="J129" i="61"/>
  <c r="M7" i="74" l="1"/>
  <c r="U9" i="76"/>
  <c r="X129" i="61"/>
  <c r="N9" i="76"/>
  <c r="P112" i="61"/>
  <c r="V112" i="61" s="1"/>
  <c r="R110" i="61"/>
  <c r="R112" i="61" s="1"/>
  <c r="R129" i="61" s="1"/>
  <c r="R9" i="76" s="1"/>
  <c r="G34" i="75"/>
  <c r="I8" i="75"/>
  <c r="N7" i="74"/>
  <c r="G34" i="74"/>
  <c r="I34" i="74" s="1"/>
  <c r="I8" i="74"/>
  <c r="W127" i="60"/>
  <c r="W108" i="60"/>
  <c r="H106" i="51"/>
  <c r="W102" i="60"/>
  <c r="X100" i="60"/>
  <c r="X98" i="60"/>
  <c r="W91" i="60"/>
  <c r="I89" i="60"/>
  <c r="L88" i="60"/>
  <c r="L87" i="60"/>
  <c r="I85" i="60"/>
  <c r="L84" i="60"/>
  <c r="B82" i="60"/>
  <c r="L80" i="60"/>
  <c r="L79" i="60"/>
  <c r="L76" i="60"/>
  <c r="K74" i="60"/>
  <c r="G73" i="60"/>
  <c r="A72" i="60"/>
  <c r="L71" i="60"/>
  <c r="G68" i="60"/>
  <c r="W65" i="60"/>
  <c r="H46" i="60"/>
  <c r="X45" i="60"/>
  <c r="I43" i="51"/>
  <c r="I41" i="51"/>
  <c r="I39" i="51"/>
  <c r="I37" i="51"/>
  <c r="W28" i="60"/>
  <c r="X27" i="60"/>
  <c r="D25" i="51"/>
  <c r="W18" i="60"/>
  <c r="I18" i="60"/>
  <c r="X16" i="60"/>
  <c r="X15" i="60"/>
  <c r="X10" i="60"/>
  <c r="X9" i="60"/>
  <c r="H18" i="60"/>
  <c r="B82" i="77" l="1"/>
  <c r="B82" i="79"/>
  <c r="B82" i="78"/>
  <c r="G73" i="78"/>
  <c r="G73" i="79"/>
  <c r="G73" i="77"/>
  <c r="G68" i="78"/>
  <c r="G68" i="79"/>
  <c r="G68" i="77"/>
  <c r="K74" i="77"/>
  <c r="K74" i="79"/>
  <c r="K74" i="78"/>
  <c r="L88" i="77"/>
  <c r="L88" i="79"/>
  <c r="L88" i="78"/>
  <c r="A72" i="77"/>
  <c r="A72" i="79"/>
  <c r="A72" i="78"/>
  <c r="L76" i="77"/>
  <c r="L76" i="78"/>
  <c r="L76" i="79"/>
  <c r="I89" i="77"/>
  <c r="I89" i="78"/>
  <c r="I89" i="79"/>
  <c r="L84" i="77"/>
  <c r="L84" i="79"/>
  <c r="L84" i="78"/>
  <c r="I85" i="51"/>
  <c r="I85" i="77"/>
  <c r="I85" i="79"/>
  <c r="I85" i="78"/>
  <c r="L87" i="77"/>
  <c r="L87" i="79"/>
  <c r="L87" i="78"/>
  <c r="L79" i="77"/>
  <c r="L79" i="79"/>
  <c r="L79" i="78"/>
  <c r="L71" i="51"/>
  <c r="L71" i="77"/>
  <c r="L71" i="78"/>
  <c r="L71" i="79"/>
  <c r="L80" i="79"/>
  <c r="L80" i="78"/>
  <c r="L80" i="77"/>
  <c r="X113" i="51"/>
  <c r="Y113" i="51" s="1"/>
  <c r="X128" i="51"/>
  <c r="Y128" i="51" s="1"/>
  <c r="P129" i="61"/>
  <c r="V129" i="61" s="1"/>
  <c r="I34" i="75"/>
  <c r="I89" i="66"/>
  <c r="I89" i="51"/>
  <c r="P12" i="60"/>
  <c r="K67" i="60"/>
  <c r="I114" i="51"/>
  <c r="I70" i="60"/>
  <c r="L77" i="60"/>
  <c r="F65" i="60"/>
  <c r="I40" i="51"/>
  <c r="C67" i="60"/>
  <c r="I38" i="51"/>
  <c r="I77" i="60"/>
  <c r="L82" i="60"/>
  <c r="I36" i="51"/>
  <c r="B77" i="60"/>
  <c r="A87" i="60"/>
  <c r="F77" i="60"/>
  <c r="D82" i="60"/>
  <c r="P56" i="60"/>
  <c r="I71" i="60"/>
  <c r="X107" i="60"/>
  <c r="I35" i="51"/>
  <c r="P54" i="60"/>
  <c r="C75" i="60"/>
  <c r="L89" i="60"/>
  <c r="A36" i="51"/>
  <c r="L85" i="60"/>
  <c r="I30" i="51"/>
  <c r="A39" i="51"/>
  <c r="A41" i="51"/>
  <c r="X49" i="60"/>
  <c r="L68" i="60"/>
  <c r="C76" i="60"/>
  <c r="G79" i="60"/>
  <c r="D89" i="60"/>
  <c r="B69" i="60"/>
  <c r="E73" i="60"/>
  <c r="X8" i="60"/>
  <c r="F70" i="60"/>
  <c r="I73" i="60"/>
  <c r="A33" i="51"/>
  <c r="X34" i="60"/>
  <c r="F75" i="60"/>
  <c r="I75" i="60"/>
  <c r="A37" i="51"/>
  <c r="B71" i="60"/>
  <c r="I32" i="51"/>
  <c r="E71" i="60"/>
  <c r="F71" i="60"/>
  <c r="B79" i="60"/>
  <c r="A32" i="51"/>
  <c r="A67" i="60"/>
  <c r="A70" i="60"/>
  <c r="G71" i="60"/>
  <c r="F79" i="60"/>
  <c r="E23" i="75"/>
  <c r="E23" i="74"/>
  <c r="I41" i="66"/>
  <c r="I43" i="66"/>
  <c r="I37" i="66"/>
  <c r="I85" i="66"/>
  <c r="I39" i="66"/>
  <c r="E25" i="51"/>
  <c r="E8" i="51"/>
  <c r="E8" i="66"/>
  <c r="L20" i="51"/>
  <c r="F25" i="51"/>
  <c r="E65" i="60"/>
  <c r="X56" i="60"/>
  <c r="B67" i="60"/>
  <c r="L67" i="60"/>
  <c r="C69" i="60"/>
  <c r="L74" i="60"/>
  <c r="G75" i="60"/>
  <c r="F76" i="60"/>
  <c r="K77" i="60"/>
  <c r="E79" i="60"/>
  <c r="K80" i="60"/>
  <c r="X96" i="60"/>
  <c r="E67" i="60"/>
  <c r="F69" i="60"/>
  <c r="I70" i="66"/>
  <c r="J18" i="60"/>
  <c r="C20" i="51"/>
  <c r="K25" i="51"/>
  <c r="X50" i="60"/>
  <c r="X53" i="60"/>
  <c r="F67" i="60"/>
  <c r="C68" i="60"/>
  <c r="G69" i="60"/>
  <c r="K71" i="60"/>
  <c r="A74" i="60"/>
  <c r="A75" i="60"/>
  <c r="K75" i="60"/>
  <c r="C77" i="60"/>
  <c r="A78" i="60"/>
  <c r="I79" i="60"/>
  <c r="D87" i="60"/>
  <c r="G25" i="51"/>
  <c r="B25" i="51"/>
  <c r="L25" i="51"/>
  <c r="I31" i="51"/>
  <c r="I33" i="51"/>
  <c r="A38" i="51"/>
  <c r="A40" i="51"/>
  <c r="G67" i="60"/>
  <c r="I69" i="60"/>
  <c r="C74" i="60"/>
  <c r="B75" i="60"/>
  <c r="L75" i="60"/>
  <c r="E77" i="60"/>
  <c r="F78" i="60"/>
  <c r="K79" i="60"/>
  <c r="E69" i="60"/>
  <c r="X58" i="60"/>
  <c r="I67" i="60"/>
  <c r="K69" i="60"/>
  <c r="E74" i="60"/>
  <c r="A82" i="60"/>
  <c r="D85" i="60"/>
  <c r="C25" i="51"/>
  <c r="L69" i="60"/>
  <c r="F74" i="60"/>
  <c r="E75" i="60"/>
  <c r="G77" i="60"/>
  <c r="B80" i="60"/>
  <c r="I72" i="60"/>
  <c r="G72" i="60"/>
  <c r="F72" i="60"/>
  <c r="E72" i="60"/>
  <c r="L72" i="60"/>
  <c r="K72" i="60"/>
  <c r="C72" i="60"/>
  <c r="B72" i="60"/>
  <c r="X14" i="60"/>
  <c r="X29" i="60"/>
  <c r="X57" i="60"/>
  <c r="X54" i="60"/>
  <c r="X55" i="60"/>
  <c r="K83" i="60"/>
  <c r="C83" i="60"/>
  <c r="B83" i="60"/>
  <c r="G83" i="60"/>
  <c r="A83" i="60"/>
  <c r="L83" i="60"/>
  <c r="I83" i="60"/>
  <c r="F83" i="60"/>
  <c r="E83" i="60"/>
  <c r="D83" i="60"/>
  <c r="I86" i="60"/>
  <c r="A86" i="60"/>
  <c r="G86" i="60"/>
  <c r="F86" i="60"/>
  <c r="K86" i="60"/>
  <c r="C86" i="60"/>
  <c r="B86" i="60"/>
  <c r="L86" i="60"/>
  <c r="E86" i="60"/>
  <c r="D86" i="60"/>
  <c r="H102" i="60"/>
  <c r="X13" i="60"/>
  <c r="X52" i="60"/>
  <c r="X64" i="60"/>
  <c r="I105" i="51"/>
  <c r="H127" i="60"/>
  <c r="X81" i="60"/>
  <c r="I65" i="60"/>
  <c r="I116" i="51"/>
  <c r="X47" i="60"/>
  <c r="G70" i="60"/>
  <c r="E70" i="60"/>
  <c r="L70" i="60"/>
  <c r="C70" i="60"/>
  <c r="K70" i="60"/>
  <c r="B70" i="60"/>
  <c r="F73" i="60"/>
  <c r="L73" i="60"/>
  <c r="C73" i="60"/>
  <c r="K73" i="60"/>
  <c r="B73" i="60"/>
  <c r="A73" i="60"/>
  <c r="G76" i="60"/>
  <c r="I78" i="60"/>
  <c r="G20" i="51"/>
  <c r="I80" i="60"/>
  <c r="G80" i="60"/>
  <c r="F80" i="60"/>
  <c r="E80" i="60"/>
  <c r="E68" i="60"/>
  <c r="K68" i="60"/>
  <c r="B68" i="60"/>
  <c r="A68" i="60"/>
  <c r="I68" i="60"/>
  <c r="A80" i="60"/>
  <c r="I88" i="60"/>
  <c r="A88" i="60"/>
  <c r="G88" i="60"/>
  <c r="F88" i="60"/>
  <c r="K88" i="60"/>
  <c r="C88" i="60"/>
  <c r="E88" i="60"/>
  <c r="D88" i="60"/>
  <c r="B88" i="60"/>
  <c r="X104" i="60"/>
  <c r="G78" i="60"/>
  <c r="E78" i="60"/>
  <c r="L78" i="60"/>
  <c r="C78" i="60"/>
  <c r="K78" i="60"/>
  <c r="B78" i="60"/>
  <c r="W110" i="60"/>
  <c r="W112" i="60" s="1"/>
  <c r="W129" i="60" s="1"/>
  <c r="W8" i="76" s="1"/>
  <c r="F68" i="60"/>
  <c r="C80" i="60"/>
  <c r="E87" i="60"/>
  <c r="K87" i="60"/>
  <c r="C87" i="60"/>
  <c r="B87" i="60"/>
  <c r="G87" i="60"/>
  <c r="I87" i="60"/>
  <c r="F87" i="60"/>
  <c r="I106" i="51"/>
  <c r="E76" i="60"/>
  <c r="K76" i="60"/>
  <c r="B76" i="60"/>
  <c r="A76" i="60"/>
  <c r="I76" i="60"/>
  <c r="I84" i="60"/>
  <c r="A84" i="60"/>
  <c r="G84" i="60"/>
  <c r="F84" i="60"/>
  <c r="K84" i="60"/>
  <c r="C84" i="60"/>
  <c r="E84" i="60"/>
  <c r="D84" i="60"/>
  <c r="B84" i="60"/>
  <c r="G74" i="60"/>
  <c r="G82" i="60"/>
  <c r="F82" i="60"/>
  <c r="K82" i="60"/>
  <c r="C82" i="60"/>
  <c r="E85" i="60"/>
  <c r="K85" i="60"/>
  <c r="C85" i="60"/>
  <c r="B85" i="60"/>
  <c r="G85" i="60"/>
  <c r="E89" i="60"/>
  <c r="K89" i="60"/>
  <c r="C89" i="60"/>
  <c r="B89" i="60"/>
  <c r="G89" i="60"/>
  <c r="A71" i="60"/>
  <c r="I74" i="60"/>
  <c r="A79" i="60"/>
  <c r="E82" i="60"/>
  <c r="A85" i="60"/>
  <c r="A89" i="60"/>
  <c r="A69" i="60"/>
  <c r="C71" i="60"/>
  <c r="B74" i="60"/>
  <c r="A77" i="60"/>
  <c r="C79" i="60"/>
  <c r="I82" i="60"/>
  <c r="F85" i="60"/>
  <c r="F89" i="60"/>
  <c r="X90" i="60"/>
  <c r="I118" i="51"/>
  <c r="A122" i="51"/>
  <c r="I122" i="51"/>
  <c r="I124" i="51"/>
  <c r="I117" i="51"/>
  <c r="A123" i="51"/>
  <c r="I123" i="51"/>
  <c r="I125" i="51"/>
  <c r="O72" i="60" l="1"/>
  <c r="F85" i="77"/>
  <c r="F85" i="79"/>
  <c r="F85" i="78"/>
  <c r="O85" i="60"/>
  <c r="A85" i="79"/>
  <c r="A85" i="78"/>
  <c r="A85" i="77"/>
  <c r="K89" i="77"/>
  <c r="K89" i="79"/>
  <c r="K89" i="78"/>
  <c r="K82" i="77"/>
  <c r="K82" i="79"/>
  <c r="K82" i="78"/>
  <c r="K84" i="77"/>
  <c r="K84" i="79"/>
  <c r="K84" i="78"/>
  <c r="K76" i="77"/>
  <c r="K76" i="78"/>
  <c r="K76" i="79"/>
  <c r="K87" i="77"/>
  <c r="K87" i="79"/>
  <c r="K87" i="78"/>
  <c r="L78" i="78"/>
  <c r="L78" i="77"/>
  <c r="L78" i="79"/>
  <c r="K88" i="77"/>
  <c r="K88" i="79"/>
  <c r="K88" i="78"/>
  <c r="B68" i="51"/>
  <c r="B68" i="78"/>
  <c r="B68" i="79"/>
  <c r="B68" i="77"/>
  <c r="I78" i="51"/>
  <c r="I78" i="79"/>
  <c r="I78" i="78"/>
  <c r="I78" i="77"/>
  <c r="B70" i="77"/>
  <c r="B70" i="79"/>
  <c r="B70" i="78"/>
  <c r="D86" i="77"/>
  <c r="D86" i="79"/>
  <c r="D86" i="78"/>
  <c r="O86" i="60"/>
  <c r="A86" i="77"/>
  <c r="A86" i="79"/>
  <c r="A86" i="78"/>
  <c r="G83" i="77"/>
  <c r="G83" i="79"/>
  <c r="G83" i="78"/>
  <c r="I72" i="51"/>
  <c r="I72" i="77"/>
  <c r="I72" i="79"/>
  <c r="I72" i="78"/>
  <c r="O82" i="60"/>
  <c r="A82" i="79"/>
  <c r="A82" i="78"/>
  <c r="A82" i="77"/>
  <c r="E77" i="77"/>
  <c r="E77" i="79"/>
  <c r="E77" i="78"/>
  <c r="C77" i="77"/>
  <c r="C77" i="79"/>
  <c r="C77" i="78"/>
  <c r="L67" i="77"/>
  <c r="L67" i="79"/>
  <c r="L67" i="78"/>
  <c r="F79" i="77"/>
  <c r="F79" i="79"/>
  <c r="F79" i="78"/>
  <c r="F70" i="77"/>
  <c r="F70" i="78"/>
  <c r="F70" i="79"/>
  <c r="B77" i="79"/>
  <c r="B77" i="78"/>
  <c r="B77" i="77"/>
  <c r="L77" i="79"/>
  <c r="L77" i="78"/>
  <c r="L77" i="77"/>
  <c r="I82" i="51"/>
  <c r="I82" i="77"/>
  <c r="I82" i="79"/>
  <c r="I82" i="78"/>
  <c r="E82" i="77"/>
  <c r="E82" i="79"/>
  <c r="E82" i="78"/>
  <c r="E89" i="77"/>
  <c r="E89" i="79"/>
  <c r="E89" i="78"/>
  <c r="F82" i="77"/>
  <c r="F82" i="78"/>
  <c r="F82" i="79"/>
  <c r="F84" i="78"/>
  <c r="F84" i="79"/>
  <c r="F84" i="77"/>
  <c r="E76" i="77"/>
  <c r="E76" i="79"/>
  <c r="E76" i="78"/>
  <c r="E87" i="79"/>
  <c r="E87" i="78"/>
  <c r="E87" i="77"/>
  <c r="E78" i="78"/>
  <c r="E78" i="77"/>
  <c r="E78" i="79"/>
  <c r="F88" i="77"/>
  <c r="F88" i="79"/>
  <c r="F88" i="78"/>
  <c r="K68" i="78"/>
  <c r="K68" i="79"/>
  <c r="K68" i="77"/>
  <c r="G76" i="77"/>
  <c r="G76" i="79"/>
  <c r="G76" i="78"/>
  <c r="K70" i="77"/>
  <c r="K70" i="79"/>
  <c r="K70" i="78"/>
  <c r="E86" i="77"/>
  <c r="E86" i="78"/>
  <c r="E86" i="79"/>
  <c r="I86" i="51"/>
  <c r="I86" i="79"/>
  <c r="I86" i="77"/>
  <c r="I86" i="78"/>
  <c r="B83" i="77"/>
  <c r="B83" i="78"/>
  <c r="B83" i="79"/>
  <c r="B72" i="77"/>
  <c r="B72" i="79"/>
  <c r="B72" i="78"/>
  <c r="B80" i="79"/>
  <c r="B80" i="78"/>
  <c r="B80" i="77"/>
  <c r="E74" i="77"/>
  <c r="E74" i="79"/>
  <c r="E74" i="78"/>
  <c r="L75" i="78"/>
  <c r="L75" i="79"/>
  <c r="L75" i="77"/>
  <c r="K75" i="77"/>
  <c r="K75" i="79"/>
  <c r="K75" i="78"/>
  <c r="K80" i="79"/>
  <c r="K80" i="78"/>
  <c r="K80" i="77"/>
  <c r="B67" i="77"/>
  <c r="B67" i="79"/>
  <c r="B67" i="78"/>
  <c r="G71" i="77"/>
  <c r="G71" i="78"/>
  <c r="G71" i="79"/>
  <c r="B71" i="51"/>
  <c r="B71" i="77"/>
  <c r="B71" i="79"/>
  <c r="B71" i="78"/>
  <c r="I70" i="51"/>
  <c r="I70" i="77"/>
  <c r="I70" i="79"/>
  <c r="I70" i="78"/>
  <c r="O79" i="60"/>
  <c r="P79" i="60" s="1"/>
  <c r="A79" i="78"/>
  <c r="A79" i="79"/>
  <c r="A79" i="77"/>
  <c r="G78" i="77"/>
  <c r="G78" i="79"/>
  <c r="G78" i="78"/>
  <c r="O73" i="60"/>
  <c r="A73" i="77"/>
  <c r="A73" i="79"/>
  <c r="A73" i="78"/>
  <c r="L86" i="77"/>
  <c r="L86" i="79"/>
  <c r="L86" i="78"/>
  <c r="D83" i="77"/>
  <c r="D83" i="79"/>
  <c r="D83" i="78"/>
  <c r="C83" i="77"/>
  <c r="C83" i="78"/>
  <c r="C83" i="79"/>
  <c r="C72" i="77"/>
  <c r="C72" i="79"/>
  <c r="C72" i="78"/>
  <c r="G77" i="77"/>
  <c r="G77" i="79"/>
  <c r="G77" i="78"/>
  <c r="K69" i="78"/>
  <c r="K69" i="79"/>
  <c r="K69" i="77"/>
  <c r="B75" i="78"/>
  <c r="B75" i="79"/>
  <c r="B75" i="77"/>
  <c r="O75" i="60"/>
  <c r="A75" i="79"/>
  <c r="A75" i="77"/>
  <c r="A75" i="78"/>
  <c r="E79" i="77"/>
  <c r="E79" i="79"/>
  <c r="E79" i="78"/>
  <c r="O70" i="60"/>
  <c r="P70" i="60" s="1"/>
  <c r="A70" i="77"/>
  <c r="A70" i="79"/>
  <c r="A70" i="78"/>
  <c r="E73" i="79"/>
  <c r="E73" i="78"/>
  <c r="E73" i="77"/>
  <c r="L82" i="77"/>
  <c r="L82" i="79"/>
  <c r="L82" i="78"/>
  <c r="C79" i="77"/>
  <c r="C79" i="79"/>
  <c r="C79" i="78"/>
  <c r="E68" i="79"/>
  <c r="E68" i="78"/>
  <c r="E68" i="77"/>
  <c r="I74" i="51"/>
  <c r="I74" i="77"/>
  <c r="I74" i="78"/>
  <c r="I74" i="79"/>
  <c r="B85" i="77"/>
  <c r="B85" i="79"/>
  <c r="B85" i="78"/>
  <c r="O84" i="60"/>
  <c r="A84" i="77"/>
  <c r="A84" i="79"/>
  <c r="A84" i="78"/>
  <c r="F87" i="77"/>
  <c r="F87" i="79"/>
  <c r="F87" i="78"/>
  <c r="F68" i="79"/>
  <c r="F68" i="78"/>
  <c r="F68" i="77"/>
  <c r="O88" i="60"/>
  <c r="P88" i="60" s="1"/>
  <c r="A88" i="78"/>
  <c r="A88" i="77"/>
  <c r="A88" i="79"/>
  <c r="E80" i="77"/>
  <c r="E80" i="79"/>
  <c r="E80" i="78"/>
  <c r="B73" i="77"/>
  <c r="B73" i="78"/>
  <c r="B73" i="79"/>
  <c r="L70" i="77"/>
  <c r="L70" i="79"/>
  <c r="L70" i="78"/>
  <c r="B86" i="77"/>
  <c r="B86" i="79"/>
  <c r="B86" i="78"/>
  <c r="E83" i="77"/>
  <c r="E83" i="79"/>
  <c r="E83" i="78"/>
  <c r="K83" i="77"/>
  <c r="K83" i="79"/>
  <c r="K83" i="78"/>
  <c r="K72" i="77"/>
  <c r="K72" i="79"/>
  <c r="K72" i="78"/>
  <c r="E75" i="77"/>
  <c r="E75" i="79"/>
  <c r="E75" i="78"/>
  <c r="I67" i="51"/>
  <c r="I67" i="79"/>
  <c r="I67" i="77"/>
  <c r="I67" i="78"/>
  <c r="C74" i="77"/>
  <c r="C74" i="79"/>
  <c r="C74" i="78"/>
  <c r="O74" i="60"/>
  <c r="A74" i="77"/>
  <c r="A74" i="79"/>
  <c r="A74" i="78"/>
  <c r="K77" i="77"/>
  <c r="K77" i="78"/>
  <c r="K77" i="79"/>
  <c r="O67" i="60"/>
  <c r="A67" i="77"/>
  <c r="A67" i="79"/>
  <c r="A67" i="78"/>
  <c r="I75" i="79"/>
  <c r="I75" i="78"/>
  <c r="I75" i="77"/>
  <c r="B69" i="78"/>
  <c r="B69" i="79"/>
  <c r="B69" i="77"/>
  <c r="I71" i="51"/>
  <c r="I71" i="77"/>
  <c r="I71" i="79"/>
  <c r="I71" i="78"/>
  <c r="I77" i="51"/>
  <c r="I77" i="77"/>
  <c r="I77" i="79"/>
  <c r="I77" i="78"/>
  <c r="K67" i="77"/>
  <c r="K67" i="79"/>
  <c r="K67" i="78"/>
  <c r="G88" i="77"/>
  <c r="G88" i="78"/>
  <c r="G88" i="79"/>
  <c r="C70" i="79"/>
  <c r="C70" i="78"/>
  <c r="C70" i="77"/>
  <c r="O77" i="60"/>
  <c r="A77" i="77"/>
  <c r="A77" i="79"/>
  <c r="A77" i="78"/>
  <c r="G74" i="77"/>
  <c r="G74" i="79"/>
  <c r="G74" i="78"/>
  <c r="B74" i="77"/>
  <c r="B74" i="79"/>
  <c r="B74" i="78"/>
  <c r="A71" i="51"/>
  <c r="O71" i="60"/>
  <c r="P71" i="60" s="1"/>
  <c r="A71" i="77"/>
  <c r="A71" i="79"/>
  <c r="A71" i="78"/>
  <c r="C85" i="78"/>
  <c r="C85" i="79"/>
  <c r="C85" i="77"/>
  <c r="B84" i="77"/>
  <c r="B84" i="79"/>
  <c r="B84" i="78"/>
  <c r="I84" i="51"/>
  <c r="I84" i="79"/>
  <c r="I84" i="78"/>
  <c r="I84" i="77"/>
  <c r="I87" i="51"/>
  <c r="I87" i="77"/>
  <c r="I87" i="79"/>
  <c r="I87" i="78"/>
  <c r="B88" i="77"/>
  <c r="B88" i="79"/>
  <c r="B88" i="78"/>
  <c r="I88" i="51"/>
  <c r="I88" i="77"/>
  <c r="I88" i="79"/>
  <c r="I88" i="78"/>
  <c r="F80" i="78"/>
  <c r="F80" i="79"/>
  <c r="F80" i="77"/>
  <c r="K73" i="77"/>
  <c r="K73" i="79"/>
  <c r="K73" i="78"/>
  <c r="E70" i="79"/>
  <c r="E70" i="78"/>
  <c r="E70" i="77"/>
  <c r="C86" i="78"/>
  <c r="C86" i="79"/>
  <c r="C86" i="77"/>
  <c r="F83" i="79"/>
  <c r="F83" i="78"/>
  <c r="F83" i="77"/>
  <c r="L72" i="77"/>
  <c r="L72" i="79"/>
  <c r="L72" i="78"/>
  <c r="F74" i="77"/>
  <c r="F74" i="79"/>
  <c r="F74" i="78"/>
  <c r="I69" i="51"/>
  <c r="I69" i="78"/>
  <c r="I69" i="79"/>
  <c r="I69" i="77"/>
  <c r="K71" i="79"/>
  <c r="K71" i="78"/>
  <c r="K71" i="77"/>
  <c r="F76" i="77"/>
  <c r="F76" i="79"/>
  <c r="F76" i="78"/>
  <c r="F75" i="77"/>
  <c r="F75" i="79"/>
  <c r="F75" i="78"/>
  <c r="D89" i="77"/>
  <c r="D89" i="79"/>
  <c r="D89" i="78"/>
  <c r="L85" i="77"/>
  <c r="L85" i="79"/>
  <c r="L85" i="78"/>
  <c r="G82" i="77"/>
  <c r="G82" i="79"/>
  <c r="G82" i="78"/>
  <c r="G89" i="77"/>
  <c r="G89" i="79"/>
  <c r="G89" i="78"/>
  <c r="I76" i="78"/>
  <c r="I76" i="79"/>
  <c r="I76" i="77"/>
  <c r="G87" i="77"/>
  <c r="G87" i="79"/>
  <c r="G87" i="78"/>
  <c r="B78" i="78"/>
  <c r="B78" i="79"/>
  <c r="B78" i="77"/>
  <c r="D88" i="77"/>
  <c r="D88" i="79"/>
  <c r="D88" i="78"/>
  <c r="O80" i="60"/>
  <c r="A80" i="77"/>
  <c r="A80" i="78"/>
  <c r="A80" i="79"/>
  <c r="G80" i="78"/>
  <c r="G80" i="79"/>
  <c r="G80" i="77"/>
  <c r="C73" i="77"/>
  <c r="C73" i="78"/>
  <c r="C73" i="79"/>
  <c r="G70" i="78"/>
  <c r="G70" i="79"/>
  <c r="G70" i="77"/>
  <c r="K86" i="79"/>
  <c r="K86" i="78"/>
  <c r="K86" i="77"/>
  <c r="I83" i="51"/>
  <c r="I83" i="77"/>
  <c r="I83" i="79"/>
  <c r="I83" i="78"/>
  <c r="E72" i="77"/>
  <c r="E72" i="79"/>
  <c r="E72" i="78"/>
  <c r="L69" i="79"/>
  <c r="L69" i="78"/>
  <c r="L69" i="77"/>
  <c r="E69" i="79"/>
  <c r="E69" i="78"/>
  <c r="E69" i="77"/>
  <c r="G67" i="77"/>
  <c r="G67" i="79"/>
  <c r="G67" i="78"/>
  <c r="D87" i="79"/>
  <c r="D87" i="78"/>
  <c r="D87" i="77"/>
  <c r="G69" i="78"/>
  <c r="G69" i="79"/>
  <c r="G69" i="77"/>
  <c r="G75" i="79"/>
  <c r="G75" i="78"/>
  <c r="G75" i="77"/>
  <c r="B79" i="77"/>
  <c r="B79" i="79"/>
  <c r="B79" i="78"/>
  <c r="G79" i="77"/>
  <c r="G79" i="79"/>
  <c r="G79" i="78"/>
  <c r="D82" i="79"/>
  <c r="D82" i="78"/>
  <c r="D82" i="77"/>
  <c r="C67" i="77"/>
  <c r="C67" i="79"/>
  <c r="C67" i="78"/>
  <c r="G85" i="77"/>
  <c r="G85" i="78"/>
  <c r="G85" i="79"/>
  <c r="C80" i="77"/>
  <c r="C80" i="79"/>
  <c r="C80" i="78"/>
  <c r="C71" i="51"/>
  <c r="C71" i="77"/>
  <c r="C71" i="79"/>
  <c r="C71" i="78"/>
  <c r="D84" i="79"/>
  <c r="D84" i="78"/>
  <c r="D84" i="77"/>
  <c r="B89" i="77"/>
  <c r="B89" i="79"/>
  <c r="B89" i="78"/>
  <c r="E85" i="78"/>
  <c r="E85" i="79"/>
  <c r="E85" i="77"/>
  <c r="E84" i="77"/>
  <c r="E84" i="79"/>
  <c r="E84" i="78"/>
  <c r="B87" i="77"/>
  <c r="B87" i="79"/>
  <c r="B87" i="78"/>
  <c r="K78" i="78"/>
  <c r="K78" i="79"/>
  <c r="K78" i="77"/>
  <c r="E88" i="78"/>
  <c r="E88" i="79"/>
  <c r="E88" i="77"/>
  <c r="I68" i="51"/>
  <c r="I68" i="78"/>
  <c r="I68" i="79"/>
  <c r="I68" i="77"/>
  <c r="I80" i="51"/>
  <c r="I80" i="77"/>
  <c r="I80" i="79"/>
  <c r="I80" i="78"/>
  <c r="L73" i="77"/>
  <c r="L73" i="78"/>
  <c r="L73" i="79"/>
  <c r="F86" i="78"/>
  <c r="F86" i="79"/>
  <c r="F86" i="77"/>
  <c r="L83" i="77"/>
  <c r="L83" i="79"/>
  <c r="L83" i="78"/>
  <c r="F72" i="77"/>
  <c r="F72" i="79"/>
  <c r="F72" i="78"/>
  <c r="K79" i="79"/>
  <c r="K79" i="78"/>
  <c r="K79" i="77"/>
  <c r="I79" i="51"/>
  <c r="I79" i="77"/>
  <c r="I79" i="79"/>
  <c r="I79" i="78"/>
  <c r="C68" i="78"/>
  <c r="C68" i="79"/>
  <c r="C68" i="77"/>
  <c r="F69" i="78"/>
  <c r="F69" i="79"/>
  <c r="F69" i="77"/>
  <c r="L74" i="77"/>
  <c r="L74" i="79"/>
  <c r="L74" i="78"/>
  <c r="F71" i="51"/>
  <c r="F71" i="77"/>
  <c r="F71" i="79"/>
  <c r="F71" i="78"/>
  <c r="C76" i="77"/>
  <c r="C76" i="79"/>
  <c r="C76" i="78"/>
  <c r="L89" i="77"/>
  <c r="L89" i="79"/>
  <c r="L89" i="78"/>
  <c r="F77" i="77"/>
  <c r="F77" i="79"/>
  <c r="F77" i="78"/>
  <c r="G84" i="77"/>
  <c r="G84" i="79"/>
  <c r="G84" i="78"/>
  <c r="K85" i="77"/>
  <c r="K85" i="79"/>
  <c r="K85" i="78"/>
  <c r="A69" i="78"/>
  <c r="A69" i="79"/>
  <c r="O69" i="60"/>
  <c r="A69" i="77"/>
  <c r="O76" i="60"/>
  <c r="A76" i="77"/>
  <c r="A76" i="79"/>
  <c r="A76" i="78"/>
  <c r="F89" i="77"/>
  <c r="F89" i="79"/>
  <c r="F89" i="78"/>
  <c r="O89" i="60"/>
  <c r="A89" i="77"/>
  <c r="A89" i="78"/>
  <c r="A89" i="79"/>
  <c r="C89" i="77"/>
  <c r="C89" i="79"/>
  <c r="C89" i="78"/>
  <c r="C82" i="77"/>
  <c r="C82" i="79"/>
  <c r="C82" i="78"/>
  <c r="C84" i="79"/>
  <c r="C84" i="78"/>
  <c r="C84" i="77"/>
  <c r="B76" i="77"/>
  <c r="B76" i="78"/>
  <c r="B76" i="79"/>
  <c r="C87" i="79"/>
  <c r="C87" i="78"/>
  <c r="C87" i="77"/>
  <c r="C78" i="77"/>
  <c r="C78" i="79"/>
  <c r="C78" i="78"/>
  <c r="C88" i="77"/>
  <c r="C88" i="79"/>
  <c r="C88" i="78"/>
  <c r="A68" i="51"/>
  <c r="A68" i="78"/>
  <c r="A68" i="79"/>
  <c r="O68" i="60"/>
  <c r="A68" i="77"/>
  <c r="F73" i="77"/>
  <c r="F73" i="79"/>
  <c r="F73" i="78"/>
  <c r="G86" i="77"/>
  <c r="G86" i="79"/>
  <c r="G86" i="78"/>
  <c r="O83" i="60"/>
  <c r="A83" i="78"/>
  <c r="A83" i="79"/>
  <c r="A83" i="77"/>
  <c r="O83" i="77" s="1"/>
  <c r="P83" i="77" s="1"/>
  <c r="G72" i="78"/>
  <c r="G72" i="79"/>
  <c r="G72" i="77"/>
  <c r="D85" i="78"/>
  <c r="D85" i="77"/>
  <c r="D85" i="79"/>
  <c r="F78" i="77"/>
  <c r="F78" i="78"/>
  <c r="F78" i="79"/>
  <c r="O78" i="60"/>
  <c r="A78" i="77"/>
  <c r="A78" i="79"/>
  <c r="A78" i="78"/>
  <c r="F67" i="79"/>
  <c r="F67" i="78"/>
  <c r="F67" i="77"/>
  <c r="E67" i="77"/>
  <c r="E67" i="78"/>
  <c r="E67" i="79"/>
  <c r="C69" i="78"/>
  <c r="C69" i="79"/>
  <c r="C69" i="77"/>
  <c r="E71" i="78"/>
  <c r="E71" i="79"/>
  <c r="E71" i="77"/>
  <c r="I73" i="78"/>
  <c r="I73" i="77"/>
  <c r="I73" i="79"/>
  <c r="L68" i="78"/>
  <c r="L68" i="79"/>
  <c r="L68" i="77"/>
  <c r="C75" i="78"/>
  <c r="C75" i="77"/>
  <c r="C75" i="79"/>
  <c r="O87" i="60"/>
  <c r="A87" i="77"/>
  <c r="A87" i="79"/>
  <c r="A87" i="78"/>
  <c r="I114" i="66"/>
  <c r="I114" i="69" s="1"/>
  <c r="R56" i="60"/>
  <c r="V56" i="60"/>
  <c r="R54" i="60"/>
  <c r="V54" i="60"/>
  <c r="R12" i="60"/>
  <c r="V12" i="60"/>
  <c r="V128" i="60"/>
  <c r="V113" i="60"/>
  <c r="V9" i="76"/>
  <c r="P9" i="76"/>
  <c r="I35" i="66"/>
  <c r="I35" i="69" s="1"/>
  <c r="O25" i="51"/>
  <c r="X12" i="60"/>
  <c r="I89" i="69"/>
  <c r="I77" i="66"/>
  <c r="L108" i="60"/>
  <c r="I71" i="66"/>
  <c r="I71" i="69" s="1"/>
  <c r="G71" i="66"/>
  <c r="G71" i="51"/>
  <c r="E71" i="66"/>
  <c r="E71" i="51"/>
  <c r="I73" i="66"/>
  <c r="I73" i="51"/>
  <c r="I76" i="66"/>
  <c r="I76" i="51"/>
  <c r="P59" i="60"/>
  <c r="I75" i="66"/>
  <c r="I75" i="51"/>
  <c r="I44" i="66"/>
  <c r="I44" i="51"/>
  <c r="I42" i="66"/>
  <c r="I42" i="51"/>
  <c r="E106" i="66"/>
  <c r="E106" i="51"/>
  <c r="K71" i="51"/>
  <c r="P80" i="60"/>
  <c r="P85" i="60"/>
  <c r="P106" i="60"/>
  <c r="X77" i="60"/>
  <c r="X120" i="60"/>
  <c r="I36" i="66"/>
  <c r="I36" i="69" s="1"/>
  <c r="X75" i="60"/>
  <c r="I40" i="66"/>
  <c r="I40" i="69" s="1"/>
  <c r="P42" i="60"/>
  <c r="P74" i="60"/>
  <c r="P24" i="60"/>
  <c r="P22" i="60"/>
  <c r="P35" i="60"/>
  <c r="P23" i="60"/>
  <c r="P31" i="60"/>
  <c r="P76" i="60"/>
  <c r="P63" i="60"/>
  <c r="P97" i="60"/>
  <c r="X26" i="60"/>
  <c r="P33" i="60"/>
  <c r="P117" i="60"/>
  <c r="P40" i="60"/>
  <c r="P44" i="60"/>
  <c r="P125" i="60"/>
  <c r="X95" i="60"/>
  <c r="P32" i="60"/>
  <c r="P41" i="60"/>
  <c r="P87" i="60"/>
  <c r="X30" i="60"/>
  <c r="P8" i="60"/>
  <c r="P121" i="60"/>
  <c r="P84" i="60"/>
  <c r="P57" i="60"/>
  <c r="P115" i="60"/>
  <c r="P82" i="60"/>
  <c r="X39" i="60"/>
  <c r="X93" i="60"/>
  <c r="P119" i="60"/>
  <c r="P123" i="60"/>
  <c r="P89" i="60"/>
  <c r="P61" i="60"/>
  <c r="P38" i="60"/>
  <c r="P51" i="60"/>
  <c r="P94" i="60"/>
  <c r="I30" i="66"/>
  <c r="I30" i="69" s="1"/>
  <c r="I38" i="66"/>
  <c r="I38" i="69" s="1"/>
  <c r="I46" i="60"/>
  <c r="C28" i="60"/>
  <c r="B65" i="60"/>
  <c r="B102" i="60"/>
  <c r="J127" i="60"/>
  <c r="E46" i="60"/>
  <c r="L46" i="60"/>
  <c r="F46" i="60"/>
  <c r="L65" i="60"/>
  <c r="E8" i="69"/>
  <c r="J102" i="60"/>
  <c r="C65" i="60"/>
  <c r="J46" i="60"/>
  <c r="D91" i="60"/>
  <c r="B127" i="60"/>
  <c r="I32" i="66"/>
  <c r="I32" i="69" s="1"/>
  <c r="G46" i="60"/>
  <c r="L102" i="60"/>
  <c r="D102" i="60"/>
  <c r="K65" i="60"/>
  <c r="G102" i="60"/>
  <c r="G127" i="60"/>
  <c r="C91" i="60"/>
  <c r="X125" i="60"/>
  <c r="G65" i="60"/>
  <c r="A68" i="66"/>
  <c r="A68" i="69" s="1"/>
  <c r="A46" i="60"/>
  <c r="K127" i="60"/>
  <c r="X78" i="60"/>
  <c r="I125" i="66"/>
  <c r="I86" i="66"/>
  <c r="I106" i="66"/>
  <c r="E91" i="60"/>
  <c r="I72" i="66"/>
  <c r="I39" i="69"/>
  <c r="E102" i="60"/>
  <c r="J65" i="60"/>
  <c r="I68" i="66"/>
  <c r="I33" i="66"/>
  <c r="B46" i="60"/>
  <c r="F102" i="60"/>
  <c r="I118" i="66"/>
  <c r="I122" i="66"/>
  <c r="E127" i="60"/>
  <c r="I82" i="66"/>
  <c r="I117" i="66"/>
  <c r="I74" i="66"/>
  <c r="F127" i="60"/>
  <c r="I108" i="60"/>
  <c r="I105" i="66"/>
  <c r="I31" i="66"/>
  <c r="K46" i="60"/>
  <c r="I88" i="66"/>
  <c r="I69" i="66"/>
  <c r="I43" i="69"/>
  <c r="I123" i="66"/>
  <c r="K102" i="60"/>
  <c r="I120" i="66"/>
  <c r="I120" i="51"/>
  <c r="I87" i="66"/>
  <c r="G28" i="60"/>
  <c r="I102" i="60"/>
  <c r="I83" i="66"/>
  <c r="L91" i="60"/>
  <c r="L28" i="60"/>
  <c r="I85" i="69"/>
  <c r="I41" i="69"/>
  <c r="I84" i="66"/>
  <c r="I121" i="66"/>
  <c r="I121" i="51"/>
  <c r="I80" i="66"/>
  <c r="I70" i="69"/>
  <c r="A91" i="60"/>
  <c r="C127" i="60"/>
  <c r="I124" i="66"/>
  <c r="F91" i="60"/>
  <c r="B91" i="60"/>
  <c r="B68" i="66"/>
  <c r="I78" i="66"/>
  <c r="I127" i="60"/>
  <c r="I116" i="66"/>
  <c r="C108" i="60"/>
  <c r="I67" i="66"/>
  <c r="I79" i="66"/>
  <c r="C46" i="60"/>
  <c r="I37" i="69"/>
  <c r="X70" i="60"/>
  <c r="X118" i="60"/>
  <c r="J91" i="60"/>
  <c r="G91" i="60"/>
  <c r="H108" i="60"/>
  <c r="H65" i="60"/>
  <c r="J108" i="60"/>
  <c r="A102" i="60"/>
  <c r="E108" i="60"/>
  <c r="I91" i="60"/>
  <c r="D46" i="60"/>
  <c r="K108" i="60"/>
  <c r="A127" i="60"/>
  <c r="D65" i="60"/>
  <c r="C102" i="60"/>
  <c r="B108" i="60"/>
  <c r="F108" i="60"/>
  <c r="K91" i="60"/>
  <c r="X51" i="60"/>
  <c r="L127" i="60"/>
  <c r="H91" i="60"/>
  <c r="D108" i="60"/>
  <c r="G108" i="60"/>
  <c r="A65" i="60"/>
  <c r="D127" i="60"/>
  <c r="A108" i="60"/>
  <c r="B68" i="69" l="1"/>
  <c r="O72" i="77"/>
  <c r="P72" i="77" s="1"/>
  <c r="R72" i="77" s="1"/>
  <c r="I77" i="69"/>
  <c r="I74" i="69"/>
  <c r="O69" i="79"/>
  <c r="P69" i="79" s="1"/>
  <c r="O72" i="79"/>
  <c r="P72" i="79" s="1"/>
  <c r="V72" i="79" s="1"/>
  <c r="O72" i="78"/>
  <c r="P72" i="78" s="1"/>
  <c r="R72" i="78" s="1"/>
  <c r="F91" i="78"/>
  <c r="O83" i="79"/>
  <c r="P83" i="79" s="1"/>
  <c r="R83" i="79" s="1"/>
  <c r="O83" i="78"/>
  <c r="P83" i="78" s="1"/>
  <c r="V83" i="78" s="1"/>
  <c r="O87" i="79"/>
  <c r="P87" i="79" s="1"/>
  <c r="V87" i="79" s="1"/>
  <c r="O78" i="78"/>
  <c r="P78" i="78" s="1"/>
  <c r="V78" i="78" s="1"/>
  <c r="O87" i="77"/>
  <c r="P87" i="77" s="1"/>
  <c r="E91" i="79"/>
  <c r="O76" i="77"/>
  <c r="P76" i="77" s="1"/>
  <c r="R76" i="77" s="1"/>
  <c r="V83" i="77"/>
  <c r="R83" i="77"/>
  <c r="D91" i="79"/>
  <c r="G91" i="78"/>
  <c r="O71" i="79"/>
  <c r="P71" i="79" s="1"/>
  <c r="O91" i="60"/>
  <c r="O110" i="60" s="1"/>
  <c r="O112" i="60" s="1"/>
  <c r="O129" i="60" s="1"/>
  <c r="O88" i="77"/>
  <c r="P88" i="77" s="1"/>
  <c r="O70" i="78"/>
  <c r="P70" i="78" s="1"/>
  <c r="O75" i="77"/>
  <c r="P75" i="77" s="1"/>
  <c r="O73" i="78"/>
  <c r="P73" i="78" s="1"/>
  <c r="O79" i="79"/>
  <c r="P79" i="79" s="1"/>
  <c r="L91" i="77"/>
  <c r="O82" i="78"/>
  <c r="P82" i="78" s="1"/>
  <c r="R69" i="79"/>
  <c r="V69" i="79"/>
  <c r="G91" i="79"/>
  <c r="O71" i="77"/>
  <c r="P71" i="77" s="1"/>
  <c r="O88" i="78"/>
  <c r="P88" i="78" s="1"/>
  <c r="O84" i="78"/>
  <c r="P84" i="78" s="1"/>
  <c r="O70" i="79"/>
  <c r="P70" i="79" s="1"/>
  <c r="O75" i="79"/>
  <c r="P75" i="79" s="1"/>
  <c r="O73" i="79"/>
  <c r="P73" i="79" s="1"/>
  <c r="O79" i="78"/>
  <c r="P79" i="78" s="1"/>
  <c r="O82" i="79"/>
  <c r="P82" i="79" s="1"/>
  <c r="O85" i="77"/>
  <c r="P85" i="77" s="1"/>
  <c r="R72" i="79"/>
  <c r="O87" i="78"/>
  <c r="P87" i="78" s="1"/>
  <c r="F91" i="79"/>
  <c r="O68" i="77"/>
  <c r="P68" i="77" s="1"/>
  <c r="G91" i="77"/>
  <c r="O77" i="78"/>
  <c r="P77" i="78" s="1"/>
  <c r="O84" i="79"/>
  <c r="P84" i="79" s="1"/>
  <c r="O70" i="77"/>
  <c r="P70" i="77" s="1"/>
  <c r="O73" i="77"/>
  <c r="P73" i="77" s="1"/>
  <c r="O86" i="78"/>
  <c r="P86" i="78" s="1"/>
  <c r="O85" i="78"/>
  <c r="P85" i="78" s="1"/>
  <c r="R87" i="79"/>
  <c r="R78" i="78"/>
  <c r="O76" i="78"/>
  <c r="P76" i="78" s="1"/>
  <c r="C91" i="78"/>
  <c r="O77" i="79"/>
  <c r="P77" i="79" s="1"/>
  <c r="I91" i="78"/>
  <c r="O84" i="77"/>
  <c r="P84" i="77" s="1"/>
  <c r="O86" i="79"/>
  <c r="P86" i="79" s="1"/>
  <c r="O85" i="79"/>
  <c r="P85" i="79" s="1"/>
  <c r="R87" i="77"/>
  <c r="V87" i="77"/>
  <c r="O78" i="79"/>
  <c r="P78" i="79" s="1"/>
  <c r="O68" i="79"/>
  <c r="P68" i="79" s="1"/>
  <c r="O89" i="79"/>
  <c r="P89" i="79" s="1"/>
  <c r="O76" i="79"/>
  <c r="P76" i="79" s="1"/>
  <c r="O69" i="78"/>
  <c r="P69" i="78" s="1"/>
  <c r="C91" i="79"/>
  <c r="O80" i="79"/>
  <c r="P80" i="79" s="1"/>
  <c r="O77" i="77"/>
  <c r="P77" i="77" s="1"/>
  <c r="K91" i="78"/>
  <c r="O74" i="78"/>
  <c r="P74" i="78" s="1"/>
  <c r="I91" i="77"/>
  <c r="O68" i="78"/>
  <c r="P68" i="78" s="1"/>
  <c r="O74" i="77"/>
  <c r="P74" i="77" s="1"/>
  <c r="O86" i="77"/>
  <c r="P86" i="77" s="1"/>
  <c r="O78" i="77"/>
  <c r="P78" i="77" s="1"/>
  <c r="O89" i="78"/>
  <c r="P89" i="78" s="1"/>
  <c r="F91" i="77"/>
  <c r="C91" i="77"/>
  <c r="O80" i="78"/>
  <c r="P80" i="78" s="1"/>
  <c r="K91" i="79"/>
  <c r="A91" i="78"/>
  <c r="O67" i="78"/>
  <c r="O74" i="79"/>
  <c r="P74" i="79" s="1"/>
  <c r="I91" i="79"/>
  <c r="B91" i="77"/>
  <c r="E91" i="78"/>
  <c r="O89" i="77"/>
  <c r="P89" i="77" s="1"/>
  <c r="D91" i="77"/>
  <c r="O80" i="77"/>
  <c r="P80" i="77" s="1"/>
  <c r="K91" i="77"/>
  <c r="A91" i="79"/>
  <c r="O67" i="79"/>
  <c r="B91" i="78"/>
  <c r="L91" i="78"/>
  <c r="E91" i="77"/>
  <c r="O69" i="77"/>
  <c r="P69" i="77" s="1"/>
  <c r="D91" i="78"/>
  <c r="O71" i="78"/>
  <c r="P71" i="78" s="1"/>
  <c r="O67" i="77"/>
  <c r="A91" i="77"/>
  <c r="O88" i="79"/>
  <c r="P88" i="79" s="1"/>
  <c r="O75" i="78"/>
  <c r="P75" i="78" s="1"/>
  <c r="O79" i="77"/>
  <c r="P79" i="77" s="1"/>
  <c r="B91" i="79"/>
  <c r="L91" i="79"/>
  <c r="O82" i="77"/>
  <c r="P82" i="77" s="1"/>
  <c r="P122" i="60"/>
  <c r="R122" i="60" s="1"/>
  <c r="P72" i="60"/>
  <c r="P116" i="60"/>
  <c r="V116" i="60" s="1"/>
  <c r="R61" i="60"/>
  <c r="V61" i="60"/>
  <c r="R119" i="60"/>
  <c r="V119" i="60"/>
  <c r="R70" i="60"/>
  <c r="V70" i="60"/>
  <c r="R121" i="60"/>
  <c r="V121" i="60"/>
  <c r="R44" i="60"/>
  <c r="V44" i="60"/>
  <c r="R79" i="60"/>
  <c r="V79" i="60"/>
  <c r="R76" i="60"/>
  <c r="V76" i="60"/>
  <c r="R23" i="60"/>
  <c r="V23" i="60"/>
  <c r="R74" i="60"/>
  <c r="V74" i="60"/>
  <c r="R59" i="60"/>
  <c r="V59" i="60"/>
  <c r="R82" i="60"/>
  <c r="V82" i="60"/>
  <c r="R88" i="60"/>
  <c r="V88" i="60"/>
  <c r="R87" i="60"/>
  <c r="V87" i="60"/>
  <c r="R117" i="60"/>
  <c r="V117" i="60"/>
  <c r="R35" i="60"/>
  <c r="V35" i="60"/>
  <c r="R42" i="60"/>
  <c r="V42" i="60"/>
  <c r="R72" i="60"/>
  <c r="V72" i="60"/>
  <c r="R106" i="60"/>
  <c r="V106" i="60"/>
  <c r="R80" i="60"/>
  <c r="V80" i="60"/>
  <c r="R51" i="60"/>
  <c r="V51" i="60"/>
  <c r="R71" i="60"/>
  <c r="V71" i="60"/>
  <c r="R115" i="60"/>
  <c r="V115" i="60"/>
  <c r="R84" i="60"/>
  <c r="V84" i="60"/>
  <c r="R41" i="60"/>
  <c r="V41" i="60"/>
  <c r="R125" i="60"/>
  <c r="V125" i="60"/>
  <c r="R40" i="60"/>
  <c r="V40" i="60"/>
  <c r="R33" i="60"/>
  <c r="V33" i="60"/>
  <c r="R63" i="60"/>
  <c r="V63" i="60"/>
  <c r="R22" i="60"/>
  <c r="V22" i="60"/>
  <c r="R85" i="60"/>
  <c r="V85" i="60"/>
  <c r="R94" i="60"/>
  <c r="V94" i="60"/>
  <c r="R38" i="60"/>
  <c r="V38" i="60"/>
  <c r="R89" i="60"/>
  <c r="V89" i="60"/>
  <c r="R123" i="60"/>
  <c r="V123" i="60"/>
  <c r="R57" i="60"/>
  <c r="V57" i="60"/>
  <c r="R32" i="60"/>
  <c r="V32" i="60"/>
  <c r="R97" i="60"/>
  <c r="V97" i="60"/>
  <c r="R31" i="60"/>
  <c r="V31" i="60"/>
  <c r="R24" i="60"/>
  <c r="V24" i="60"/>
  <c r="R8" i="60"/>
  <c r="V8" i="60"/>
  <c r="I42" i="69"/>
  <c r="P60" i="60"/>
  <c r="P37" i="60"/>
  <c r="X40" i="60"/>
  <c r="P83" i="60"/>
  <c r="P75" i="60"/>
  <c r="I44" i="69"/>
  <c r="X42" i="60"/>
  <c r="P43" i="60"/>
  <c r="P73" i="60"/>
  <c r="P62" i="60"/>
  <c r="X32" i="60"/>
  <c r="X72" i="60"/>
  <c r="X37" i="60"/>
  <c r="X82" i="60"/>
  <c r="X97" i="60"/>
  <c r="X31" i="60"/>
  <c r="X59" i="60"/>
  <c r="N71" i="51"/>
  <c r="I75" i="69"/>
  <c r="G71" i="69"/>
  <c r="I76" i="69"/>
  <c r="E71" i="69"/>
  <c r="P118" i="60"/>
  <c r="E106" i="69"/>
  <c r="P68" i="60"/>
  <c r="X22" i="60"/>
  <c r="X62" i="60"/>
  <c r="X24" i="60"/>
  <c r="P69" i="60"/>
  <c r="X44" i="60"/>
  <c r="X60" i="60"/>
  <c r="P78" i="60"/>
  <c r="P86" i="60"/>
  <c r="P39" i="60"/>
  <c r="P26" i="60"/>
  <c r="X38" i="60"/>
  <c r="X61" i="60"/>
  <c r="X115" i="60"/>
  <c r="X23" i="60"/>
  <c r="P120" i="60"/>
  <c r="X43" i="60"/>
  <c r="P124" i="60"/>
  <c r="X119" i="60"/>
  <c r="P77" i="60"/>
  <c r="P114" i="60"/>
  <c r="G23" i="75"/>
  <c r="X33" i="60"/>
  <c r="X35" i="60"/>
  <c r="P30" i="60"/>
  <c r="P48" i="60"/>
  <c r="P36" i="60"/>
  <c r="X94" i="60"/>
  <c r="P25" i="60"/>
  <c r="X79" i="60"/>
  <c r="P95" i="60"/>
  <c r="X41" i="60"/>
  <c r="P93" i="60"/>
  <c r="X69" i="60"/>
  <c r="X87" i="60"/>
  <c r="P67" i="60"/>
  <c r="X91" i="60"/>
  <c r="X67" i="60"/>
  <c r="P99" i="60"/>
  <c r="P105" i="60"/>
  <c r="X108" i="60"/>
  <c r="I73" i="69"/>
  <c r="I46" i="66"/>
  <c r="I105" i="69"/>
  <c r="C110" i="60"/>
  <c r="L110" i="60"/>
  <c r="G110" i="60"/>
  <c r="I122" i="69"/>
  <c r="I116" i="69"/>
  <c r="I123" i="69"/>
  <c r="I121" i="69"/>
  <c r="I108" i="66"/>
  <c r="I117" i="69"/>
  <c r="I68" i="69"/>
  <c r="I106" i="69"/>
  <c r="I125" i="69"/>
  <c r="I87" i="69"/>
  <c r="I69" i="69"/>
  <c r="I79" i="69"/>
  <c r="I88" i="69"/>
  <c r="I82" i="69"/>
  <c r="I83" i="69"/>
  <c r="I78" i="69"/>
  <c r="I31" i="69"/>
  <c r="X25" i="60"/>
  <c r="I80" i="69"/>
  <c r="I72" i="69"/>
  <c r="I67" i="69"/>
  <c r="I124" i="69"/>
  <c r="I118" i="69"/>
  <c r="I33" i="69"/>
  <c r="I91" i="66"/>
  <c r="I84" i="69"/>
  <c r="I120" i="69"/>
  <c r="X36" i="60"/>
  <c r="I86" i="69"/>
  <c r="X63" i="60"/>
  <c r="X83" i="60"/>
  <c r="X71" i="60"/>
  <c r="X116" i="60"/>
  <c r="X73" i="60"/>
  <c r="X76" i="60"/>
  <c r="X105" i="60"/>
  <c r="X121" i="60"/>
  <c r="X99" i="60"/>
  <c r="X74" i="60"/>
  <c r="X124" i="60"/>
  <c r="X48" i="60"/>
  <c r="X88" i="60"/>
  <c r="X68" i="60"/>
  <c r="X85" i="60"/>
  <c r="X122" i="60"/>
  <c r="X84" i="60"/>
  <c r="X86" i="60"/>
  <c r="X106" i="60"/>
  <c r="X89" i="60"/>
  <c r="X117" i="60"/>
  <c r="X114" i="60"/>
  <c r="X123" i="60"/>
  <c r="X80" i="60"/>
  <c r="R83" i="78" l="1"/>
  <c r="V72" i="78"/>
  <c r="V76" i="77"/>
  <c r="V72" i="77"/>
  <c r="V122" i="60"/>
  <c r="V83" i="79"/>
  <c r="R69" i="77"/>
  <c r="V69" i="77"/>
  <c r="R86" i="77"/>
  <c r="V86" i="77"/>
  <c r="R85" i="79"/>
  <c r="V85" i="79"/>
  <c r="R77" i="78"/>
  <c r="V77" i="78"/>
  <c r="R73" i="79"/>
  <c r="V73" i="79"/>
  <c r="R79" i="77"/>
  <c r="V79" i="77"/>
  <c r="R89" i="77"/>
  <c r="V89" i="77"/>
  <c r="V80" i="78"/>
  <c r="R80" i="78"/>
  <c r="R74" i="77"/>
  <c r="V74" i="77"/>
  <c r="R69" i="78"/>
  <c r="V69" i="78"/>
  <c r="R86" i="79"/>
  <c r="V86" i="79"/>
  <c r="R75" i="79"/>
  <c r="V75" i="79"/>
  <c r="V82" i="78"/>
  <c r="R82" i="78"/>
  <c r="V71" i="79"/>
  <c r="R71" i="79"/>
  <c r="R75" i="78"/>
  <c r="V75" i="78"/>
  <c r="R68" i="78"/>
  <c r="V68" i="78"/>
  <c r="V76" i="79"/>
  <c r="R76" i="79"/>
  <c r="R84" i="77"/>
  <c r="V84" i="77"/>
  <c r="R68" i="77"/>
  <c r="V68" i="77"/>
  <c r="V70" i="79"/>
  <c r="R70" i="79"/>
  <c r="R88" i="79"/>
  <c r="V88" i="79"/>
  <c r="V89" i="79"/>
  <c r="R89" i="79"/>
  <c r="R85" i="78"/>
  <c r="V85" i="78"/>
  <c r="R84" i="78"/>
  <c r="V84" i="78"/>
  <c r="V79" i="79"/>
  <c r="R79" i="79"/>
  <c r="P67" i="79"/>
  <c r="O91" i="79"/>
  <c r="R74" i="78"/>
  <c r="V74" i="78"/>
  <c r="R68" i="79"/>
  <c r="V68" i="79"/>
  <c r="R77" i="79"/>
  <c r="V77" i="79"/>
  <c r="V86" i="78"/>
  <c r="R86" i="78"/>
  <c r="V88" i="78"/>
  <c r="R88" i="78"/>
  <c r="R73" i="78"/>
  <c r="V73" i="78"/>
  <c r="P67" i="77"/>
  <c r="O91" i="77"/>
  <c r="V74" i="79"/>
  <c r="R74" i="79"/>
  <c r="R78" i="79"/>
  <c r="V78" i="79"/>
  <c r="R73" i="77"/>
  <c r="V73" i="77"/>
  <c r="R85" i="77"/>
  <c r="V85" i="77"/>
  <c r="R71" i="77"/>
  <c r="V71" i="77"/>
  <c r="R75" i="77"/>
  <c r="V75" i="77"/>
  <c r="R116" i="60"/>
  <c r="V82" i="77"/>
  <c r="R82" i="77"/>
  <c r="R71" i="78"/>
  <c r="V71" i="78"/>
  <c r="P67" i="78"/>
  <c r="O91" i="78"/>
  <c r="R89" i="78"/>
  <c r="V89" i="78"/>
  <c r="R77" i="77"/>
  <c r="V77" i="77"/>
  <c r="V76" i="78"/>
  <c r="R76" i="78"/>
  <c r="R70" i="77"/>
  <c r="V70" i="77"/>
  <c r="V87" i="78"/>
  <c r="R87" i="78"/>
  <c r="V82" i="79"/>
  <c r="R82" i="79"/>
  <c r="R70" i="78"/>
  <c r="V70" i="78"/>
  <c r="R80" i="77"/>
  <c r="V80" i="77"/>
  <c r="R78" i="77"/>
  <c r="V78" i="77"/>
  <c r="R80" i="79"/>
  <c r="V80" i="79"/>
  <c r="V84" i="79"/>
  <c r="R84" i="79"/>
  <c r="R79" i="78"/>
  <c r="V79" i="78"/>
  <c r="V88" i="77"/>
  <c r="R88" i="77"/>
  <c r="R95" i="60"/>
  <c r="V95" i="60"/>
  <c r="R25" i="60"/>
  <c r="V25" i="60"/>
  <c r="R48" i="60"/>
  <c r="V48" i="60"/>
  <c r="R114" i="60"/>
  <c r="V114" i="60"/>
  <c r="R124" i="60"/>
  <c r="V124" i="60"/>
  <c r="R26" i="60"/>
  <c r="V26" i="60"/>
  <c r="R62" i="60"/>
  <c r="V62" i="60"/>
  <c r="R37" i="60"/>
  <c r="V37" i="60"/>
  <c r="R93" i="60"/>
  <c r="V93" i="60"/>
  <c r="R77" i="60"/>
  <c r="V77" i="60"/>
  <c r="R39" i="60"/>
  <c r="V39" i="60"/>
  <c r="R73" i="60"/>
  <c r="V73" i="60"/>
  <c r="R75" i="60"/>
  <c r="V75" i="60"/>
  <c r="R60" i="60"/>
  <c r="V60" i="60"/>
  <c r="P108" i="60"/>
  <c r="V108" i="60" s="1"/>
  <c r="R105" i="60"/>
  <c r="V105" i="60"/>
  <c r="R67" i="60"/>
  <c r="V67" i="60"/>
  <c r="R36" i="60"/>
  <c r="V36" i="60"/>
  <c r="R120" i="60"/>
  <c r="V120" i="60"/>
  <c r="R86" i="60"/>
  <c r="V86" i="60"/>
  <c r="R69" i="60"/>
  <c r="V69" i="60"/>
  <c r="R68" i="60"/>
  <c r="V68" i="60"/>
  <c r="R118" i="60"/>
  <c r="V118" i="60"/>
  <c r="R83" i="60"/>
  <c r="V83" i="60"/>
  <c r="R99" i="60"/>
  <c r="V99" i="60"/>
  <c r="R30" i="60"/>
  <c r="V30" i="60"/>
  <c r="R78" i="60"/>
  <c r="V78" i="60"/>
  <c r="R43" i="60"/>
  <c r="V43" i="60"/>
  <c r="G23" i="74"/>
  <c r="I23" i="74" s="1"/>
  <c r="P65" i="60"/>
  <c r="V65" i="60" s="1"/>
  <c r="I23" i="75"/>
  <c r="P127" i="60"/>
  <c r="V127" i="60" s="1"/>
  <c r="P91" i="60"/>
  <c r="V91" i="60" s="1"/>
  <c r="P46" i="60"/>
  <c r="P102" i="60"/>
  <c r="V102" i="60" s="1"/>
  <c r="I108" i="69"/>
  <c r="I91" i="69"/>
  <c r="I46" i="69"/>
  <c r="X65" i="60"/>
  <c r="X46" i="60"/>
  <c r="X102" i="60"/>
  <c r="X127" i="60"/>
  <c r="P91" i="78" l="1"/>
  <c r="V67" i="78"/>
  <c r="R67" i="78"/>
  <c r="R91" i="78" s="1"/>
  <c r="R67" i="79"/>
  <c r="R91" i="79" s="1"/>
  <c r="P91" i="79"/>
  <c r="V67" i="79"/>
  <c r="P91" i="77"/>
  <c r="V91" i="77" s="1"/>
  <c r="R67" i="77"/>
  <c r="R91" i="77" s="1"/>
  <c r="V67" i="77"/>
  <c r="R102" i="60"/>
  <c r="R65" i="60"/>
  <c r="R91" i="60"/>
  <c r="R127" i="60"/>
  <c r="R108" i="60"/>
  <c r="V91" i="79" l="1"/>
  <c r="V91" i="78"/>
  <c r="I108" i="59"/>
  <c r="E65" i="59"/>
  <c r="H18" i="59"/>
  <c r="L7" i="77"/>
  <c r="G7" i="77"/>
  <c r="F7" i="77"/>
  <c r="E7" i="77"/>
  <c r="D7" i="77"/>
  <c r="C7" i="77"/>
  <c r="B7" i="77"/>
  <c r="K7" i="77" l="1"/>
  <c r="A7" i="77"/>
  <c r="O7" i="77" s="1"/>
  <c r="X12" i="51"/>
  <c r="Y12" i="51" s="1"/>
  <c r="X8" i="51"/>
  <c r="Y8" i="51" s="1"/>
  <c r="X9" i="51"/>
  <c r="Y9" i="51" s="1"/>
  <c r="X14" i="51"/>
  <c r="Y14" i="51" s="1"/>
  <c r="X15" i="51"/>
  <c r="Y15" i="51" s="1"/>
  <c r="K32" i="51"/>
  <c r="A85" i="51"/>
  <c r="L42" i="51"/>
  <c r="L108" i="59"/>
  <c r="K43" i="51"/>
  <c r="Q114" i="69"/>
  <c r="L33" i="51"/>
  <c r="K49" i="51"/>
  <c r="W7" i="76"/>
  <c r="L105" i="51"/>
  <c r="A70" i="51"/>
  <c r="A72" i="51"/>
  <c r="A74" i="51"/>
  <c r="G42" i="51"/>
  <c r="A77" i="51"/>
  <c r="A82" i="51"/>
  <c r="L118" i="51"/>
  <c r="A125" i="51"/>
  <c r="K105" i="51"/>
  <c r="K118" i="51"/>
  <c r="A89" i="51"/>
  <c r="A121" i="51"/>
  <c r="B77" i="51"/>
  <c r="A83" i="51"/>
  <c r="H23" i="66"/>
  <c r="H23" i="69" s="1"/>
  <c r="A76" i="51"/>
  <c r="E118" i="51"/>
  <c r="B76" i="51"/>
  <c r="A80" i="51"/>
  <c r="B82" i="51"/>
  <c r="B83" i="51"/>
  <c r="A105" i="51"/>
  <c r="A78" i="51"/>
  <c r="C82" i="51"/>
  <c r="C118" i="51"/>
  <c r="D82" i="51"/>
  <c r="A117" i="51"/>
  <c r="D118" i="51"/>
  <c r="E82" i="51"/>
  <c r="B72" i="51"/>
  <c r="B74" i="51"/>
  <c r="B78" i="51"/>
  <c r="B80" i="51"/>
  <c r="E105" i="51"/>
  <c r="B33" i="51"/>
  <c r="E43" i="51"/>
  <c r="I24" i="66"/>
  <c r="I24" i="51"/>
  <c r="H20" i="66"/>
  <c r="H24" i="66"/>
  <c r="H24" i="69" s="1"/>
  <c r="E33" i="51"/>
  <c r="A42" i="51"/>
  <c r="F82" i="51"/>
  <c r="B84" i="51"/>
  <c r="A87" i="51"/>
  <c r="F33" i="51"/>
  <c r="B42" i="51"/>
  <c r="G33" i="51"/>
  <c r="E42" i="51"/>
  <c r="A118" i="51"/>
  <c r="F42" i="51"/>
  <c r="A88" i="51"/>
  <c r="H105" i="51"/>
  <c r="I18" i="59"/>
  <c r="I127" i="59"/>
  <c r="A116" i="51"/>
  <c r="H46" i="59"/>
  <c r="E32" i="51"/>
  <c r="D32" i="51"/>
  <c r="B32" i="51"/>
  <c r="A35" i="51"/>
  <c r="A49" i="51"/>
  <c r="B79" i="51"/>
  <c r="A79" i="51"/>
  <c r="A86" i="51"/>
  <c r="H22" i="66"/>
  <c r="H22" i="69" s="1"/>
  <c r="H25" i="66"/>
  <c r="H25" i="69" s="1"/>
  <c r="C32" i="51"/>
  <c r="B43" i="51"/>
  <c r="A43" i="51"/>
  <c r="G43" i="51"/>
  <c r="F43" i="51"/>
  <c r="F32" i="51"/>
  <c r="C43" i="51"/>
  <c r="G48" i="51"/>
  <c r="H102" i="59"/>
  <c r="H26" i="66"/>
  <c r="H26" i="69" s="1"/>
  <c r="G32" i="51"/>
  <c r="D43" i="51"/>
  <c r="H127" i="59"/>
  <c r="A75" i="51"/>
  <c r="B85" i="51"/>
  <c r="A120" i="51"/>
  <c r="B69" i="51"/>
  <c r="A69" i="51"/>
  <c r="A124" i="51"/>
  <c r="H91" i="59"/>
  <c r="C33" i="51"/>
  <c r="C42" i="51"/>
  <c r="B75" i="51"/>
  <c r="D33" i="51"/>
  <c r="D42" i="51"/>
  <c r="F118" i="51"/>
  <c r="I65" i="59"/>
  <c r="G105" i="51"/>
  <c r="G118" i="51"/>
  <c r="B70" i="51"/>
  <c r="A73" i="51"/>
  <c r="A84" i="51"/>
  <c r="A114" i="51"/>
  <c r="B118" i="51"/>
  <c r="K49" i="66" l="1"/>
  <c r="K49" i="69" s="1"/>
  <c r="N43" i="51"/>
  <c r="N42" i="51"/>
  <c r="N32" i="51"/>
  <c r="N33" i="51"/>
  <c r="N118" i="51"/>
  <c r="K42" i="51"/>
  <c r="F49" i="66"/>
  <c r="F49" i="51"/>
  <c r="C49" i="66"/>
  <c r="C49" i="51"/>
  <c r="F108" i="59"/>
  <c r="F105" i="51"/>
  <c r="G82" i="66"/>
  <c r="G82" i="51"/>
  <c r="N82" i="51" s="1"/>
  <c r="K33" i="51"/>
  <c r="L49" i="51"/>
  <c r="O49" i="51" s="1"/>
  <c r="D49" i="66"/>
  <c r="D49" i="51"/>
  <c r="L32" i="51"/>
  <c r="L43" i="51"/>
  <c r="D108" i="59"/>
  <c r="D105" i="51"/>
  <c r="B49" i="66"/>
  <c r="B49" i="51"/>
  <c r="C108" i="59"/>
  <c r="C105" i="51"/>
  <c r="B67" i="66"/>
  <c r="B67" i="51"/>
  <c r="G49" i="66"/>
  <c r="G49" i="51"/>
  <c r="B108" i="59"/>
  <c r="B105" i="51"/>
  <c r="A108" i="59"/>
  <c r="K108" i="59"/>
  <c r="F105" i="66"/>
  <c r="L46" i="59"/>
  <c r="L127" i="59"/>
  <c r="J127" i="59"/>
  <c r="J18" i="59"/>
  <c r="J108" i="59"/>
  <c r="J91" i="59"/>
  <c r="L65" i="59"/>
  <c r="C65" i="59"/>
  <c r="H108" i="59"/>
  <c r="K102" i="59"/>
  <c r="B91" i="59"/>
  <c r="B69" i="66"/>
  <c r="B69" i="69" s="1"/>
  <c r="E108" i="59"/>
  <c r="E105" i="66"/>
  <c r="D127" i="59"/>
  <c r="I25" i="51"/>
  <c r="I25" i="66"/>
  <c r="G108" i="59"/>
  <c r="G105" i="66"/>
  <c r="D102" i="59"/>
  <c r="K127" i="59"/>
  <c r="E102" i="59"/>
  <c r="I26" i="66"/>
  <c r="I26" i="51"/>
  <c r="I22" i="66"/>
  <c r="I22" i="51"/>
  <c r="A49" i="66"/>
  <c r="J46" i="59"/>
  <c r="E46" i="59"/>
  <c r="B127" i="59"/>
  <c r="H20" i="69"/>
  <c r="K46" i="59"/>
  <c r="E127" i="59"/>
  <c r="C127" i="59"/>
  <c r="F102" i="59"/>
  <c r="J49" i="66"/>
  <c r="I23" i="66"/>
  <c r="I23" i="51"/>
  <c r="C102" i="59"/>
  <c r="L102" i="59"/>
  <c r="B102" i="59"/>
  <c r="I24" i="69"/>
  <c r="G102" i="59"/>
  <c r="J102" i="59"/>
  <c r="A69" i="66"/>
  <c r="L49" i="66"/>
  <c r="G127" i="59"/>
  <c r="G91" i="59"/>
  <c r="A102" i="59"/>
  <c r="C46" i="59"/>
  <c r="J65" i="59"/>
  <c r="I102" i="59"/>
  <c r="G46" i="59"/>
  <c r="F46" i="59"/>
  <c r="I46" i="59"/>
  <c r="B65" i="59"/>
  <c r="A127" i="59"/>
  <c r="K91" i="59"/>
  <c r="H65" i="59"/>
  <c r="A28" i="59"/>
  <c r="L91" i="59"/>
  <c r="A65" i="59"/>
  <c r="C91" i="59"/>
  <c r="I91" i="59"/>
  <c r="F127" i="59"/>
  <c r="D91" i="59"/>
  <c r="A46" i="59"/>
  <c r="B46" i="59"/>
  <c r="K65" i="59"/>
  <c r="A91" i="59"/>
  <c r="F91" i="59"/>
  <c r="D65" i="59"/>
  <c r="E91" i="59"/>
  <c r="G65" i="59"/>
  <c r="D46" i="59"/>
  <c r="F65" i="59"/>
  <c r="X123" i="51" l="1"/>
  <c r="Q123" i="77"/>
  <c r="X123" i="77" s="1"/>
  <c r="Q123" i="51"/>
  <c r="P7" i="77"/>
  <c r="N105" i="51"/>
  <c r="N49" i="51"/>
  <c r="B67" i="69"/>
  <c r="D49" i="69"/>
  <c r="F105" i="69"/>
  <c r="F49" i="69"/>
  <c r="G49" i="69"/>
  <c r="B49" i="69"/>
  <c r="G82" i="69"/>
  <c r="C49" i="69"/>
  <c r="E110" i="59"/>
  <c r="H110" i="59"/>
  <c r="H112" i="59" s="1"/>
  <c r="H129" i="59" s="1"/>
  <c r="C110" i="59"/>
  <c r="K110" i="59"/>
  <c r="L49" i="69"/>
  <c r="J110" i="59"/>
  <c r="I26" i="69"/>
  <c r="L110" i="59"/>
  <c r="J49" i="69"/>
  <c r="N49" i="66"/>
  <c r="A49" i="69"/>
  <c r="O49" i="66"/>
  <c r="I22" i="69"/>
  <c r="I25" i="69"/>
  <c r="I23" i="69"/>
  <c r="A110" i="59"/>
  <c r="E105" i="69"/>
  <c r="E108" i="69" s="1"/>
  <c r="E108" i="66"/>
  <c r="A69" i="69"/>
  <c r="F110" i="59"/>
  <c r="B110" i="59"/>
  <c r="G105" i="69"/>
  <c r="D110" i="59"/>
  <c r="G110" i="59"/>
  <c r="I110" i="59"/>
  <c r="I112" i="59" s="1"/>
  <c r="I129" i="59" s="1"/>
  <c r="Y123" i="77" l="1"/>
  <c r="Z123" i="51"/>
  <c r="AA123" i="51" s="1"/>
  <c r="AB123" i="51" s="1"/>
  <c r="Q123" i="69"/>
  <c r="U123" i="51"/>
  <c r="AC123" i="77"/>
  <c r="U123" i="77"/>
  <c r="V123" i="77" s="1"/>
  <c r="R123" i="77"/>
  <c r="Y123" i="51"/>
  <c r="E19" i="75"/>
  <c r="E19" i="74"/>
  <c r="Q49" i="51"/>
  <c r="Q49" i="77"/>
  <c r="X49" i="77" s="1"/>
  <c r="X49" i="51"/>
  <c r="Y49" i="51" s="1"/>
  <c r="R7" i="77"/>
  <c r="V7" i="77"/>
  <c r="G19" i="74"/>
  <c r="G19" i="75"/>
  <c r="J112" i="59"/>
  <c r="P49" i="66"/>
  <c r="R49" i="66" s="1"/>
  <c r="O49" i="69"/>
  <c r="P49" i="51"/>
  <c r="I19" i="74" l="1"/>
  <c r="AC49" i="77"/>
  <c r="U49" i="77"/>
  <c r="V49" i="77" s="1"/>
  <c r="R49" i="77"/>
  <c r="Y49" i="77"/>
  <c r="Z49" i="51"/>
  <c r="AA49" i="51" s="1"/>
  <c r="AB49" i="51" s="1"/>
  <c r="U49" i="51"/>
  <c r="V49" i="51" s="1"/>
  <c r="Q49" i="69"/>
  <c r="R49" i="51"/>
  <c r="I19" i="75"/>
  <c r="J129" i="59"/>
  <c r="P49" i="69"/>
  <c r="W127" i="58" l="1"/>
  <c r="X118" i="58"/>
  <c r="L114" i="51"/>
  <c r="B114" i="51"/>
  <c r="W108" i="58"/>
  <c r="E108" i="58"/>
  <c r="H108" i="58"/>
  <c r="X105" i="58"/>
  <c r="W102" i="58"/>
  <c r="E102" i="58"/>
  <c r="A102" i="58"/>
  <c r="W91" i="58"/>
  <c r="B91" i="58"/>
  <c r="X66" i="58"/>
  <c r="W65" i="58"/>
  <c r="W46" i="58"/>
  <c r="X34" i="58"/>
  <c r="X33" i="58"/>
  <c r="W28" i="58"/>
  <c r="W18" i="58"/>
  <c r="D12" i="51"/>
  <c r="C12" i="51"/>
  <c r="B12" i="51"/>
  <c r="P25" i="58" l="1"/>
  <c r="A25" i="51"/>
  <c r="N25" i="51" s="1"/>
  <c r="A50" i="51"/>
  <c r="N50" i="51" s="1"/>
  <c r="P50" i="51" s="1"/>
  <c r="P50" i="58"/>
  <c r="A50" i="66"/>
  <c r="P96" i="58"/>
  <c r="E22" i="75"/>
  <c r="X42" i="58"/>
  <c r="X49" i="58"/>
  <c r="X64" i="58"/>
  <c r="X92" i="58"/>
  <c r="X15" i="58"/>
  <c r="X29" i="58"/>
  <c r="X58" i="58"/>
  <c r="D106" i="51"/>
  <c r="D116" i="51"/>
  <c r="L123" i="51"/>
  <c r="X52" i="58"/>
  <c r="X82" i="58"/>
  <c r="X32" i="58"/>
  <c r="X57" i="58"/>
  <c r="X101" i="58"/>
  <c r="X111" i="58"/>
  <c r="E122" i="51"/>
  <c r="X9" i="58"/>
  <c r="X17" i="58"/>
  <c r="X27" i="58"/>
  <c r="X51" i="58"/>
  <c r="X81" i="58"/>
  <c r="X93" i="58"/>
  <c r="X109" i="58"/>
  <c r="F117" i="51"/>
  <c r="K124" i="51"/>
  <c r="A12" i="51"/>
  <c r="N12" i="51" s="1"/>
  <c r="D108" i="58"/>
  <c r="W110" i="58"/>
  <c r="W112" i="58" s="1"/>
  <c r="W129" i="58" s="1"/>
  <c r="W6" i="76" s="1"/>
  <c r="W13" i="76" s="1"/>
  <c r="D121" i="51"/>
  <c r="K122" i="51"/>
  <c r="C122" i="51"/>
  <c r="B116" i="51"/>
  <c r="G122" i="51"/>
  <c r="C116" i="51"/>
  <c r="E116" i="51"/>
  <c r="F116" i="51"/>
  <c r="G116" i="51"/>
  <c r="X8" i="58"/>
  <c r="K116" i="51"/>
  <c r="L116" i="51"/>
  <c r="C120" i="51"/>
  <c r="B120" i="51"/>
  <c r="D120" i="51"/>
  <c r="K106" i="51"/>
  <c r="G123" i="51"/>
  <c r="X19" i="58"/>
  <c r="X47" i="58"/>
  <c r="L115" i="51"/>
  <c r="C114" i="51"/>
  <c r="B124" i="51"/>
  <c r="D114" i="51"/>
  <c r="E124" i="51"/>
  <c r="A12" i="66"/>
  <c r="X45" i="58"/>
  <c r="X107" i="58"/>
  <c r="G114" i="51"/>
  <c r="G114" i="69" s="1"/>
  <c r="F124" i="51"/>
  <c r="X14" i="58"/>
  <c r="D117" i="51"/>
  <c r="B123" i="51"/>
  <c r="G124" i="51"/>
  <c r="L117" i="51"/>
  <c r="F123" i="51"/>
  <c r="H28" i="58"/>
  <c r="I28" i="58"/>
  <c r="H18" i="58"/>
  <c r="X25" i="58"/>
  <c r="X53" i="58"/>
  <c r="X55" i="58"/>
  <c r="I18" i="58"/>
  <c r="X71" i="58"/>
  <c r="X43" i="58"/>
  <c r="X90" i="58"/>
  <c r="I46" i="58"/>
  <c r="I65" i="58"/>
  <c r="X96" i="58"/>
  <c r="H102" i="58"/>
  <c r="B125" i="51"/>
  <c r="G125" i="51"/>
  <c r="F125" i="51"/>
  <c r="E125" i="51"/>
  <c r="L125" i="51"/>
  <c r="D125" i="51"/>
  <c r="C125" i="51"/>
  <c r="H46" i="58"/>
  <c r="H91" i="58"/>
  <c r="X104" i="58"/>
  <c r="F106" i="51"/>
  <c r="G117" i="51"/>
  <c r="F122" i="51"/>
  <c r="E123" i="51"/>
  <c r="D124" i="51"/>
  <c r="I108" i="58"/>
  <c r="E114" i="51"/>
  <c r="E114" i="69" s="1"/>
  <c r="B117" i="51"/>
  <c r="B121" i="51"/>
  <c r="A106" i="51"/>
  <c r="J106" i="51"/>
  <c r="F114" i="51"/>
  <c r="F114" i="69" s="1"/>
  <c r="C117" i="51"/>
  <c r="C121" i="51"/>
  <c r="B122" i="51"/>
  <c r="E117" i="51"/>
  <c r="D122" i="51"/>
  <c r="L122" i="51"/>
  <c r="C123" i="51"/>
  <c r="D123" i="51"/>
  <c r="C124" i="51"/>
  <c r="Q50" i="51" l="1"/>
  <c r="R50" i="51" s="1"/>
  <c r="X50" i="51"/>
  <c r="Q50" i="77"/>
  <c r="X50" i="77" s="1"/>
  <c r="Q25" i="77"/>
  <c r="X25" i="77" s="1"/>
  <c r="Q25" i="51"/>
  <c r="X25" i="51"/>
  <c r="X50" i="58"/>
  <c r="A50" i="69"/>
  <c r="N50" i="66"/>
  <c r="P50" i="66" s="1"/>
  <c r="R50" i="66" s="1"/>
  <c r="V50" i="58"/>
  <c r="R50" i="58"/>
  <c r="R96" i="58"/>
  <c r="V96" i="58"/>
  <c r="V25" i="58"/>
  <c r="R25" i="58"/>
  <c r="V12" i="58"/>
  <c r="R12" i="58"/>
  <c r="R8" i="58"/>
  <c r="V8" i="58"/>
  <c r="N122" i="51"/>
  <c r="E25" i="75"/>
  <c r="N117" i="51"/>
  <c r="N114" i="51"/>
  <c r="N124" i="51"/>
  <c r="N116" i="51"/>
  <c r="N123" i="51"/>
  <c r="N125" i="51"/>
  <c r="X12" i="58"/>
  <c r="L124" i="51"/>
  <c r="K117" i="51"/>
  <c r="G106" i="66"/>
  <c r="G108" i="66" s="1"/>
  <c r="G106" i="51"/>
  <c r="K125" i="51"/>
  <c r="L108" i="58"/>
  <c r="L106" i="51"/>
  <c r="C108" i="58"/>
  <c r="C106" i="51"/>
  <c r="B108" i="58"/>
  <c r="B106" i="51"/>
  <c r="K123" i="51"/>
  <c r="K114" i="51"/>
  <c r="X120" i="58"/>
  <c r="K108" i="58"/>
  <c r="X116" i="58"/>
  <c r="X122" i="58"/>
  <c r="G108" i="58"/>
  <c r="J18" i="58"/>
  <c r="J28" i="58"/>
  <c r="J108" i="58"/>
  <c r="J67" i="66"/>
  <c r="J69" i="66"/>
  <c r="J65" i="58"/>
  <c r="A12" i="69"/>
  <c r="J102" i="58"/>
  <c r="F108" i="58"/>
  <c r="F106" i="66"/>
  <c r="I91" i="58"/>
  <c r="A108" i="58"/>
  <c r="I102" i="58"/>
  <c r="J91" i="58"/>
  <c r="H65" i="58"/>
  <c r="H110" i="58" s="1"/>
  <c r="H112" i="58" s="1"/>
  <c r="Y50" i="51" l="1"/>
  <c r="AC50" i="77"/>
  <c r="R50" i="77"/>
  <c r="U50" i="77"/>
  <c r="V50" i="77" s="1"/>
  <c r="U50" i="51"/>
  <c r="V50" i="51" s="1"/>
  <c r="Q50" i="69"/>
  <c r="Z50" i="51"/>
  <c r="AA50" i="51" s="1"/>
  <c r="AB50" i="51" s="1"/>
  <c r="Y50" i="77"/>
  <c r="Y25" i="51"/>
  <c r="Z25" i="51"/>
  <c r="U25" i="51"/>
  <c r="Q25" i="69"/>
  <c r="AC25" i="77"/>
  <c r="U25" i="77"/>
  <c r="V25" i="77" s="1"/>
  <c r="R25" i="77"/>
  <c r="Y25" i="77"/>
  <c r="P50" i="69"/>
  <c r="P121" i="58"/>
  <c r="F22" i="75"/>
  <c r="E26" i="75"/>
  <c r="F23" i="75"/>
  <c r="F18" i="75"/>
  <c r="F21" i="75"/>
  <c r="F20" i="75"/>
  <c r="F19" i="75"/>
  <c r="F24" i="75"/>
  <c r="F17" i="75"/>
  <c r="N106" i="51"/>
  <c r="P125" i="58"/>
  <c r="G106" i="69"/>
  <c r="G108" i="69" s="1"/>
  <c r="P123" i="58"/>
  <c r="P117" i="58"/>
  <c r="P120" i="58"/>
  <c r="P124" i="58"/>
  <c r="I110" i="58"/>
  <c r="I112" i="58" s="1"/>
  <c r="P116" i="58"/>
  <c r="P114" i="58"/>
  <c r="G22" i="74"/>
  <c r="X114" i="58"/>
  <c r="P106" i="58"/>
  <c r="X108" i="58"/>
  <c r="P122" i="58"/>
  <c r="X123" i="58"/>
  <c r="J69" i="69"/>
  <c r="F106" i="69"/>
  <c r="F108" i="69" s="1"/>
  <c r="F108" i="66"/>
  <c r="J67" i="69"/>
  <c r="X121" i="58"/>
  <c r="X124" i="58"/>
  <c r="X106" i="58"/>
  <c r="X125" i="58"/>
  <c r="X117" i="58"/>
  <c r="AA25" i="51" l="1"/>
  <c r="R125" i="58"/>
  <c r="V125" i="58"/>
  <c r="R116" i="58"/>
  <c r="V116" i="58"/>
  <c r="R121" i="58"/>
  <c r="V121" i="58"/>
  <c r="R122" i="58"/>
  <c r="V122" i="58"/>
  <c r="R120" i="58"/>
  <c r="V120" i="58"/>
  <c r="R123" i="58"/>
  <c r="V123" i="58"/>
  <c r="R106" i="58"/>
  <c r="R108" i="58" s="1"/>
  <c r="V106" i="58"/>
  <c r="R114" i="58"/>
  <c r="V114" i="58"/>
  <c r="R124" i="58"/>
  <c r="V124" i="58"/>
  <c r="R117" i="58"/>
  <c r="V117" i="58"/>
  <c r="F25" i="75"/>
  <c r="P108" i="58"/>
  <c r="V108" i="58" s="1"/>
  <c r="AB25" i="51" l="1"/>
  <c r="W127" i="57" l="1"/>
  <c r="E18" i="74"/>
  <c r="X126" i="57"/>
  <c r="F125" i="66"/>
  <c r="F125" i="69" s="1"/>
  <c r="G124" i="66"/>
  <c r="G124" i="69" s="1"/>
  <c r="F121" i="66"/>
  <c r="F121" i="69" s="1"/>
  <c r="G120" i="66"/>
  <c r="G120" i="69" s="1"/>
  <c r="F117" i="66"/>
  <c r="F117" i="69" s="1"/>
  <c r="G116" i="66"/>
  <c r="W108" i="57"/>
  <c r="G108" i="57"/>
  <c r="F108" i="57"/>
  <c r="E108" i="57"/>
  <c r="D106" i="66"/>
  <c r="D106" i="69" s="1"/>
  <c r="H105" i="66"/>
  <c r="W102" i="57"/>
  <c r="W91" i="57"/>
  <c r="G91" i="57"/>
  <c r="X90" i="57"/>
  <c r="X81" i="57"/>
  <c r="B77" i="66"/>
  <c r="B77" i="69" s="1"/>
  <c r="H68" i="66"/>
  <c r="W65" i="57"/>
  <c r="X64" i="57"/>
  <c r="X58" i="57"/>
  <c r="X53" i="57"/>
  <c r="W46" i="57"/>
  <c r="X45" i="57"/>
  <c r="C34" i="66"/>
  <c r="C34" i="69" s="1"/>
  <c r="W28" i="57"/>
  <c r="W18" i="57"/>
  <c r="C15" i="66"/>
  <c r="C15" i="69" s="1"/>
  <c r="X9" i="57"/>
  <c r="J7" i="51" l="1"/>
  <c r="J7" i="66"/>
  <c r="H72" i="66"/>
  <c r="H72" i="69" s="1"/>
  <c r="H37" i="66"/>
  <c r="H37" i="69" s="1"/>
  <c r="B84" i="66"/>
  <c r="B84" i="69" s="1"/>
  <c r="H35" i="66"/>
  <c r="H35" i="69" s="1"/>
  <c r="H40" i="66"/>
  <c r="H40" i="69" s="1"/>
  <c r="F43" i="66"/>
  <c r="F43" i="69" s="1"/>
  <c r="B83" i="66"/>
  <c r="B83" i="69" s="1"/>
  <c r="H84" i="66"/>
  <c r="H84" i="69" s="1"/>
  <c r="H83" i="66"/>
  <c r="H83" i="69" s="1"/>
  <c r="G20" i="66"/>
  <c r="G20" i="69" s="1"/>
  <c r="H70" i="66"/>
  <c r="H70" i="69" s="1"/>
  <c r="B114" i="66"/>
  <c r="B114" i="69" s="1"/>
  <c r="A79" i="66"/>
  <c r="A79" i="69" s="1"/>
  <c r="A72" i="66"/>
  <c r="A72" i="69" s="1"/>
  <c r="X8" i="57"/>
  <c r="E43" i="66"/>
  <c r="E43" i="69" s="1"/>
  <c r="H85" i="66"/>
  <c r="H85" i="69" s="1"/>
  <c r="F116" i="66"/>
  <c r="F116" i="69" s="1"/>
  <c r="E123" i="66"/>
  <c r="E123" i="69" s="1"/>
  <c r="B118" i="66"/>
  <c r="B118" i="69" s="1"/>
  <c r="A124" i="66"/>
  <c r="A124" i="69" s="1"/>
  <c r="A73" i="66"/>
  <c r="A73" i="69" s="1"/>
  <c r="D118" i="66"/>
  <c r="D118" i="69" s="1"/>
  <c r="E118" i="66"/>
  <c r="E118" i="69" s="1"/>
  <c r="H31" i="66"/>
  <c r="H31" i="69" s="1"/>
  <c r="J74" i="66"/>
  <c r="J74" i="69" s="1"/>
  <c r="F118" i="66"/>
  <c r="F118" i="69" s="1"/>
  <c r="D43" i="66"/>
  <c r="D43" i="69" s="1"/>
  <c r="H118" i="66"/>
  <c r="H118" i="69" s="1"/>
  <c r="J86" i="66"/>
  <c r="D8" i="51"/>
  <c r="D8" i="66"/>
  <c r="L25" i="66"/>
  <c r="E34" i="66"/>
  <c r="E34" i="69" s="1"/>
  <c r="G42" i="66"/>
  <c r="G42" i="69" s="1"/>
  <c r="L123" i="66"/>
  <c r="H105" i="69"/>
  <c r="G116" i="69"/>
  <c r="J72" i="66"/>
  <c r="K106" i="66"/>
  <c r="K114" i="66"/>
  <c r="G121" i="66"/>
  <c r="G121" i="69" s="1"/>
  <c r="J124" i="66"/>
  <c r="L32" i="66"/>
  <c r="D32" i="66"/>
  <c r="D32" i="69" s="1"/>
  <c r="J70" i="66"/>
  <c r="D117" i="66"/>
  <c r="D117" i="69" s="1"/>
  <c r="H121" i="66"/>
  <c r="H121" i="69" s="1"/>
  <c r="B8" i="66"/>
  <c r="B8" i="51"/>
  <c r="C8" i="66"/>
  <c r="C8" i="51"/>
  <c r="J25" i="66"/>
  <c r="L33" i="66"/>
  <c r="C32" i="66"/>
  <c r="C32" i="69" s="1"/>
  <c r="E32" i="66"/>
  <c r="E32" i="69" s="1"/>
  <c r="G117" i="66"/>
  <c r="G117" i="69" s="1"/>
  <c r="K42" i="66"/>
  <c r="B12" i="66"/>
  <c r="C20" i="66"/>
  <c r="A8" i="51"/>
  <c r="A8" i="66"/>
  <c r="C12" i="66"/>
  <c r="K43" i="66"/>
  <c r="H71" i="66"/>
  <c r="H71" i="69" s="1"/>
  <c r="B116" i="66"/>
  <c r="B116" i="69" s="1"/>
  <c r="K118" i="66"/>
  <c r="B122" i="66"/>
  <c r="B122" i="69" s="1"/>
  <c r="D12" i="66"/>
  <c r="H68" i="69"/>
  <c r="J71" i="66"/>
  <c r="C116" i="66"/>
  <c r="C116" i="69" s="1"/>
  <c r="K122" i="66"/>
  <c r="X104" i="57"/>
  <c r="H89" i="66"/>
  <c r="H89" i="69" s="1"/>
  <c r="H114" i="66"/>
  <c r="B120" i="66"/>
  <c r="B120" i="69" s="1"/>
  <c r="D122" i="66"/>
  <c r="D122" i="69" s="1"/>
  <c r="G33" i="66"/>
  <c r="G33" i="69" s="1"/>
  <c r="D34" i="66"/>
  <c r="D34" i="69" s="1"/>
  <c r="H43" i="66"/>
  <c r="H43" i="69" s="1"/>
  <c r="C71" i="66"/>
  <c r="C71" i="69" s="1"/>
  <c r="H106" i="66"/>
  <c r="H106" i="69" s="1"/>
  <c r="F120" i="66"/>
  <c r="F120" i="69" s="1"/>
  <c r="F122" i="66"/>
  <c r="F122" i="69" s="1"/>
  <c r="D15" i="66"/>
  <c r="D15" i="69" s="1"/>
  <c r="H30" i="66"/>
  <c r="G34" i="66"/>
  <c r="G34" i="69" s="1"/>
  <c r="E82" i="66"/>
  <c r="D114" i="66"/>
  <c r="B124" i="66"/>
  <c r="B124" i="69" s="1"/>
  <c r="G125" i="66"/>
  <c r="G125" i="69" s="1"/>
  <c r="H33" i="66"/>
  <c r="H33" i="69" s="1"/>
  <c r="H120" i="66"/>
  <c r="H120" i="69" s="1"/>
  <c r="G122" i="66"/>
  <c r="G122" i="69" s="1"/>
  <c r="F15" i="66"/>
  <c r="F15" i="69" s="1"/>
  <c r="H34" i="66"/>
  <c r="H34" i="69" s="1"/>
  <c r="D42" i="66"/>
  <c r="D42" i="69" s="1"/>
  <c r="B43" i="66"/>
  <c r="B43" i="69" s="1"/>
  <c r="H75" i="66"/>
  <c r="H75" i="69" s="1"/>
  <c r="H79" i="66"/>
  <c r="H79" i="69" s="1"/>
  <c r="C124" i="66"/>
  <c r="C124" i="69" s="1"/>
  <c r="H125" i="66"/>
  <c r="H125" i="69" s="1"/>
  <c r="B78" i="66"/>
  <c r="B78" i="69" s="1"/>
  <c r="G15" i="66"/>
  <c r="G15" i="69" s="1"/>
  <c r="B33" i="66"/>
  <c r="B33" i="69" s="1"/>
  <c r="F42" i="66"/>
  <c r="F42" i="69" s="1"/>
  <c r="B105" i="66"/>
  <c r="H124" i="66"/>
  <c r="H124" i="69" s="1"/>
  <c r="C33" i="66"/>
  <c r="C33" i="69" s="1"/>
  <c r="J108" i="57"/>
  <c r="E33" i="66"/>
  <c r="E33" i="69" s="1"/>
  <c r="H41" i="66"/>
  <c r="H41" i="69" s="1"/>
  <c r="H32" i="66"/>
  <c r="H32" i="69" s="1"/>
  <c r="F33" i="66"/>
  <c r="F33" i="69" s="1"/>
  <c r="G43" i="66"/>
  <c r="G43" i="69" s="1"/>
  <c r="C106" i="66"/>
  <c r="C106" i="69" s="1"/>
  <c r="H116" i="66"/>
  <c r="H116" i="69" s="1"/>
  <c r="H117" i="66"/>
  <c r="H117" i="69" s="1"/>
  <c r="G118" i="66"/>
  <c r="G118" i="69" s="1"/>
  <c r="C120" i="66"/>
  <c r="C120" i="69" s="1"/>
  <c r="D121" i="66"/>
  <c r="D121" i="69" s="1"/>
  <c r="E122" i="66"/>
  <c r="E122" i="69" s="1"/>
  <c r="H123" i="66"/>
  <c r="H123" i="69" s="1"/>
  <c r="C25" i="66"/>
  <c r="C25" i="69" s="1"/>
  <c r="G25" i="66"/>
  <c r="G25" i="69" s="1"/>
  <c r="F25" i="66"/>
  <c r="F25" i="69" s="1"/>
  <c r="B25" i="66"/>
  <c r="B25" i="69" s="1"/>
  <c r="X55" i="57"/>
  <c r="B15" i="66"/>
  <c r="B15" i="69" s="1"/>
  <c r="D25" i="66"/>
  <c r="D25" i="69" s="1"/>
  <c r="X50" i="57"/>
  <c r="X14" i="57"/>
  <c r="X27" i="57"/>
  <c r="H44" i="66"/>
  <c r="H44" i="69" s="1"/>
  <c r="E25" i="66"/>
  <c r="E25" i="69" s="1"/>
  <c r="H73" i="66"/>
  <c r="H73" i="69" s="1"/>
  <c r="E15" i="66"/>
  <c r="E15" i="69" s="1"/>
  <c r="X69" i="57"/>
  <c r="X29" i="57"/>
  <c r="H28" i="57"/>
  <c r="H74" i="66"/>
  <c r="H74" i="69" s="1"/>
  <c r="F34" i="66"/>
  <c r="F34" i="69" s="1"/>
  <c r="E42" i="66"/>
  <c r="E42" i="69" s="1"/>
  <c r="B42" i="66"/>
  <c r="B42" i="69" s="1"/>
  <c r="C42" i="66"/>
  <c r="C42" i="69" s="1"/>
  <c r="H42" i="66"/>
  <c r="H42" i="69" s="1"/>
  <c r="X49" i="57"/>
  <c r="B76" i="66"/>
  <c r="B76" i="69" s="1"/>
  <c r="H76" i="66"/>
  <c r="H76" i="69" s="1"/>
  <c r="H78" i="66"/>
  <c r="H78" i="69" s="1"/>
  <c r="B70" i="66"/>
  <c r="H82" i="66"/>
  <c r="H82" i="69" s="1"/>
  <c r="D82" i="66"/>
  <c r="D82" i="69" s="1"/>
  <c r="F82" i="66"/>
  <c r="F82" i="69" s="1"/>
  <c r="B85" i="66"/>
  <c r="B85" i="69" s="1"/>
  <c r="H88" i="66"/>
  <c r="H88" i="69" s="1"/>
  <c r="F71" i="66"/>
  <c r="F71" i="69" s="1"/>
  <c r="B71" i="66"/>
  <c r="B71" i="69" s="1"/>
  <c r="D71" i="66"/>
  <c r="D71" i="69" s="1"/>
  <c r="B80" i="66"/>
  <c r="B80" i="69" s="1"/>
  <c r="H80" i="66"/>
  <c r="H80" i="69" s="1"/>
  <c r="B82" i="66"/>
  <c r="B82" i="69" s="1"/>
  <c r="F32" i="66"/>
  <c r="F32" i="69" s="1"/>
  <c r="B32" i="66"/>
  <c r="B32" i="69" s="1"/>
  <c r="G32" i="66"/>
  <c r="G32" i="69" s="1"/>
  <c r="I46" i="57"/>
  <c r="H36" i="66"/>
  <c r="H36" i="69" s="1"/>
  <c r="H38" i="66"/>
  <c r="H38" i="69" s="1"/>
  <c r="X67" i="57"/>
  <c r="B72" i="66"/>
  <c r="B72" i="69" s="1"/>
  <c r="H77" i="66"/>
  <c r="H77" i="69" s="1"/>
  <c r="C82" i="66"/>
  <c r="C82" i="69" s="1"/>
  <c r="H108" i="57"/>
  <c r="X107" i="57"/>
  <c r="X101" i="57"/>
  <c r="W110" i="57"/>
  <c r="W112" i="57" s="1"/>
  <c r="W129" i="57" s="1"/>
  <c r="H86" i="66"/>
  <c r="H86" i="69" s="1"/>
  <c r="I108" i="57"/>
  <c r="B117" i="66"/>
  <c r="B117" i="69" s="1"/>
  <c r="D120" i="66"/>
  <c r="D120" i="69" s="1"/>
  <c r="B121" i="66"/>
  <c r="B121" i="69" s="1"/>
  <c r="F123" i="66"/>
  <c r="F123" i="69" s="1"/>
  <c r="D124" i="66"/>
  <c r="D124" i="69" s="1"/>
  <c r="B125" i="66"/>
  <c r="B125" i="69" s="1"/>
  <c r="C117" i="66"/>
  <c r="C117" i="69" s="1"/>
  <c r="E120" i="66"/>
  <c r="E120" i="69" s="1"/>
  <c r="C121" i="66"/>
  <c r="C121" i="69" s="1"/>
  <c r="E124" i="66"/>
  <c r="E124" i="69" s="1"/>
  <c r="C125" i="66"/>
  <c r="C125" i="69" s="1"/>
  <c r="F124" i="66"/>
  <c r="F124" i="69" s="1"/>
  <c r="D125" i="66"/>
  <c r="D125" i="69" s="1"/>
  <c r="C114" i="66"/>
  <c r="E117" i="66"/>
  <c r="E117" i="69" s="1"/>
  <c r="C118" i="66"/>
  <c r="C118" i="69" s="1"/>
  <c r="E121" i="66"/>
  <c r="E121" i="69" s="1"/>
  <c r="C122" i="66"/>
  <c r="C122" i="69" s="1"/>
  <c r="E125" i="66"/>
  <c r="E125" i="69" s="1"/>
  <c r="B123" i="66"/>
  <c r="B123" i="69" s="1"/>
  <c r="C123" i="66"/>
  <c r="C123" i="69" s="1"/>
  <c r="D123" i="66"/>
  <c r="D123" i="69" s="1"/>
  <c r="N8" i="51" l="1"/>
  <c r="P8" i="51" s="1"/>
  <c r="X43" i="57"/>
  <c r="X75" i="57"/>
  <c r="L25" i="69"/>
  <c r="J11" i="66"/>
  <c r="J21" i="66"/>
  <c r="J77" i="66"/>
  <c r="A121" i="66"/>
  <c r="A121" i="69" s="1"/>
  <c r="J7" i="69"/>
  <c r="A83" i="66"/>
  <c r="A83" i="69" s="1"/>
  <c r="J26" i="66"/>
  <c r="J26" i="69" s="1"/>
  <c r="L34" i="66"/>
  <c r="L34" i="69" s="1"/>
  <c r="L33" i="69"/>
  <c r="J39" i="66"/>
  <c r="B8" i="69"/>
  <c r="N12" i="66"/>
  <c r="X21" i="57"/>
  <c r="A25" i="66"/>
  <c r="A25" i="69" s="1"/>
  <c r="X119" i="57"/>
  <c r="A82" i="66"/>
  <c r="N82" i="66" s="1"/>
  <c r="J76" i="66"/>
  <c r="J76" i="69" s="1"/>
  <c r="A15" i="66"/>
  <c r="N15" i="66" s="1"/>
  <c r="D18" i="57"/>
  <c r="L32" i="69"/>
  <c r="X11" i="57"/>
  <c r="A78" i="66"/>
  <c r="X78" i="57"/>
  <c r="A75" i="66"/>
  <c r="A75" i="69" s="1"/>
  <c r="A118" i="66"/>
  <c r="N118" i="66" s="1"/>
  <c r="A37" i="66"/>
  <c r="A37" i="69" s="1"/>
  <c r="A87" i="66"/>
  <c r="A87" i="69" s="1"/>
  <c r="A122" i="66"/>
  <c r="A122" i="69" s="1"/>
  <c r="X122" i="57"/>
  <c r="A114" i="66"/>
  <c r="N114" i="66" s="1"/>
  <c r="A106" i="66"/>
  <c r="A80" i="66"/>
  <c r="A80" i="69" s="1"/>
  <c r="X80" i="57"/>
  <c r="A34" i="66"/>
  <c r="A34" i="69" s="1"/>
  <c r="X34" i="57"/>
  <c r="A74" i="66"/>
  <c r="A74" i="69" s="1"/>
  <c r="C12" i="69"/>
  <c r="A88" i="66"/>
  <c r="A40" i="66"/>
  <c r="A40" i="69" s="1"/>
  <c r="A77" i="66"/>
  <c r="A77" i="69" s="1"/>
  <c r="J89" i="66"/>
  <c r="J89" i="69" s="1"/>
  <c r="A35" i="66"/>
  <c r="A35" i="69" s="1"/>
  <c r="A43" i="66"/>
  <c r="A43" i="69" s="1"/>
  <c r="A89" i="66"/>
  <c r="A41" i="66"/>
  <c r="A41" i="69" s="1"/>
  <c r="J118" i="66"/>
  <c r="A86" i="66"/>
  <c r="A86" i="69" s="1"/>
  <c r="A120" i="66"/>
  <c r="L123" i="69"/>
  <c r="N124" i="66"/>
  <c r="A105" i="66"/>
  <c r="A105" i="69" s="1"/>
  <c r="J16" i="66"/>
  <c r="J16" i="69" s="1"/>
  <c r="A125" i="66"/>
  <c r="N125" i="66" s="1"/>
  <c r="A42" i="66"/>
  <c r="A42" i="69" s="1"/>
  <c r="X42" i="57"/>
  <c r="A117" i="66"/>
  <c r="N117" i="66" s="1"/>
  <c r="A84" i="66"/>
  <c r="A84" i="69" s="1"/>
  <c r="A76" i="66"/>
  <c r="A32" i="66"/>
  <c r="N32" i="66" s="1"/>
  <c r="A38" i="66"/>
  <c r="A38" i="69" s="1"/>
  <c r="D8" i="69"/>
  <c r="A70" i="66"/>
  <c r="A70" i="69" s="1"/>
  <c r="A123" i="66"/>
  <c r="A123" i="69" s="1"/>
  <c r="A71" i="66"/>
  <c r="N71" i="66" s="1"/>
  <c r="A36" i="66"/>
  <c r="A36" i="69" s="1"/>
  <c r="A33" i="66"/>
  <c r="X33" i="57"/>
  <c r="A39" i="66"/>
  <c r="A39" i="69" s="1"/>
  <c r="A85" i="66"/>
  <c r="A85" i="69" s="1"/>
  <c r="A116" i="66"/>
  <c r="A116" i="69" s="1"/>
  <c r="J22" i="66"/>
  <c r="J36" i="66"/>
  <c r="K125" i="66"/>
  <c r="J125" i="66"/>
  <c r="D33" i="66"/>
  <c r="D33" i="69" s="1"/>
  <c r="L71" i="66"/>
  <c r="J85" i="66"/>
  <c r="J82" i="66"/>
  <c r="B74" i="66"/>
  <c r="B74" i="69" s="1"/>
  <c r="E18" i="57"/>
  <c r="J75" i="66"/>
  <c r="K33" i="66"/>
  <c r="O33" i="51"/>
  <c r="H87" i="66"/>
  <c r="H87" i="69" s="1"/>
  <c r="H91" i="69" s="1"/>
  <c r="J48" i="66"/>
  <c r="L114" i="66"/>
  <c r="O114" i="51"/>
  <c r="J35" i="66"/>
  <c r="L117" i="66"/>
  <c r="J24" i="66"/>
  <c r="J117" i="66"/>
  <c r="L105" i="66"/>
  <c r="J30" i="66"/>
  <c r="J73" i="66"/>
  <c r="J37" i="66"/>
  <c r="J15" i="66"/>
  <c r="L122" i="66"/>
  <c r="O122" i="51"/>
  <c r="J13" i="66"/>
  <c r="H114" i="69"/>
  <c r="K43" i="69"/>
  <c r="J124" i="69"/>
  <c r="L124" i="66"/>
  <c r="J38" i="66"/>
  <c r="J68" i="66"/>
  <c r="C18" i="57"/>
  <c r="X79" i="57"/>
  <c r="B79" i="66"/>
  <c r="K120" i="66"/>
  <c r="K120" i="51"/>
  <c r="J122" i="66"/>
  <c r="H127" i="57"/>
  <c r="H122" i="66"/>
  <c r="H122" i="69" s="1"/>
  <c r="J43" i="66"/>
  <c r="G48" i="66"/>
  <c r="J40" i="66"/>
  <c r="J116" i="66"/>
  <c r="J41" i="66"/>
  <c r="K117" i="66"/>
  <c r="D108" i="57"/>
  <c r="D105" i="66"/>
  <c r="J83" i="66"/>
  <c r="J80" i="66"/>
  <c r="B70" i="69"/>
  <c r="L115" i="66"/>
  <c r="J18" i="57"/>
  <c r="J10" i="66"/>
  <c r="K25" i="66"/>
  <c r="O25" i="66" s="1"/>
  <c r="B75" i="66"/>
  <c r="L121" i="51"/>
  <c r="L121" i="66"/>
  <c r="L118" i="66"/>
  <c r="O118" i="51"/>
  <c r="X84" i="57"/>
  <c r="N8" i="66"/>
  <c r="P8" i="66" s="1"/>
  <c r="R8" i="66" s="1"/>
  <c r="K42" i="69"/>
  <c r="H108" i="66"/>
  <c r="J86" i="69"/>
  <c r="L120" i="51"/>
  <c r="L120" i="66"/>
  <c r="J79" i="66"/>
  <c r="L43" i="66"/>
  <c r="O43" i="51"/>
  <c r="K123" i="66"/>
  <c r="O123" i="51"/>
  <c r="E127" i="57"/>
  <c r="E116" i="66"/>
  <c r="D116" i="66"/>
  <c r="D116" i="69" s="1"/>
  <c r="K12" i="66"/>
  <c r="B28" i="57"/>
  <c r="L18" i="57"/>
  <c r="L15" i="66"/>
  <c r="K15" i="66"/>
  <c r="B105" i="69"/>
  <c r="J120" i="66"/>
  <c r="J120" i="51"/>
  <c r="N120" i="51" s="1"/>
  <c r="J33" i="66"/>
  <c r="K116" i="66"/>
  <c r="L42" i="66"/>
  <c r="O42" i="51"/>
  <c r="J31" i="66"/>
  <c r="J71" i="69"/>
  <c r="D12" i="69"/>
  <c r="A8" i="69"/>
  <c r="J70" i="69"/>
  <c r="K114" i="69"/>
  <c r="H108" i="69"/>
  <c r="L20" i="66"/>
  <c r="K108" i="57"/>
  <c r="K105" i="66"/>
  <c r="K108" i="66" s="1"/>
  <c r="C108" i="57"/>
  <c r="C105" i="66"/>
  <c r="C114" i="69"/>
  <c r="G127" i="57"/>
  <c r="G123" i="66"/>
  <c r="G123" i="69" s="1"/>
  <c r="L116" i="66"/>
  <c r="J78" i="66"/>
  <c r="L125" i="66"/>
  <c r="K121" i="66"/>
  <c r="K121" i="51"/>
  <c r="J121" i="66"/>
  <c r="J121" i="51"/>
  <c r="N121" i="51" s="1"/>
  <c r="L106" i="66"/>
  <c r="O106" i="51"/>
  <c r="J88" i="66"/>
  <c r="K46" i="57"/>
  <c r="K34" i="66"/>
  <c r="O34" i="51"/>
  <c r="J32" i="66"/>
  <c r="K71" i="66"/>
  <c r="J42" i="66"/>
  <c r="B34" i="66"/>
  <c r="B34" i="69" s="1"/>
  <c r="G18" i="57"/>
  <c r="J23" i="66"/>
  <c r="J12" i="66"/>
  <c r="D114" i="69"/>
  <c r="E82" i="69"/>
  <c r="K122" i="69"/>
  <c r="C20" i="69"/>
  <c r="J25" i="69"/>
  <c r="J72" i="69"/>
  <c r="J105" i="66"/>
  <c r="L28" i="57"/>
  <c r="H39" i="66"/>
  <c r="H39" i="69" s="1"/>
  <c r="J123" i="66"/>
  <c r="E91" i="57"/>
  <c r="B108" i="57"/>
  <c r="B106" i="66"/>
  <c r="B106" i="69" s="1"/>
  <c r="J87" i="66"/>
  <c r="C43" i="66"/>
  <c r="C43" i="69" s="1"/>
  <c r="J34" i="66"/>
  <c r="L12" i="66"/>
  <c r="K124" i="66"/>
  <c r="J114" i="66"/>
  <c r="J106" i="66"/>
  <c r="H30" i="69"/>
  <c r="J84" i="66"/>
  <c r="K118" i="69"/>
  <c r="O32" i="51"/>
  <c r="K32" i="66"/>
  <c r="B12" i="69"/>
  <c r="C8" i="69"/>
  <c r="K106" i="69"/>
  <c r="L127" i="57"/>
  <c r="K18" i="57"/>
  <c r="F127" i="57"/>
  <c r="A46" i="57"/>
  <c r="X106" i="57"/>
  <c r="G46" i="57"/>
  <c r="D46" i="57"/>
  <c r="B127" i="57"/>
  <c r="K127" i="57"/>
  <c r="J28" i="57"/>
  <c r="G28" i="57"/>
  <c r="D28" i="57"/>
  <c r="C46" i="57"/>
  <c r="I28" i="57"/>
  <c r="B18" i="57"/>
  <c r="L46" i="57"/>
  <c r="E28" i="57"/>
  <c r="J127" i="57"/>
  <c r="L108" i="57"/>
  <c r="C28" i="57"/>
  <c r="X117" i="57"/>
  <c r="D127" i="57"/>
  <c r="E46" i="57"/>
  <c r="X116" i="57"/>
  <c r="X124" i="57"/>
  <c r="I127" i="57"/>
  <c r="A108" i="57"/>
  <c r="C91" i="57"/>
  <c r="F46" i="57"/>
  <c r="D91" i="57"/>
  <c r="F28" i="57"/>
  <c r="H91" i="57"/>
  <c r="A91" i="57"/>
  <c r="B46" i="57"/>
  <c r="X26" i="57"/>
  <c r="L91" i="57"/>
  <c r="F18" i="57"/>
  <c r="J46" i="57"/>
  <c r="B91" i="57"/>
  <c r="I18" i="57"/>
  <c r="J91" i="57"/>
  <c r="I91" i="57"/>
  <c r="C127" i="57"/>
  <c r="A18" i="57"/>
  <c r="X73" i="57"/>
  <c r="A127" i="57"/>
  <c r="X86" i="57"/>
  <c r="K91" i="57"/>
  <c r="F91" i="57"/>
  <c r="H46" i="57"/>
  <c r="K28" i="57"/>
  <c r="A28" i="57"/>
  <c r="H18" i="57"/>
  <c r="R8" i="51" l="1"/>
  <c r="V8" i="51"/>
  <c r="O121" i="51"/>
  <c r="O105" i="51"/>
  <c r="O108" i="51" s="1"/>
  <c r="O117" i="51"/>
  <c r="O124" i="51"/>
  <c r="J39" i="69"/>
  <c r="J77" i="69"/>
  <c r="X120" i="57"/>
  <c r="X82" i="57"/>
  <c r="A71" i="69"/>
  <c r="X74" i="57"/>
  <c r="X31" i="57"/>
  <c r="X125" i="57"/>
  <c r="X77" i="57"/>
  <c r="O71" i="51"/>
  <c r="X38" i="57"/>
  <c r="O125" i="51"/>
  <c r="P12" i="51"/>
  <c r="X22" i="57"/>
  <c r="O123" i="66"/>
  <c r="O120" i="51"/>
  <c r="N108" i="51"/>
  <c r="O116" i="51"/>
  <c r="J11" i="69"/>
  <c r="X46" i="57"/>
  <c r="X89" i="57"/>
  <c r="N121" i="66"/>
  <c r="X41" i="57"/>
  <c r="A114" i="69"/>
  <c r="A82" i="69"/>
  <c r="A88" i="69"/>
  <c r="N25" i="66"/>
  <c r="P25" i="66" s="1"/>
  <c r="R25" i="66" s="1"/>
  <c r="L114" i="69"/>
  <c r="O124" i="66"/>
  <c r="P124" i="66" s="1"/>
  <c r="R124" i="66" s="1"/>
  <c r="A78" i="69"/>
  <c r="J21" i="69"/>
  <c r="A125" i="69"/>
  <c r="A76" i="69"/>
  <c r="X48" i="57"/>
  <c r="L122" i="69"/>
  <c r="A15" i="69"/>
  <c r="X83" i="57"/>
  <c r="A118" i="69"/>
  <c r="H46" i="69"/>
  <c r="N33" i="66"/>
  <c r="A32" i="69"/>
  <c r="O33" i="66"/>
  <c r="A33" i="69"/>
  <c r="L117" i="69"/>
  <c r="X108" i="57"/>
  <c r="P118" i="51"/>
  <c r="A89" i="69"/>
  <c r="O71" i="66"/>
  <c r="P71" i="66" s="1"/>
  <c r="R71" i="66" s="1"/>
  <c r="N42" i="66"/>
  <c r="J118" i="69"/>
  <c r="N123" i="66"/>
  <c r="K124" i="69"/>
  <c r="K105" i="69"/>
  <c r="K108" i="69" s="1"/>
  <c r="L106" i="69"/>
  <c r="L116" i="69"/>
  <c r="A108" i="66"/>
  <c r="K32" i="69"/>
  <c r="O122" i="66"/>
  <c r="L105" i="69"/>
  <c r="O118" i="66"/>
  <c r="P118" i="66" s="1"/>
  <c r="R118" i="66" s="1"/>
  <c r="X13" i="57"/>
  <c r="L20" i="69"/>
  <c r="A117" i="69"/>
  <c r="K33" i="69"/>
  <c r="N122" i="66"/>
  <c r="N120" i="66"/>
  <c r="A120" i="69"/>
  <c r="A106" i="69"/>
  <c r="A108" i="69" s="1"/>
  <c r="X123" i="57"/>
  <c r="O106" i="66"/>
  <c r="K121" i="69"/>
  <c r="O120" i="66"/>
  <c r="L124" i="69"/>
  <c r="K120" i="69"/>
  <c r="N116" i="66"/>
  <c r="O114" i="66"/>
  <c r="J35" i="69"/>
  <c r="X85" i="57"/>
  <c r="J84" i="69"/>
  <c r="O121" i="66"/>
  <c r="J78" i="69"/>
  <c r="P8" i="69"/>
  <c r="L15" i="69"/>
  <c r="J79" i="69"/>
  <c r="N43" i="66"/>
  <c r="L121" i="69"/>
  <c r="K117" i="69"/>
  <c r="O43" i="66"/>
  <c r="N34" i="66"/>
  <c r="L108" i="66"/>
  <c r="L71" i="69"/>
  <c r="B75" i="69"/>
  <c r="J123" i="69"/>
  <c r="O25" i="69"/>
  <c r="P25" i="51"/>
  <c r="J12" i="69"/>
  <c r="J31" i="69"/>
  <c r="J33" i="69"/>
  <c r="J43" i="69"/>
  <c r="J122" i="69"/>
  <c r="J13" i="69"/>
  <c r="J37" i="69"/>
  <c r="O117" i="66"/>
  <c r="P117" i="66" s="1"/>
  <c r="R117" i="66" s="1"/>
  <c r="J24" i="69"/>
  <c r="H91" i="66"/>
  <c r="O12" i="66"/>
  <c r="P12" i="66" s="1"/>
  <c r="R12" i="66" s="1"/>
  <c r="K71" i="69"/>
  <c r="C105" i="69"/>
  <c r="C108" i="69" s="1"/>
  <c r="C108" i="66"/>
  <c r="B108" i="69"/>
  <c r="K25" i="69"/>
  <c r="L115" i="69"/>
  <c r="O116" i="66"/>
  <c r="J68" i="69"/>
  <c r="J38" i="69"/>
  <c r="J117" i="69"/>
  <c r="N105" i="66"/>
  <c r="J22" i="69"/>
  <c r="O105" i="66"/>
  <c r="J108" i="66"/>
  <c r="J121" i="69"/>
  <c r="J80" i="69"/>
  <c r="X72" i="57"/>
  <c r="H46" i="66"/>
  <c r="J106" i="69"/>
  <c r="J34" i="69"/>
  <c r="O32" i="66"/>
  <c r="P32" i="66" s="1"/>
  <c r="R32" i="66" s="1"/>
  <c r="J88" i="69"/>
  <c r="L42" i="69"/>
  <c r="B108" i="66"/>
  <c r="K12" i="69"/>
  <c r="E116" i="69"/>
  <c r="K123" i="69"/>
  <c r="L120" i="69"/>
  <c r="L118" i="69"/>
  <c r="J116" i="69"/>
  <c r="B79" i="69"/>
  <c r="J91" i="66"/>
  <c r="J15" i="69"/>
  <c r="J73" i="69"/>
  <c r="J30" i="69"/>
  <c r="J75" i="69"/>
  <c r="J36" i="69"/>
  <c r="J41" i="69"/>
  <c r="O34" i="66"/>
  <c r="J87" i="69"/>
  <c r="J23" i="69"/>
  <c r="J32" i="69"/>
  <c r="J83" i="69"/>
  <c r="J40" i="69"/>
  <c r="G48" i="69"/>
  <c r="O15" i="66"/>
  <c r="P15" i="66" s="1"/>
  <c r="R15" i="66" s="1"/>
  <c r="J125" i="69"/>
  <c r="J42" i="69"/>
  <c r="J82" i="69"/>
  <c r="O125" i="66"/>
  <c r="P125" i="66" s="1"/>
  <c r="R125" i="66" s="1"/>
  <c r="J18" i="66"/>
  <c r="J114" i="69"/>
  <c r="L12" i="69"/>
  <c r="N106" i="66"/>
  <c r="J105" i="69"/>
  <c r="O42" i="66"/>
  <c r="K34" i="69"/>
  <c r="L125" i="69"/>
  <c r="K116" i="69"/>
  <c r="J120" i="69"/>
  <c r="K15" i="69"/>
  <c r="L43" i="69"/>
  <c r="J10" i="69"/>
  <c r="D105" i="69"/>
  <c r="D108" i="69" s="1"/>
  <c r="D108" i="66"/>
  <c r="J48" i="69"/>
  <c r="J85" i="69"/>
  <c r="K125" i="69"/>
  <c r="X12" i="57"/>
  <c r="X39" i="57"/>
  <c r="X35" i="57"/>
  <c r="X36" i="57"/>
  <c r="X20" i="57"/>
  <c r="X114" i="57"/>
  <c r="X24" i="57"/>
  <c r="X30" i="57"/>
  <c r="X25" i="57"/>
  <c r="X71" i="57"/>
  <c r="X44" i="57"/>
  <c r="X105" i="57"/>
  <c r="X115" i="57"/>
  <c r="X70" i="57"/>
  <c r="X16" i="57"/>
  <c r="X37" i="57"/>
  <c r="X32" i="57"/>
  <c r="X68" i="57"/>
  <c r="X87" i="57"/>
  <c r="X76" i="57"/>
  <c r="X40" i="57"/>
  <c r="X15" i="57"/>
  <c r="X10" i="57"/>
  <c r="X121" i="57"/>
  <c r="X88" i="57"/>
  <c r="X118" i="57"/>
  <c r="X23" i="57"/>
  <c r="R118" i="51" l="1"/>
  <c r="V118" i="51"/>
  <c r="R25" i="51"/>
  <c r="V25" i="51"/>
  <c r="R12" i="51"/>
  <c r="V12" i="51"/>
  <c r="P121" i="66"/>
  <c r="R121" i="66" s="1"/>
  <c r="P123" i="66"/>
  <c r="R123" i="66" s="1"/>
  <c r="L108" i="69"/>
  <c r="G18" i="74"/>
  <c r="G25" i="74" s="1"/>
  <c r="H18" i="74" s="1"/>
  <c r="P33" i="66"/>
  <c r="R33" i="66" s="1"/>
  <c r="O108" i="66"/>
  <c r="P106" i="66"/>
  <c r="R106" i="66" s="1"/>
  <c r="J108" i="69"/>
  <c r="P120" i="66"/>
  <c r="R120" i="66" s="1"/>
  <c r="X127" i="57"/>
  <c r="P42" i="66"/>
  <c r="R42" i="66" s="1"/>
  <c r="P34" i="66"/>
  <c r="R34" i="66" s="1"/>
  <c r="P43" i="66"/>
  <c r="R43" i="66" s="1"/>
  <c r="O118" i="69"/>
  <c r="O116" i="69"/>
  <c r="P116" i="51"/>
  <c r="P120" i="51"/>
  <c r="O120" i="69"/>
  <c r="O42" i="69"/>
  <c r="P42" i="51"/>
  <c r="O15" i="69"/>
  <c r="P15" i="51"/>
  <c r="O34" i="69"/>
  <c r="P34" i="51"/>
  <c r="P25" i="69"/>
  <c r="J18" i="69"/>
  <c r="P125" i="51"/>
  <c r="O125" i="69"/>
  <c r="O32" i="69"/>
  <c r="P32" i="51"/>
  <c r="P105" i="66"/>
  <c r="R105" i="66" s="1"/>
  <c r="N108" i="66"/>
  <c r="P12" i="69"/>
  <c r="P121" i="51"/>
  <c r="O121" i="69"/>
  <c r="P105" i="51"/>
  <c r="O105" i="69"/>
  <c r="O71" i="69"/>
  <c r="P71" i="51"/>
  <c r="P124" i="51"/>
  <c r="O124" i="69"/>
  <c r="P116" i="66"/>
  <c r="R116" i="66" s="1"/>
  <c r="O106" i="69"/>
  <c r="P106" i="51"/>
  <c r="J91" i="69"/>
  <c r="P122" i="51"/>
  <c r="O122" i="69"/>
  <c r="O33" i="69"/>
  <c r="P33" i="51"/>
  <c r="P122" i="66"/>
  <c r="R122" i="66" s="1"/>
  <c r="P123" i="51"/>
  <c r="O123" i="69"/>
  <c r="O114" i="69"/>
  <c r="P114" i="51"/>
  <c r="O43" i="69"/>
  <c r="P43" i="51"/>
  <c r="P118" i="69"/>
  <c r="P117" i="51"/>
  <c r="O117" i="69"/>
  <c r="O12" i="69"/>
  <c r="P114" i="66"/>
  <c r="R114" i="66" s="1"/>
  <c r="X91" i="57"/>
  <c r="X28" i="57"/>
  <c r="X18" i="57"/>
  <c r="R124" i="51" l="1"/>
  <c r="V124" i="51"/>
  <c r="R32" i="51"/>
  <c r="V32" i="51"/>
  <c r="R42" i="51"/>
  <c r="V42" i="51"/>
  <c r="R105" i="51"/>
  <c r="V105" i="51"/>
  <c r="R120" i="51"/>
  <c r="V120" i="51"/>
  <c r="R116" i="51"/>
  <c r="V116" i="51"/>
  <c r="R117" i="51"/>
  <c r="V117" i="51"/>
  <c r="R114" i="51"/>
  <c r="V114" i="51"/>
  <c r="R122" i="51"/>
  <c r="V122" i="51"/>
  <c r="R43" i="51"/>
  <c r="V43" i="51"/>
  <c r="R123" i="51"/>
  <c r="V123" i="51"/>
  <c r="R33" i="51"/>
  <c r="V33" i="51"/>
  <c r="R71" i="51"/>
  <c r="V71" i="51"/>
  <c r="R121" i="51"/>
  <c r="V121" i="51"/>
  <c r="R125" i="51"/>
  <c r="V125" i="51"/>
  <c r="R34" i="51"/>
  <c r="V34" i="51"/>
  <c r="R15" i="51"/>
  <c r="V15" i="51"/>
  <c r="R106" i="51"/>
  <c r="V106" i="51"/>
  <c r="I18" i="74"/>
  <c r="P108" i="51"/>
  <c r="V108" i="51" s="1"/>
  <c r="P108" i="66"/>
  <c r="R108" i="66" s="1"/>
  <c r="H21" i="74"/>
  <c r="H17" i="74"/>
  <c r="H24" i="74"/>
  <c r="H20" i="74"/>
  <c r="H23" i="74"/>
  <c r="H19" i="74"/>
  <c r="H22" i="74"/>
  <c r="P117" i="69"/>
  <c r="P105" i="69"/>
  <c r="P121" i="69"/>
  <c r="P32" i="69"/>
  <c r="P15" i="69"/>
  <c r="P114" i="69"/>
  <c r="P123" i="69"/>
  <c r="P106" i="69"/>
  <c r="P120" i="69"/>
  <c r="P34" i="69"/>
  <c r="P43" i="69"/>
  <c r="P33" i="69"/>
  <c r="P125" i="69"/>
  <c r="P124" i="69"/>
  <c r="P71" i="69"/>
  <c r="P42" i="69"/>
  <c r="P116" i="69"/>
  <c r="P122" i="69"/>
  <c r="R108" i="51" l="1"/>
  <c r="H25" i="74"/>
  <c r="C8" i="65" l="1"/>
  <c r="C9" i="65"/>
  <c r="C10" i="65"/>
  <c r="C11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24" i="65"/>
  <c r="C25" i="65"/>
  <c r="C26" i="65"/>
  <c r="C27" i="65"/>
  <c r="C28" i="65"/>
  <c r="C29" i="65"/>
  <c r="C30" i="65"/>
  <c r="C31" i="65"/>
  <c r="C32" i="65"/>
  <c r="C33" i="65"/>
  <c r="C34" i="65"/>
  <c r="C35" i="65"/>
  <c r="C36" i="65"/>
  <c r="C37" i="65"/>
  <c r="C38" i="65"/>
  <c r="C39" i="65"/>
  <c r="C40" i="65"/>
  <c r="C41" i="65"/>
  <c r="C42" i="65"/>
  <c r="C43" i="65"/>
  <c r="C44" i="65"/>
  <c r="C45" i="65"/>
  <c r="C46" i="65"/>
  <c r="C47" i="65"/>
  <c r="C48" i="65"/>
  <c r="C49" i="65"/>
  <c r="C50" i="65"/>
  <c r="C51" i="65"/>
  <c r="C52" i="65"/>
  <c r="C53" i="65"/>
  <c r="C54" i="65"/>
  <c r="C55" i="65"/>
  <c r="C56" i="65"/>
  <c r="C57" i="65"/>
  <c r="C58" i="65"/>
  <c r="C59" i="65"/>
  <c r="C60" i="65"/>
  <c r="C61" i="65"/>
  <c r="C62" i="65"/>
  <c r="C63" i="65"/>
  <c r="C64" i="65"/>
  <c r="C65" i="65"/>
  <c r="C66" i="65"/>
  <c r="C67" i="65"/>
  <c r="C68" i="65"/>
  <c r="C69" i="65"/>
  <c r="C70" i="65"/>
  <c r="C71" i="65"/>
  <c r="C72" i="65"/>
  <c r="C73" i="65"/>
  <c r="C74" i="65"/>
  <c r="C75" i="65"/>
  <c r="C76" i="65"/>
  <c r="C77" i="65"/>
  <c r="C78" i="65"/>
  <c r="C79" i="65"/>
  <c r="C80" i="65"/>
  <c r="C81" i="65"/>
  <c r="C82" i="65"/>
  <c r="C83" i="65"/>
  <c r="C84" i="65"/>
  <c r="C85" i="65"/>
  <c r="C86" i="65"/>
  <c r="C87" i="65"/>
  <c r="C88" i="65"/>
  <c r="C89" i="65"/>
  <c r="C90" i="65"/>
  <c r="C91" i="65"/>
  <c r="C92" i="65"/>
  <c r="C93" i="65"/>
  <c r="C94" i="65"/>
  <c r="C95" i="65"/>
  <c r="C96" i="65"/>
  <c r="C97" i="65"/>
  <c r="C98" i="65"/>
  <c r="C99" i="65"/>
  <c r="C100" i="65"/>
  <c r="C101" i="65"/>
  <c r="C102" i="65"/>
  <c r="C103" i="65"/>
  <c r="C104" i="65"/>
  <c r="C105" i="65"/>
  <c r="C106" i="65"/>
  <c r="C107" i="65"/>
  <c r="C108" i="65"/>
  <c r="C109" i="65"/>
  <c r="C110" i="65"/>
  <c r="C111" i="65"/>
  <c r="C112" i="65"/>
  <c r="C113" i="65"/>
  <c r="C114" i="65"/>
  <c r="C115" i="65"/>
  <c r="C116" i="65"/>
  <c r="C117" i="65"/>
  <c r="C118" i="65"/>
  <c r="C119" i="65"/>
  <c r="C120" i="65"/>
  <c r="C121" i="65"/>
  <c r="C122" i="65"/>
  <c r="C123" i="65"/>
  <c r="C124" i="65"/>
  <c r="C125" i="65"/>
  <c r="C126" i="65"/>
  <c r="C127" i="65"/>
  <c r="C128" i="65"/>
  <c r="C129" i="65"/>
  <c r="C130" i="65"/>
  <c r="C131" i="65"/>
  <c r="C132" i="65"/>
  <c r="C133" i="65"/>
  <c r="C134" i="65"/>
  <c r="C135" i="65"/>
  <c r="C136" i="65"/>
  <c r="C137" i="65"/>
  <c r="C138" i="65"/>
  <c r="C139" i="65"/>
  <c r="C140" i="65"/>
  <c r="C141" i="65"/>
  <c r="C142" i="65"/>
  <c r="C143" i="65"/>
  <c r="C144" i="65"/>
  <c r="C145" i="65"/>
  <c r="C146" i="65"/>
  <c r="C147" i="65"/>
  <c r="C148" i="65"/>
  <c r="C149" i="65"/>
  <c r="C150" i="65"/>
  <c r="C151" i="65"/>
  <c r="C152" i="65"/>
  <c r="C153" i="65"/>
  <c r="C154" i="65"/>
  <c r="C155" i="65"/>
  <c r="C156" i="65"/>
  <c r="C157" i="65"/>
  <c r="C158" i="65"/>
  <c r="C159" i="65"/>
  <c r="C160" i="65"/>
  <c r="C161" i="65"/>
  <c r="C162" i="65"/>
  <c r="C163" i="65"/>
  <c r="C164" i="65"/>
  <c r="C165" i="65"/>
  <c r="C166" i="65"/>
  <c r="C167" i="65"/>
  <c r="C168" i="65"/>
  <c r="C169" i="65"/>
  <c r="C170" i="65"/>
  <c r="C171" i="65"/>
  <c r="C172" i="65"/>
  <c r="C7" i="65"/>
  <c r="A8" i="56"/>
  <c r="A9" i="56"/>
  <c r="A12" i="56"/>
  <c r="A14" i="56"/>
  <c r="A15" i="56"/>
  <c r="A17" i="56"/>
  <c r="A19" i="56"/>
  <c r="A25" i="56"/>
  <c r="A27" i="56"/>
  <c r="A29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5" i="56"/>
  <c r="A47" i="56"/>
  <c r="A49" i="56"/>
  <c r="A50" i="56"/>
  <c r="A53" i="56"/>
  <c r="A55" i="56"/>
  <c r="A58" i="56"/>
  <c r="A64" i="56"/>
  <c r="A66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2" i="56"/>
  <c r="A101" i="56"/>
  <c r="A103" i="56"/>
  <c r="A104" i="56"/>
  <c r="A105" i="56"/>
  <c r="A106" i="56"/>
  <c r="A107" i="56"/>
  <c r="A108" i="56"/>
  <c r="A109" i="56"/>
  <c r="A111" i="56"/>
  <c r="A113" i="56"/>
  <c r="A114" i="56"/>
  <c r="A116" i="56"/>
  <c r="A117" i="56"/>
  <c r="A118" i="56"/>
  <c r="A120" i="56"/>
  <c r="A121" i="56"/>
  <c r="A122" i="56"/>
  <c r="A123" i="56"/>
  <c r="A124" i="56"/>
  <c r="A125" i="56"/>
  <c r="A126" i="56"/>
  <c r="A128" i="56"/>
  <c r="B258" i="62" l="1"/>
  <c r="C258" i="62" s="1"/>
  <c r="D258" i="62" s="1"/>
  <c r="E258" i="62" s="1"/>
  <c r="F258" i="62" s="1"/>
  <c r="G258" i="62" s="1"/>
  <c r="H258" i="62" s="1"/>
  <c r="I258" i="62" s="1"/>
  <c r="J258" i="62" s="1"/>
  <c r="K258" i="62" s="1"/>
  <c r="L258" i="62" s="1"/>
  <c r="B257" i="62"/>
  <c r="C257" i="62" s="1"/>
  <c r="D257" i="62" s="1"/>
  <c r="E257" i="62" s="1"/>
  <c r="F257" i="62" s="1"/>
  <c r="G257" i="62" s="1"/>
  <c r="H257" i="62" s="1"/>
  <c r="I257" i="62" s="1"/>
  <c r="J257" i="62" s="1"/>
  <c r="K257" i="62" s="1"/>
  <c r="L257" i="62" s="1"/>
  <c r="B256" i="62"/>
  <c r="C256" i="62" s="1"/>
  <c r="D256" i="62" s="1"/>
  <c r="E256" i="62" s="1"/>
  <c r="F256" i="62" s="1"/>
  <c r="G256" i="62" s="1"/>
  <c r="H256" i="62" s="1"/>
  <c r="I256" i="62" s="1"/>
  <c r="J256" i="62" s="1"/>
  <c r="K256" i="62" s="1"/>
  <c r="L256" i="62" s="1"/>
  <c r="B255" i="62"/>
  <c r="C255" i="62" s="1"/>
  <c r="D255" i="62" s="1"/>
  <c r="E255" i="62" s="1"/>
  <c r="F255" i="62" s="1"/>
  <c r="G255" i="62" s="1"/>
  <c r="H255" i="62" s="1"/>
  <c r="I255" i="62" s="1"/>
  <c r="J255" i="62" s="1"/>
  <c r="K255" i="62" s="1"/>
  <c r="L255" i="62" s="1"/>
  <c r="B254" i="62"/>
  <c r="C254" i="62" s="1"/>
  <c r="D254" i="62" s="1"/>
  <c r="E254" i="62" s="1"/>
  <c r="F254" i="62" s="1"/>
  <c r="G254" i="62" s="1"/>
  <c r="H254" i="62" s="1"/>
  <c r="I254" i="62" s="1"/>
  <c r="J254" i="62" s="1"/>
  <c r="K254" i="62" s="1"/>
  <c r="L254" i="62" s="1"/>
  <c r="B253" i="62"/>
  <c r="C253" i="62" s="1"/>
  <c r="D253" i="62" s="1"/>
  <c r="E253" i="62" s="1"/>
  <c r="F253" i="62" s="1"/>
  <c r="G253" i="62" s="1"/>
  <c r="H253" i="62" s="1"/>
  <c r="I253" i="62" s="1"/>
  <c r="J253" i="62" s="1"/>
  <c r="K253" i="62" s="1"/>
  <c r="L253" i="62" s="1"/>
  <c r="B252" i="62"/>
  <c r="C252" i="62" s="1"/>
  <c r="D252" i="62" s="1"/>
  <c r="E252" i="62" s="1"/>
  <c r="F252" i="62" s="1"/>
  <c r="G252" i="62" s="1"/>
  <c r="H252" i="62" s="1"/>
  <c r="I252" i="62" s="1"/>
  <c r="J252" i="62" s="1"/>
  <c r="K252" i="62" s="1"/>
  <c r="L252" i="62" s="1"/>
  <c r="B251" i="62"/>
  <c r="C251" i="62" s="1"/>
  <c r="D251" i="62" s="1"/>
  <c r="E251" i="62" s="1"/>
  <c r="F251" i="62" s="1"/>
  <c r="G251" i="62" s="1"/>
  <c r="H251" i="62" s="1"/>
  <c r="I251" i="62" s="1"/>
  <c r="J251" i="62" s="1"/>
  <c r="K251" i="62" s="1"/>
  <c r="L251" i="62" s="1"/>
  <c r="B250" i="62"/>
  <c r="C250" i="62" s="1"/>
  <c r="D250" i="62" s="1"/>
  <c r="E250" i="62" s="1"/>
  <c r="F250" i="62" s="1"/>
  <c r="G250" i="62" s="1"/>
  <c r="H250" i="62" s="1"/>
  <c r="I250" i="62" s="1"/>
  <c r="J250" i="62" s="1"/>
  <c r="K250" i="62" s="1"/>
  <c r="L250" i="62" s="1"/>
  <c r="B249" i="62"/>
  <c r="C249" i="62" s="1"/>
  <c r="D249" i="62" s="1"/>
  <c r="E249" i="62" s="1"/>
  <c r="F249" i="62" s="1"/>
  <c r="G249" i="62" s="1"/>
  <c r="H249" i="62" s="1"/>
  <c r="I249" i="62" s="1"/>
  <c r="J249" i="62" s="1"/>
  <c r="K249" i="62" s="1"/>
  <c r="L249" i="62" s="1"/>
  <c r="B248" i="62"/>
  <c r="C248" i="62" s="1"/>
  <c r="D248" i="62" s="1"/>
  <c r="E248" i="62" s="1"/>
  <c r="F248" i="62" s="1"/>
  <c r="G248" i="62" s="1"/>
  <c r="H248" i="62" s="1"/>
  <c r="I248" i="62" s="1"/>
  <c r="J248" i="62" s="1"/>
  <c r="K248" i="62" s="1"/>
  <c r="L248" i="62" s="1"/>
  <c r="B247" i="62"/>
  <c r="C247" i="62" s="1"/>
  <c r="D247" i="62" s="1"/>
  <c r="E247" i="62" s="1"/>
  <c r="F247" i="62" s="1"/>
  <c r="G247" i="62" s="1"/>
  <c r="H247" i="62" s="1"/>
  <c r="I247" i="62" s="1"/>
  <c r="J247" i="62" s="1"/>
  <c r="K247" i="62" s="1"/>
  <c r="L247" i="62" s="1"/>
  <c r="B246" i="62"/>
  <c r="C246" i="62" s="1"/>
  <c r="D246" i="62" s="1"/>
  <c r="E246" i="62" s="1"/>
  <c r="F246" i="62" s="1"/>
  <c r="G246" i="62" s="1"/>
  <c r="H246" i="62" s="1"/>
  <c r="I246" i="62" s="1"/>
  <c r="J246" i="62" s="1"/>
  <c r="K246" i="62" s="1"/>
  <c r="L246" i="62" s="1"/>
  <c r="B245" i="62"/>
  <c r="C245" i="62" s="1"/>
  <c r="D245" i="62" s="1"/>
  <c r="E245" i="62" s="1"/>
  <c r="F245" i="62" s="1"/>
  <c r="G245" i="62" s="1"/>
  <c r="H245" i="62" s="1"/>
  <c r="I245" i="62" s="1"/>
  <c r="J245" i="62" s="1"/>
  <c r="K245" i="62" s="1"/>
  <c r="L245" i="62" s="1"/>
  <c r="B244" i="62"/>
  <c r="C244" i="62" s="1"/>
  <c r="D244" i="62" s="1"/>
  <c r="E244" i="62" s="1"/>
  <c r="F244" i="62" s="1"/>
  <c r="G244" i="62" s="1"/>
  <c r="H244" i="62" s="1"/>
  <c r="I244" i="62" s="1"/>
  <c r="J244" i="62" s="1"/>
  <c r="K244" i="62" s="1"/>
  <c r="L244" i="62" s="1"/>
  <c r="B243" i="62"/>
  <c r="C243" i="62" s="1"/>
  <c r="D243" i="62" s="1"/>
  <c r="E243" i="62" s="1"/>
  <c r="F243" i="62" s="1"/>
  <c r="G243" i="62" s="1"/>
  <c r="H243" i="62" s="1"/>
  <c r="I243" i="62" s="1"/>
  <c r="J243" i="62" s="1"/>
  <c r="K243" i="62" s="1"/>
  <c r="L243" i="62" s="1"/>
  <c r="B241" i="62"/>
  <c r="C241" i="62" s="1"/>
  <c r="D241" i="62" s="1"/>
  <c r="E241" i="62" s="1"/>
  <c r="F241" i="62" s="1"/>
  <c r="G241" i="62" s="1"/>
  <c r="H241" i="62" s="1"/>
  <c r="I241" i="62" s="1"/>
  <c r="J241" i="62" s="1"/>
  <c r="K241" i="62" s="1"/>
  <c r="L241" i="62" s="1"/>
  <c r="B239" i="62"/>
  <c r="C239" i="62" s="1"/>
  <c r="D239" i="62" s="1"/>
  <c r="E239" i="62" s="1"/>
  <c r="F239" i="62" s="1"/>
  <c r="G239" i="62" s="1"/>
  <c r="H239" i="62" s="1"/>
  <c r="I239" i="62" s="1"/>
  <c r="J239" i="62" s="1"/>
  <c r="K239" i="62" s="1"/>
  <c r="L239" i="62" s="1"/>
  <c r="B238" i="62"/>
  <c r="C238" i="62" s="1"/>
  <c r="D238" i="62" s="1"/>
  <c r="E238" i="62" s="1"/>
  <c r="F238" i="62" s="1"/>
  <c r="G238" i="62" s="1"/>
  <c r="H238" i="62" s="1"/>
  <c r="I238" i="62" s="1"/>
  <c r="J238" i="62" s="1"/>
  <c r="K238" i="62" s="1"/>
  <c r="L238" i="62" s="1"/>
  <c r="B237" i="62"/>
  <c r="C237" i="62" s="1"/>
  <c r="D237" i="62" s="1"/>
  <c r="E237" i="62" s="1"/>
  <c r="F237" i="62" s="1"/>
  <c r="G237" i="62" s="1"/>
  <c r="H237" i="62" s="1"/>
  <c r="I237" i="62" s="1"/>
  <c r="J237" i="62" s="1"/>
  <c r="K237" i="62" s="1"/>
  <c r="L237" i="62" s="1"/>
  <c r="B236" i="62"/>
  <c r="C236" i="62" s="1"/>
  <c r="D236" i="62" s="1"/>
  <c r="E236" i="62" s="1"/>
  <c r="F236" i="62" s="1"/>
  <c r="G236" i="62" s="1"/>
  <c r="H236" i="62" s="1"/>
  <c r="I236" i="62" s="1"/>
  <c r="J236" i="62" s="1"/>
  <c r="K236" i="62" s="1"/>
  <c r="L236" i="62" s="1"/>
  <c r="B235" i="62"/>
  <c r="C235" i="62" s="1"/>
  <c r="D235" i="62" s="1"/>
  <c r="E235" i="62" s="1"/>
  <c r="F235" i="62" s="1"/>
  <c r="G235" i="62" s="1"/>
  <c r="H235" i="62" s="1"/>
  <c r="I235" i="62" s="1"/>
  <c r="J235" i="62" s="1"/>
  <c r="K235" i="62" s="1"/>
  <c r="L235" i="62" s="1"/>
  <c r="B234" i="62"/>
  <c r="C234" i="62" s="1"/>
  <c r="D234" i="62" s="1"/>
  <c r="E234" i="62" s="1"/>
  <c r="F234" i="62" s="1"/>
  <c r="G234" i="62" s="1"/>
  <c r="H234" i="62" s="1"/>
  <c r="I234" i="62" s="1"/>
  <c r="J234" i="62" s="1"/>
  <c r="K234" i="62" s="1"/>
  <c r="L234" i="62" s="1"/>
  <c r="B233" i="62"/>
  <c r="C233" i="62" s="1"/>
  <c r="D233" i="62" s="1"/>
  <c r="E233" i="62" s="1"/>
  <c r="F233" i="62" s="1"/>
  <c r="G233" i="62" s="1"/>
  <c r="H233" i="62" s="1"/>
  <c r="I233" i="62" s="1"/>
  <c r="J233" i="62" s="1"/>
  <c r="K233" i="62" s="1"/>
  <c r="L233" i="62" s="1"/>
  <c r="B231" i="62"/>
  <c r="C231" i="62" s="1"/>
  <c r="D231" i="62" s="1"/>
  <c r="E231" i="62" s="1"/>
  <c r="F231" i="62" s="1"/>
  <c r="G231" i="62" s="1"/>
  <c r="H231" i="62" s="1"/>
  <c r="I231" i="62" s="1"/>
  <c r="J231" i="62" s="1"/>
  <c r="K231" i="62" s="1"/>
  <c r="L231" i="62" s="1"/>
  <c r="B230" i="62"/>
  <c r="C230" i="62" s="1"/>
  <c r="D230" i="62" s="1"/>
  <c r="E230" i="62" s="1"/>
  <c r="F230" i="62" s="1"/>
  <c r="G230" i="62" s="1"/>
  <c r="H230" i="62" s="1"/>
  <c r="I230" i="62" s="1"/>
  <c r="J230" i="62" s="1"/>
  <c r="K230" i="62" s="1"/>
  <c r="L230" i="62" s="1"/>
  <c r="B229" i="62"/>
  <c r="C229" i="62" s="1"/>
  <c r="D229" i="62" s="1"/>
  <c r="E229" i="62" s="1"/>
  <c r="F229" i="62" s="1"/>
  <c r="G229" i="62" s="1"/>
  <c r="H229" i="62" s="1"/>
  <c r="I229" i="62" s="1"/>
  <c r="J229" i="62" s="1"/>
  <c r="K229" i="62" s="1"/>
  <c r="L229" i="62" s="1"/>
  <c r="B228" i="62"/>
  <c r="C228" i="62" s="1"/>
  <c r="D228" i="62" s="1"/>
  <c r="E228" i="62" s="1"/>
  <c r="F228" i="62" s="1"/>
  <c r="G228" i="62" s="1"/>
  <c r="H228" i="62" s="1"/>
  <c r="I228" i="62" s="1"/>
  <c r="J228" i="62" s="1"/>
  <c r="K228" i="62" s="1"/>
  <c r="L228" i="62" s="1"/>
  <c r="B227" i="62"/>
  <c r="C227" i="62" s="1"/>
  <c r="D227" i="62" s="1"/>
  <c r="E227" i="62" s="1"/>
  <c r="F227" i="62" s="1"/>
  <c r="G227" i="62" s="1"/>
  <c r="H227" i="62" s="1"/>
  <c r="I227" i="62" s="1"/>
  <c r="J227" i="62" s="1"/>
  <c r="K227" i="62" s="1"/>
  <c r="L227" i="62" s="1"/>
  <c r="B226" i="62"/>
  <c r="C226" i="62" s="1"/>
  <c r="D226" i="62" s="1"/>
  <c r="E226" i="62" s="1"/>
  <c r="F226" i="62" s="1"/>
  <c r="G226" i="62" s="1"/>
  <c r="H226" i="62" s="1"/>
  <c r="I226" i="62" s="1"/>
  <c r="J226" i="62" s="1"/>
  <c r="K226" i="62" s="1"/>
  <c r="L226" i="62" s="1"/>
  <c r="B225" i="62"/>
  <c r="C225" i="62" s="1"/>
  <c r="D225" i="62" s="1"/>
  <c r="E225" i="62" s="1"/>
  <c r="F225" i="62" s="1"/>
  <c r="G225" i="62" s="1"/>
  <c r="H225" i="62" s="1"/>
  <c r="I225" i="62" s="1"/>
  <c r="J225" i="62" s="1"/>
  <c r="K225" i="62" s="1"/>
  <c r="L225" i="62" s="1"/>
  <c r="B223" i="62"/>
  <c r="C223" i="62" s="1"/>
  <c r="D223" i="62" s="1"/>
  <c r="E223" i="62" s="1"/>
  <c r="F223" i="62" s="1"/>
  <c r="G223" i="62" s="1"/>
  <c r="H223" i="62" s="1"/>
  <c r="I223" i="62" s="1"/>
  <c r="J223" i="62" s="1"/>
  <c r="K223" i="62" s="1"/>
  <c r="L223" i="62" s="1"/>
  <c r="B222" i="62"/>
  <c r="C222" i="62" s="1"/>
  <c r="D222" i="62" s="1"/>
  <c r="E222" i="62" s="1"/>
  <c r="F222" i="62" s="1"/>
  <c r="G222" i="62" s="1"/>
  <c r="H222" i="62" s="1"/>
  <c r="I222" i="62" s="1"/>
  <c r="J222" i="62" s="1"/>
  <c r="K222" i="62" s="1"/>
  <c r="L222" i="62" s="1"/>
  <c r="B221" i="62"/>
  <c r="C221" i="62" s="1"/>
  <c r="D221" i="62" s="1"/>
  <c r="E221" i="62" s="1"/>
  <c r="F221" i="62" s="1"/>
  <c r="G221" i="62" s="1"/>
  <c r="H221" i="62" s="1"/>
  <c r="I221" i="62" s="1"/>
  <c r="J221" i="62" s="1"/>
  <c r="K221" i="62" s="1"/>
  <c r="L221" i="62" s="1"/>
  <c r="B220" i="62"/>
  <c r="C220" i="62" s="1"/>
  <c r="D220" i="62" s="1"/>
  <c r="E220" i="62" s="1"/>
  <c r="F220" i="62" s="1"/>
  <c r="G220" i="62" s="1"/>
  <c r="H220" i="62" s="1"/>
  <c r="I220" i="62" s="1"/>
  <c r="J220" i="62" s="1"/>
  <c r="K220" i="62" s="1"/>
  <c r="L220" i="62" s="1"/>
  <c r="B219" i="62"/>
  <c r="C219" i="62" s="1"/>
  <c r="D219" i="62" s="1"/>
  <c r="E219" i="62" s="1"/>
  <c r="F219" i="62" s="1"/>
  <c r="G219" i="62" s="1"/>
  <c r="H219" i="62" s="1"/>
  <c r="I219" i="62" s="1"/>
  <c r="J219" i="62" s="1"/>
  <c r="K219" i="62" s="1"/>
  <c r="L219" i="62" s="1"/>
  <c r="B218" i="62"/>
  <c r="C218" i="62" s="1"/>
  <c r="D218" i="62" s="1"/>
  <c r="E218" i="62" s="1"/>
  <c r="F218" i="62" s="1"/>
  <c r="G218" i="62" s="1"/>
  <c r="H218" i="62" s="1"/>
  <c r="I218" i="62" s="1"/>
  <c r="J218" i="62" s="1"/>
  <c r="K218" i="62" s="1"/>
  <c r="L218" i="62" s="1"/>
  <c r="B217" i="62"/>
  <c r="C217" i="62" s="1"/>
  <c r="D217" i="62" s="1"/>
  <c r="E217" i="62" s="1"/>
  <c r="F217" i="62" s="1"/>
  <c r="G217" i="62" s="1"/>
  <c r="H217" i="62" s="1"/>
  <c r="I217" i="62" s="1"/>
  <c r="J217" i="62" s="1"/>
  <c r="K217" i="62" s="1"/>
  <c r="L217" i="62" s="1"/>
  <c r="B216" i="62"/>
  <c r="C216" i="62" s="1"/>
  <c r="D216" i="62" s="1"/>
  <c r="E216" i="62" s="1"/>
  <c r="F216" i="62" s="1"/>
  <c r="G216" i="62" s="1"/>
  <c r="H216" i="62" s="1"/>
  <c r="I216" i="62" s="1"/>
  <c r="J216" i="62" s="1"/>
  <c r="K216" i="62" s="1"/>
  <c r="L216" i="62" s="1"/>
  <c r="B215" i="62"/>
  <c r="C215" i="62" s="1"/>
  <c r="D215" i="62" s="1"/>
  <c r="E215" i="62" s="1"/>
  <c r="F215" i="62" s="1"/>
  <c r="G215" i="62" s="1"/>
  <c r="H215" i="62" s="1"/>
  <c r="I215" i="62" s="1"/>
  <c r="J215" i="62" s="1"/>
  <c r="K215" i="62" s="1"/>
  <c r="L215" i="62" s="1"/>
  <c r="B214" i="62"/>
  <c r="C214" i="62" s="1"/>
  <c r="D214" i="62" s="1"/>
  <c r="E214" i="62" s="1"/>
  <c r="F214" i="62" s="1"/>
  <c r="G214" i="62" s="1"/>
  <c r="H214" i="62" s="1"/>
  <c r="I214" i="62" s="1"/>
  <c r="J214" i="62" s="1"/>
  <c r="K214" i="62" s="1"/>
  <c r="L214" i="62" s="1"/>
  <c r="B213" i="62"/>
  <c r="C213" i="62" s="1"/>
  <c r="D213" i="62" s="1"/>
  <c r="E213" i="62" s="1"/>
  <c r="F213" i="62" s="1"/>
  <c r="G213" i="62" s="1"/>
  <c r="H213" i="62" s="1"/>
  <c r="I213" i="62" s="1"/>
  <c r="J213" i="62" s="1"/>
  <c r="K213" i="62" s="1"/>
  <c r="L213" i="62" s="1"/>
  <c r="B212" i="62"/>
  <c r="C212" i="62" s="1"/>
  <c r="D212" i="62" s="1"/>
  <c r="E212" i="62" s="1"/>
  <c r="F212" i="62" s="1"/>
  <c r="G212" i="62" s="1"/>
  <c r="H212" i="62" s="1"/>
  <c r="I212" i="62" s="1"/>
  <c r="J212" i="62" s="1"/>
  <c r="K212" i="62" s="1"/>
  <c r="L212" i="62" s="1"/>
  <c r="B211" i="62"/>
  <c r="C211" i="62" s="1"/>
  <c r="D211" i="62" s="1"/>
  <c r="E211" i="62" s="1"/>
  <c r="F211" i="62" s="1"/>
  <c r="G211" i="62" s="1"/>
  <c r="H211" i="62" s="1"/>
  <c r="I211" i="62" s="1"/>
  <c r="J211" i="62" s="1"/>
  <c r="K211" i="62" s="1"/>
  <c r="L211" i="62" s="1"/>
  <c r="B210" i="62"/>
  <c r="C210" i="62" s="1"/>
  <c r="D210" i="62" s="1"/>
  <c r="E210" i="62" s="1"/>
  <c r="F210" i="62" s="1"/>
  <c r="G210" i="62" s="1"/>
  <c r="H210" i="62" s="1"/>
  <c r="I210" i="62" s="1"/>
  <c r="J210" i="62" s="1"/>
  <c r="K210" i="62" s="1"/>
  <c r="L210" i="62" s="1"/>
  <c r="B209" i="62"/>
  <c r="C209" i="62" s="1"/>
  <c r="D209" i="62" s="1"/>
  <c r="E209" i="62" s="1"/>
  <c r="F209" i="62" s="1"/>
  <c r="G209" i="62" s="1"/>
  <c r="H209" i="62" s="1"/>
  <c r="I209" i="62" s="1"/>
  <c r="J209" i="62" s="1"/>
  <c r="K209" i="62" s="1"/>
  <c r="L209" i="62" s="1"/>
  <c r="B208" i="62"/>
  <c r="C208" i="62" s="1"/>
  <c r="D208" i="62" s="1"/>
  <c r="E208" i="62" s="1"/>
  <c r="F208" i="62" s="1"/>
  <c r="G208" i="62" s="1"/>
  <c r="H208" i="62" s="1"/>
  <c r="I208" i="62" s="1"/>
  <c r="J208" i="62" s="1"/>
  <c r="K208" i="62" s="1"/>
  <c r="L208" i="62" s="1"/>
  <c r="B207" i="62"/>
  <c r="C207" i="62" s="1"/>
  <c r="D207" i="62" s="1"/>
  <c r="E207" i="62" s="1"/>
  <c r="F207" i="62" s="1"/>
  <c r="G207" i="62" s="1"/>
  <c r="H207" i="62" s="1"/>
  <c r="I207" i="62" s="1"/>
  <c r="J207" i="62" s="1"/>
  <c r="K207" i="62" s="1"/>
  <c r="L207" i="62" s="1"/>
  <c r="B206" i="62"/>
  <c r="C206" i="62" s="1"/>
  <c r="D206" i="62" s="1"/>
  <c r="E206" i="62" s="1"/>
  <c r="F206" i="62" s="1"/>
  <c r="G206" i="62" s="1"/>
  <c r="H206" i="62" s="1"/>
  <c r="I206" i="62" s="1"/>
  <c r="J206" i="62" s="1"/>
  <c r="K206" i="62" s="1"/>
  <c r="L206" i="62" s="1"/>
  <c r="B205" i="62"/>
  <c r="C205" i="62" s="1"/>
  <c r="D205" i="62" s="1"/>
  <c r="E205" i="62" s="1"/>
  <c r="F205" i="62" s="1"/>
  <c r="G205" i="62" s="1"/>
  <c r="H205" i="62" s="1"/>
  <c r="I205" i="62" s="1"/>
  <c r="J205" i="62" s="1"/>
  <c r="K205" i="62" s="1"/>
  <c r="L205" i="62" s="1"/>
  <c r="B204" i="62"/>
  <c r="C204" i="62" s="1"/>
  <c r="D204" i="62" s="1"/>
  <c r="E204" i="62" s="1"/>
  <c r="F204" i="62" s="1"/>
  <c r="G204" i="62" s="1"/>
  <c r="H204" i="62" s="1"/>
  <c r="I204" i="62" s="1"/>
  <c r="J204" i="62" s="1"/>
  <c r="K204" i="62" s="1"/>
  <c r="L204" i="62" s="1"/>
  <c r="B203" i="62"/>
  <c r="C203" i="62" s="1"/>
  <c r="D203" i="62" s="1"/>
  <c r="E203" i="62" s="1"/>
  <c r="F203" i="62" s="1"/>
  <c r="G203" i="62" s="1"/>
  <c r="H203" i="62" s="1"/>
  <c r="I203" i="62" s="1"/>
  <c r="J203" i="62" s="1"/>
  <c r="K203" i="62" s="1"/>
  <c r="L203" i="62" s="1"/>
  <c r="B202" i="62"/>
  <c r="C202" i="62" s="1"/>
  <c r="D202" i="62" s="1"/>
  <c r="E202" i="62" s="1"/>
  <c r="F202" i="62" s="1"/>
  <c r="G202" i="62" s="1"/>
  <c r="H202" i="62" s="1"/>
  <c r="I202" i="62" s="1"/>
  <c r="J202" i="62" s="1"/>
  <c r="K202" i="62" s="1"/>
  <c r="L202" i="62" s="1"/>
  <c r="B201" i="62"/>
  <c r="C201" i="62" s="1"/>
  <c r="D201" i="62" s="1"/>
  <c r="E201" i="62" s="1"/>
  <c r="F201" i="62" s="1"/>
  <c r="G201" i="62" s="1"/>
  <c r="H201" i="62" s="1"/>
  <c r="I201" i="62" s="1"/>
  <c r="J201" i="62" s="1"/>
  <c r="K201" i="62" s="1"/>
  <c r="L201" i="62" s="1"/>
  <c r="B200" i="62"/>
  <c r="C200" i="62" s="1"/>
  <c r="D200" i="62" s="1"/>
  <c r="E200" i="62" s="1"/>
  <c r="F200" i="62" s="1"/>
  <c r="G200" i="62" s="1"/>
  <c r="H200" i="62" s="1"/>
  <c r="I200" i="62" s="1"/>
  <c r="J200" i="62" s="1"/>
  <c r="K200" i="62" s="1"/>
  <c r="L200" i="62" s="1"/>
  <c r="B199" i="62"/>
  <c r="C199" i="62" s="1"/>
  <c r="D199" i="62" s="1"/>
  <c r="E199" i="62" s="1"/>
  <c r="F199" i="62" s="1"/>
  <c r="G199" i="62" s="1"/>
  <c r="H199" i="62" s="1"/>
  <c r="I199" i="62" s="1"/>
  <c r="J199" i="62" s="1"/>
  <c r="K199" i="62" s="1"/>
  <c r="L199" i="62" s="1"/>
  <c r="B198" i="62"/>
  <c r="C198" i="62" s="1"/>
  <c r="D198" i="62" s="1"/>
  <c r="E198" i="62" s="1"/>
  <c r="F198" i="62" s="1"/>
  <c r="G198" i="62" s="1"/>
  <c r="H198" i="62" s="1"/>
  <c r="I198" i="62" s="1"/>
  <c r="J198" i="62" s="1"/>
  <c r="K198" i="62" s="1"/>
  <c r="L198" i="62" s="1"/>
  <c r="B197" i="62"/>
  <c r="C197" i="62" s="1"/>
  <c r="D197" i="62" s="1"/>
  <c r="E197" i="62" s="1"/>
  <c r="F197" i="62" s="1"/>
  <c r="G197" i="62" s="1"/>
  <c r="H197" i="62" s="1"/>
  <c r="I197" i="62" s="1"/>
  <c r="J197" i="62" s="1"/>
  <c r="K197" i="62" s="1"/>
  <c r="L197" i="62" s="1"/>
  <c r="B196" i="62"/>
  <c r="C196" i="62" s="1"/>
  <c r="D196" i="62" s="1"/>
  <c r="E196" i="62" s="1"/>
  <c r="F196" i="62" s="1"/>
  <c r="G196" i="62" s="1"/>
  <c r="H196" i="62" s="1"/>
  <c r="I196" i="62" s="1"/>
  <c r="J196" i="62" s="1"/>
  <c r="K196" i="62" s="1"/>
  <c r="L196" i="62" s="1"/>
  <c r="B194" i="62"/>
  <c r="C194" i="62" s="1"/>
  <c r="D194" i="62" s="1"/>
  <c r="E194" i="62" s="1"/>
  <c r="F194" i="62" s="1"/>
  <c r="G194" i="62" s="1"/>
  <c r="H194" i="62" s="1"/>
  <c r="I194" i="62" s="1"/>
  <c r="J194" i="62" s="1"/>
  <c r="K194" i="62" s="1"/>
  <c r="L194" i="62" s="1"/>
  <c r="B193" i="62"/>
  <c r="C193" i="62" s="1"/>
  <c r="D193" i="62" s="1"/>
  <c r="E193" i="62" s="1"/>
  <c r="F193" i="62" s="1"/>
  <c r="G193" i="62" s="1"/>
  <c r="H193" i="62" s="1"/>
  <c r="I193" i="62" s="1"/>
  <c r="J193" i="62" s="1"/>
  <c r="K193" i="62" s="1"/>
  <c r="L193" i="62" s="1"/>
  <c r="B188" i="62"/>
  <c r="C188" i="62" s="1"/>
  <c r="D188" i="62" s="1"/>
  <c r="E188" i="62" s="1"/>
  <c r="F188" i="62" s="1"/>
  <c r="G188" i="62" s="1"/>
  <c r="H188" i="62" s="1"/>
  <c r="I188" i="62" s="1"/>
  <c r="J188" i="62" s="1"/>
  <c r="K188" i="62" s="1"/>
  <c r="L188" i="62" s="1"/>
  <c r="B185" i="62"/>
  <c r="C185" i="62" s="1"/>
  <c r="D185" i="62" s="1"/>
  <c r="E185" i="62" s="1"/>
  <c r="F185" i="62" s="1"/>
  <c r="G185" i="62" s="1"/>
  <c r="H185" i="62" s="1"/>
  <c r="I185" i="62" s="1"/>
  <c r="J185" i="62" s="1"/>
  <c r="K185" i="62" s="1"/>
  <c r="L185" i="62" s="1"/>
  <c r="B183" i="62"/>
  <c r="C183" i="62" s="1"/>
  <c r="D183" i="62" s="1"/>
  <c r="E183" i="62" s="1"/>
  <c r="F183" i="62" s="1"/>
  <c r="G183" i="62" s="1"/>
  <c r="H183" i="62" s="1"/>
  <c r="I183" i="62" s="1"/>
  <c r="J183" i="62" s="1"/>
  <c r="K183" i="62" s="1"/>
  <c r="L183" i="62" s="1"/>
  <c r="B182" i="62"/>
  <c r="C182" i="62" s="1"/>
  <c r="D182" i="62" s="1"/>
  <c r="E182" i="62" s="1"/>
  <c r="F182" i="62" s="1"/>
  <c r="G182" i="62" s="1"/>
  <c r="H182" i="62" s="1"/>
  <c r="I182" i="62" s="1"/>
  <c r="J182" i="62" s="1"/>
  <c r="K182" i="62" s="1"/>
  <c r="L182" i="62" s="1"/>
  <c r="B180" i="62"/>
  <c r="C180" i="62" s="1"/>
  <c r="D180" i="62" s="1"/>
  <c r="E180" i="62" s="1"/>
  <c r="F180" i="62" s="1"/>
  <c r="G180" i="62" s="1"/>
  <c r="H180" i="62" s="1"/>
  <c r="I180" i="62" s="1"/>
  <c r="J180" i="62" s="1"/>
  <c r="K180" i="62" s="1"/>
  <c r="L180" i="62" s="1"/>
  <c r="B179" i="62"/>
  <c r="C179" i="62" s="1"/>
  <c r="D179" i="62" s="1"/>
  <c r="E179" i="62" s="1"/>
  <c r="F179" i="62" s="1"/>
  <c r="G179" i="62" s="1"/>
  <c r="H179" i="62" s="1"/>
  <c r="I179" i="62" s="1"/>
  <c r="J179" i="62" s="1"/>
  <c r="K179" i="62" s="1"/>
  <c r="L179" i="62" s="1"/>
  <c r="B178" i="62"/>
  <c r="C178" i="62" s="1"/>
  <c r="D178" i="62" s="1"/>
  <c r="E178" i="62" s="1"/>
  <c r="F178" i="62" s="1"/>
  <c r="G178" i="62" s="1"/>
  <c r="H178" i="62" s="1"/>
  <c r="I178" i="62" s="1"/>
  <c r="J178" i="62" s="1"/>
  <c r="K178" i="62" s="1"/>
  <c r="L178" i="62" s="1"/>
  <c r="B177" i="62"/>
  <c r="C177" i="62" s="1"/>
  <c r="D177" i="62" s="1"/>
  <c r="E177" i="62" s="1"/>
  <c r="F177" i="62" s="1"/>
  <c r="G177" i="62" s="1"/>
  <c r="H177" i="62" s="1"/>
  <c r="I177" i="62" s="1"/>
  <c r="J177" i="62" s="1"/>
  <c r="K177" i="62" s="1"/>
  <c r="L177" i="62" s="1"/>
  <c r="B176" i="62"/>
  <c r="C176" i="62" s="1"/>
  <c r="D176" i="62" s="1"/>
  <c r="E176" i="62" s="1"/>
  <c r="F176" i="62" s="1"/>
  <c r="G176" i="62" s="1"/>
  <c r="H176" i="62" s="1"/>
  <c r="I176" i="62" s="1"/>
  <c r="J176" i="62" s="1"/>
  <c r="K176" i="62" s="1"/>
  <c r="L176" i="62" s="1"/>
  <c r="B175" i="62"/>
  <c r="C175" i="62" s="1"/>
  <c r="D175" i="62" s="1"/>
  <c r="E175" i="62" s="1"/>
  <c r="F175" i="62" s="1"/>
  <c r="G175" i="62" s="1"/>
  <c r="H175" i="62" s="1"/>
  <c r="I175" i="62" s="1"/>
  <c r="J175" i="62" s="1"/>
  <c r="K175" i="62" s="1"/>
  <c r="L175" i="62" s="1"/>
  <c r="B174" i="62"/>
  <c r="C174" i="62" s="1"/>
  <c r="D174" i="62" s="1"/>
  <c r="E174" i="62" s="1"/>
  <c r="F174" i="62" s="1"/>
  <c r="G174" i="62" s="1"/>
  <c r="H174" i="62" s="1"/>
  <c r="I174" i="62" s="1"/>
  <c r="J174" i="62" s="1"/>
  <c r="K174" i="62" s="1"/>
  <c r="L174" i="62" s="1"/>
  <c r="B173" i="62"/>
  <c r="C173" i="62" s="1"/>
  <c r="D173" i="62" s="1"/>
  <c r="E173" i="62" s="1"/>
  <c r="F173" i="62" s="1"/>
  <c r="G173" i="62" s="1"/>
  <c r="H173" i="62" s="1"/>
  <c r="I173" i="62" s="1"/>
  <c r="J173" i="62" s="1"/>
  <c r="K173" i="62" s="1"/>
  <c r="L173" i="62" s="1"/>
  <c r="B172" i="62"/>
  <c r="C172" i="62" s="1"/>
  <c r="D172" i="62" s="1"/>
  <c r="E172" i="62" s="1"/>
  <c r="F172" i="62" s="1"/>
  <c r="G172" i="62" s="1"/>
  <c r="H172" i="62" s="1"/>
  <c r="I172" i="62" s="1"/>
  <c r="J172" i="62" s="1"/>
  <c r="K172" i="62" s="1"/>
  <c r="L172" i="62" s="1"/>
  <c r="B171" i="62"/>
  <c r="C171" i="62" s="1"/>
  <c r="D171" i="62" s="1"/>
  <c r="E171" i="62" s="1"/>
  <c r="F171" i="62" s="1"/>
  <c r="G171" i="62" s="1"/>
  <c r="H171" i="62" s="1"/>
  <c r="I171" i="62" s="1"/>
  <c r="J171" i="62" s="1"/>
  <c r="K171" i="62" s="1"/>
  <c r="L171" i="62" s="1"/>
  <c r="B170" i="62"/>
  <c r="C170" i="62" s="1"/>
  <c r="D170" i="62" s="1"/>
  <c r="E170" i="62" s="1"/>
  <c r="F170" i="62" s="1"/>
  <c r="G170" i="62" s="1"/>
  <c r="H170" i="62" s="1"/>
  <c r="I170" i="62" s="1"/>
  <c r="J170" i="62" s="1"/>
  <c r="K170" i="62" s="1"/>
  <c r="L170" i="62" s="1"/>
  <c r="B169" i="62"/>
  <c r="C169" i="62" s="1"/>
  <c r="D169" i="62" s="1"/>
  <c r="E169" i="62" s="1"/>
  <c r="F169" i="62" s="1"/>
  <c r="G169" i="62" s="1"/>
  <c r="H169" i="62" s="1"/>
  <c r="I169" i="62" s="1"/>
  <c r="J169" i="62" s="1"/>
  <c r="K169" i="62" s="1"/>
  <c r="L169" i="62" s="1"/>
  <c r="B168" i="62"/>
  <c r="C168" i="62" s="1"/>
  <c r="D168" i="62" s="1"/>
  <c r="E168" i="62" s="1"/>
  <c r="F168" i="62" s="1"/>
  <c r="G168" i="62" s="1"/>
  <c r="H168" i="62" s="1"/>
  <c r="I168" i="62" s="1"/>
  <c r="J168" i="62" s="1"/>
  <c r="K168" i="62" s="1"/>
  <c r="L168" i="62" s="1"/>
  <c r="B167" i="62"/>
  <c r="C167" i="62" s="1"/>
  <c r="D167" i="62" s="1"/>
  <c r="E167" i="62" s="1"/>
  <c r="F167" i="62" s="1"/>
  <c r="G167" i="62" s="1"/>
  <c r="H167" i="62" s="1"/>
  <c r="I167" i="62" s="1"/>
  <c r="J167" i="62" s="1"/>
  <c r="K167" i="62" s="1"/>
  <c r="L167" i="62" s="1"/>
  <c r="B166" i="62"/>
  <c r="C166" i="62" s="1"/>
  <c r="D166" i="62" s="1"/>
  <c r="E166" i="62" s="1"/>
  <c r="F166" i="62" s="1"/>
  <c r="G166" i="62" s="1"/>
  <c r="H166" i="62" s="1"/>
  <c r="I166" i="62" s="1"/>
  <c r="J166" i="62" s="1"/>
  <c r="K166" i="62" s="1"/>
  <c r="L166" i="62" s="1"/>
  <c r="B165" i="62"/>
  <c r="C165" i="62" s="1"/>
  <c r="D165" i="62" s="1"/>
  <c r="E165" i="62" s="1"/>
  <c r="F165" i="62" s="1"/>
  <c r="G165" i="62" s="1"/>
  <c r="H165" i="62" s="1"/>
  <c r="I165" i="62" s="1"/>
  <c r="J165" i="62" s="1"/>
  <c r="K165" i="62" s="1"/>
  <c r="L165" i="62" s="1"/>
  <c r="B164" i="62"/>
  <c r="C164" i="62" s="1"/>
  <c r="D164" i="62" s="1"/>
  <c r="E164" i="62" s="1"/>
  <c r="F164" i="62" s="1"/>
  <c r="G164" i="62" s="1"/>
  <c r="H164" i="62" s="1"/>
  <c r="I164" i="62" s="1"/>
  <c r="J164" i="62" s="1"/>
  <c r="K164" i="62" s="1"/>
  <c r="L164" i="62" s="1"/>
  <c r="B163" i="62"/>
  <c r="C163" i="62" s="1"/>
  <c r="D163" i="62" s="1"/>
  <c r="E163" i="62" s="1"/>
  <c r="F163" i="62" s="1"/>
  <c r="G163" i="62" s="1"/>
  <c r="H163" i="62" s="1"/>
  <c r="I163" i="62" s="1"/>
  <c r="J163" i="62" s="1"/>
  <c r="K163" i="62" s="1"/>
  <c r="L163" i="62" s="1"/>
  <c r="B162" i="62"/>
  <c r="C162" i="62" s="1"/>
  <c r="D162" i="62" s="1"/>
  <c r="E162" i="62" s="1"/>
  <c r="F162" i="62" s="1"/>
  <c r="G162" i="62" s="1"/>
  <c r="H162" i="62" s="1"/>
  <c r="I162" i="62" s="1"/>
  <c r="J162" i="62" s="1"/>
  <c r="K162" i="62" s="1"/>
  <c r="L162" i="62" s="1"/>
  <c r="B161" i="62"/>
  <c r="C161" i="62" s="1"/>
  <c r="D161" i="62" s="1"/>
  <c r="E161" i="62" s="1"/>
  <c r="F161" i="62" s="1"/>
  <c r="G161" i="62" s="1"/>
  <c r="H161" i="62" s="1"/>
  <c r="I161" i="62" s="1"/>
  <c r="J161" i="62" s="1"/>
  <c r="K161" i="62" s="1"/>
  <c r="L161" i="62" s="1"/>
  <c r="B160" i="62"/>
  <c r="C160" i="62" s="1"/>
  <c r="D160" i="62" s="1"/>
  <c r="E160" i="62" s="1"/>
  <c r="F160" i="62" s="1"/>
  <c r="G160" i="62" s="1"/>
  <c r="H160" i="62" s="1"/>
  <c r="I160" i="62" s="1"/>
  <c r="J160" i="62" s="1"/>
  <c r="K160" i="62" s="1"/>
  <c r="L160" i="62" s="1"/>
  <c r="B159" i="62"/>
  <c r="C159" i="62" s="1"/>
  <c r="D159" i="62" s="1"/>
  <c r="E159" i="62" s="1"/>
  <c r="F159" i="62" s="1"/>
  <c r="G159" i="62" s="1"/>
  <c r="H159" i="62" s="1"/>
  <c r="I159" i="62" s="1"/>
  <c r="J159" i="62" s="1"/>
  <c r="K159" i="62" s="1"/>
  <c r="L159" i="62" s="1"/>
  <c r="B158" i="62"/>
  <c r="C158" i="62" s="1"/>
  <c r="D158" i="62" s="1"/>
  <c r="E158" i="62" s="1"/>
  <c r="F158" i="62" s="1"/>
  <c r="G158" i="62" s="1"/>
  <c r="H158" i="62" s="1"/>
  <c r="I158" i="62" s="1"/>
  <c r="J158" i="62" s="1"/>
  <c r="K158" i="62" s="1"/>
  <c r="L158" i="62" s="1"/>
  <c r="B157" i="62"/>
  <c r="C157" i="62" s="1"/>
  <c r="D157" i="62" s="1"/>
  <c r="E157" i="62" s="1"/>
  <c r="F157" i="62" s="1"/>
  <c r="G157" i="62" s="1"/>
  <c r="H157" i="62" s="1"/>
  <c r="I157" i="62" s="1"/>
  <c r="J157" i="62" s="1"/>
  <c r="K157" i="62" s="1"/>
  <c r="L157" i="62" s="1"/>
  <c r="B156" i="62"/>
  <c r="C156" i="62" s="1"/>
  <c r="D156" i="62" s="1"/>
  <c r="E156" i="62" s="1"/>
  <c r="F156" i="62" s="1"/>
  <c r="G156" i="62" s="1"/>
  <c r="H156" i="62" s="1"/>
  <c r="I156" i="62" s="1"/>
  <c r="J156" i="62" s="1"/>
  <c r="K156" i="62" s="1"/>
  <c r="L156" i="62" s="1"/>
  <c r="B155" i="62"/>
  <c r="C155" i="62" s="1"/>
  <c r="D155" i="62" s="1"/>
  <c r="E155" i="62" s="1"/>
  <c r="F155" i="62" s="1"/>
  <c r="G155" i="62" s="1"/>
  <c r="H155" i="62" s="1"/>
  <c r="I155" i="62" s="1"/>
  <c r="J155" i="62" s="1"/>
  <c r="K155" i="62" s="1"/>
  <c r="L155" i="62" s="1"/>
  <c r="B154" i="62"/>
  <c r="C154" i="62" s="1"/>
  <c r="D154" i="62" s="1"/>
  <c r="E154" i="62" s="1"/>
  <c r="F154" i="62" s="1"/>
  <c r="G154" i="62" s="1"/>
  <c r="H154" i="62" s="1"/>
  <c r="I154" i="62" s="1"/>
  <c r="J154" i="62" s="1"/>
  <c r="K154" i="62" s="1"/>
  <c r="L154" i="62" s="1"/>
  <c r="B153" i="62"/>
  <c r="C153" i="62" s="1"/>
  <c r="D153" i="62" s="1"/>
  <c r="E153" i="62" s="1"/>
  <c r="F153" i="62" s="1"/>
  <c r="G153" i="62" s="1"/>
  <c r="H153" i="62" s="1"/>
  <c r="I153" i="62" s="1"/>
  <c r="J153" i="62" s="1"/>
  <c r="K153" i="62" s="1"/>
  <c r="L153" i="62" s="1"/>
  <c r="B152" i="62"/>
  <c r="C152" i="62" s="1"/>
  <c r="D152" i="62" s="1"/>
  <c r="E152" i="62" s="1"/>
  <c r="F152" i="62" s="1"/>
  <c r="G152" i="62" s="1"/>
  <c r="H152" i="62" s="1"/>
  <c r="I152" i="62" s="1"/>
  <c r="J152" i="62" s="1"/>
  <c r="K152" i="62" s="1"/>
  <c r="L152" i="62" s="1"/>
  <c r="B151" i="62"/>
  <c r="C151" i="62" s="1"/>
  <c r="D151" i="62" s="1"/>
  <c r="E151" i="62" s="1"/>
  <c r="F151" i="62" s="1"/>
  <c r="G151" i="62" s="1"/>
  <c r="H151" i="62" s="1"/>
  <c r="I151" i="62" s="1"/>
  <c r="J151" i="62" s="1"/>
  <c r="K151" i="62" s="1"/>
  <c r="L151" i="62" s="1"/>
  <c r="B150" i="62"/>
  <c r="C150" i="62" s="1"/>
  <c r="D150" i="62" s="1"/>
  <c r="E150" i="62" s="1"/>
  <c r="F150" i="62" s="1"/>
  <c r="G150" i="62" s="1"/>
  <c r="H150" i="62" s="1"/>
  <c r="I150" i="62" s="1"/>
  <c r="J150" i="62" s="1"/>
  <c r="K150" i="62" s="1"/>
  <c r="L150" i="62" s="1"/>
  <c r="B149" i="62"/>
  <c r="C149" i="62" s="1"/>
  <c r="D149" i="62" s="1"/>
  <c r="E149" i="62" s="1"/>
  <c r="F149" i="62" s="1"/>
  <c r="G149" i="62" s="1"/>
  <c r="H149" i="62" s="1"/>
  <c r="I149" i="62" s="1"/>
  <c r="J149" i="62" s="1"/>
  <c r="K149" i="62" s="1"/>
  <c r="L149" i="62" s="1"/>
  <c r="B148" i="62"/>
  <c r="C148" i="62" s="1"/>
  <c r="D148" i="62" s="1"/>
  <c r="E148" i="62" s="1"/>
  <c r="F148" i="62" s="1"/>
  <c r="G148" i="62" s="1"/>
  <c r="H148" i="62" s="1"/>
  <c r="I148" i="62" s="1"/>
  <c r="J148" i="62" s="1"/>
  <c r="K148" i="62" s="1"/>
  <c r="L148" i="62" s="1"/>
  <c r="B147" i="62"/>
  <c r="C147" i="62" s="1"/>
  <c r="D147" i="62" s="1"/>
  <c r="E147" i="62" s="1"/>
  <c r="F147" i="62" s="1"/>
  <c r="G147" i="62" s="1"/>
  <c r="H147" i="62" s="1"/>
  <c r="I147" i="62" s="1"/>
  <c r="J147" i="62" s="1"/>
  <c r="K147" i="62" s="1"/>
  <c r="L147" i="62" s="1"/>
  <c r="B146" i="62"/>
  <c r="C146" i="62" s="1"/>
  <c r="D146" i="62" s="1"/>
  <c r="E146" i="62" s="1"/>
  <c r="F146" i="62" s="1"/>
  <c r="G146" i="62" s="1"/>
  <c r="H146" i="62" s="1"/>
  <c r="I146" i="62" s="1"/>
  <c r="J146" i="62" s="1"/>
  <c r="K146" i="62" s="1"/>
  <c r="L146" i="62" s="1"/>
  <c r="B145" i="62"/>
  <c r="C145" i="62" s="1"/>
  <c r="D145" i="62" s="1"/>
  <c r="E145" i="62" s="1"/>
  <c r="F145" i="62" s="1"/>
  <c r="G145" i="62" s="1"/>
  <c r="H145" i="62" s="1"/>
  <c r="I145" i="62" s="1"/>
  <c r="J145" i="62" s="1"/>
  <c r="K145" i="62" s="1"/>
  <c r="L145" i="62" s="1"/>
  <c r="B144" i="62"/>
  <c r="C144" i="62" s="1"/>
  <c r="D144" i="62" s="1"/>
  <c r="E144" i="62" s="1"/>
  <c r="F144" i="62" s="1"/>
  <c r="G144" i="62" s="1"/>
  <c r="H144" i="62" s="1"/>
  <c r="I144" i="62" s="1"/>
  <c r="J144" i="62" s="1"/>
  <c r="K144" i="62" s="1"/>
  <c r="L144" i="62" s="1"/>
  <c r="B143" i="62"/>
  <c r="C143" i="62" s="1"/>
  <c r="D143" i="62" s="1"/>
  <c r="E143" i="62" s="1"/>
  <c r="F143" i="62" s="1"/>
  <c r="G143" i="62" s="1"/>
  <c r="H143" i="62" s="1"/>
  <c r="I143" i="62" s="1"/>
  <c r="J143" i="62" s="1"/>
  <c r="K143" i="62" s="1"/>
  <c r="L143" i="62" s="1"/>
  <c r="B142" i="62"/>
  <c r="C142" i="62" s="1"/>
  <c r="D142" i="62" s="1"/>
  <c r="E142" i="62" s="1"/>
  <c r="F142" i="62" s="1"/>
  <c r="G142" i="62" s="1"/>
  <c r="H142" i="62" s="1"/>
  <c r="I142" i="62" s="1"/>
  <c r="J142" i="62" s="1"/>
  <c r="K142" i="62" s="1"/>
  <c r="L142" i="62" s="1"/>
  <c r="B141" i="62"/>
  <c r="C141" i="62" s="1"/>
  <c r="D141" i="62" s="1"/>
  <c r="E141" i="62" s="1"/>
  <c r="F141" i="62" s="1"/>
  <c r="G141" i="62" s="1"/>
  <c r="H141" i="62" s="1"/>
  <c r="I141" i="62" s="1"/>
  <c r="J141" i="62" s="1"/>
  <c r="K141" i="62" s="1"/>
  <c r="L141" i="62" s="1"/>
  <c r="B140" i="62"/>
  <c r="C140" i="62" s="1"/>
  <c r="D140" i="62" s="1"/>
  <c r="E140" i="62" s="1"/>
  <c r="F140" i="62" s="1"/>
  <c r="G140" i="62" s="1"/>
  <c r="H140" i="62" s="1"/>
  <c r="I140" i="62" s="1"/>
  <c r="J140" i="62" s="1"/>
  <c r="K140" i="62" s="1"/>
  <c r="L140" i="62" s="1"/>
  <c r="B139" i="62"/>
  <c r="C139" i="62" s="1"/>
  <c r="D139" i="62" s="1"/>
  <c r="E139" i="62" s="1"/>
  <c r="F139" i="62" s="1"/>
  <c r="G139" i="62" s="1"/>
  <c r="H139" i="62" s="1"/>
  <c r="I139" i="62" s="1"/>
  <c r="J139" i="62" s="1"/>
  <c r="K139" i="62" s="1"/>
  <c r="L139" i="62" s="1"/>
  <c r="B138" i="62"/>
  <c r="C138" i="62" s="1"/>
  <c r="D138" i="62" s="1"/>
  <c r="E138" i="62" s="1"/>
  <c r="F138" i="62" s="1"/>
  <c r="G138" i="62" s="1"/>
  <c r="H138" i="62" s="1"/>
  <c r="I138" i="62" s="1"/>
  <c r="J138" i="62" s="1"/>
  <c r="K138" i="62" s="1"/>
  <c r="L138" i="62" s="1"/>
  <c r="B137" i="62"/>
  <c r="B259" i="61"/>
  <c r="C259" i="61" s="1"/>
  <c r="D259" i="61" s="1"/>
  <c r="E259" i="61" s="1"/>
  <c r="F259" i="61" s="1"/>
  <c r="G259" i="61" s="1"/>
  <c r="H259" i="61" s="1"/>
  <c r="I259" i="61" s="1"/>
  <c r="J259" i="61" s="1"/>
  <c r="K259" i="61" s="1"/>
  <c r="L259" i="61" s="1"/>
  <c r="B139" i="61"/>
  <c r="C139" i="61" s="1"/>
  <c r="D139" i="61" s="1"/>
  <c r="E139" i="61" s="1"/>
  <c r="F139" i="61" s="1"/>
  <c r="G139" i="61" s="1"/>
  <c r="H139" i="61" s="1"/>
  <c r="I139" i="61" s="1"/>
  <c r="J139" i="61" s="1"/>
  <c r="K139" i="61" s="1"/>
  <c r="L139" i="61" s="1"/>
  <c r="B140" i="61"/>
  <c r="C140" i="61" s="1"/>
  <c r="D140" i="61" s="1"/>
  <c r="E140" i="61" s="1"/>
  <c r="F140" i="61" s="1"/>
  <c r="G140" i="61" s="1"/>
  <c r="H140" i="61" s="1"/>
  <c r="I140" i="61" s="1"/>
  <c r="J140" i="61" s="1"/>
  <c r="K140" i="61" s="1"/>
  <c r="L140" i="61" s="1"/>
  <c r="B141" i="61"/>
  <c r="C141" i="61" s="1"/>
  <c r="D141" i="61" s="1"/>
  <c r="E141" i="61" s="1"/>
  <c r="F141" i="61" s="1"/>
  <c r="G141" i="61" s="1"/>
  <c r="H141" i="61" s="1"/>
  <c r="I141" i="61" s="1"/>
  <c r="J141" i="61" s="1"/>
  <c r="K141" i="61" s="1"/>
  <c r="L141" i="61" s="1"/>
  <c r="B142" i="61"/>
  <c r="C142" i="61" s="1"/>
  <c r="D142" i="61" s="1"/>
  <c r="E142" i="61" s="1"/>
  <c r="F142" i="61" s="1"/>
  <c r="G142" i="61" s="1"/>
  <c r="H142" i="61" s="1"/>
  <c r="I142" i="61" s="1"/>
  <c r="J142" i="61" s="1"/>
  <c r="K142" i="61" s="1"/>
  <c r="L142" i="61" s="1"/>
  <c r="B143" i="61"/>
  <c r="C143" i="61" s="1"/>
  <c r="D143" i="61" s="1"/>
  <c r="E143" i="61" s="1"/>
  <c r="F143" i="61" s="1"/>
  <c r="G143" i="61" s="1"/>
  <c r="H143" i="61" s="1"/>
  <c r="I143" i="61" s="1"/>
  <c r="J143" i="61" s="1"/>
  <c r="K143" i="61" s="1"/>
  <c r="L143" i="61" s="1"/>
  <c r="B144" i="61"/>
  <c r="C144" i="61" s="1"/>
  <c r="D144" i="61" s="1"/>
  <c r="E144" i="61" s="1"/>
  <c r="F144" i="61" s="1"/>
  <c r="G144" i="61" s="1"/>
  <c r="H144" i="61" s="1"/>
  <c r="I144" i="61" s="1"/>
  <c r="J144" i="61" s="1"/>
  <c r="K144" i="61" s="1"/>
  <c r="L144" i="61" s="1"/>
  <c r="B145" i="61"/>
  <c r="C145" i="61" s="1"/>
  <c r="D145" i="61" s="1"/>
  <c r="E145" i="61" s="1"/>
  <c r="F145" i="61" s="1"/>
  <c r="G145" i="61" s="1"/>
  <c r="H145" i="61" s="1"/>
  <c r="I145" i="61" s="1"/>
  <c r="J145" i="61" s="1"/>
  <c r="K145" i="61" s="1"/>
  <c r="L145" i="61" s="1"/>
  <c r="B146" i="61"/>
  <c r="C146" i="61" s="1"/>
  <c r="D146" i="61" s="1"/>
  <c r="E146" i="61" s="1"/>
  <c r="F146" i="61" s="1"/>
  <c r="G146" i="61" s="1"/>
  <c r="H146" i="61" s="1"/>
  <c r="I146" i="61" s="1"/>
  <c r="J146" i="61" s="1"/>
  <c r="K146" i="61" s="1"/>
  <c r="L146" i="61" s="1"/>
  <c r="B147" i="61"/>
  <c r="C147" i="61" s="1"/>
  <c r="D147" i="61" s="1"/>
  <c r="E147" i="61" s="1"/>
  <c r="F147" i="61" s="1"/>
  <c r="G147" i="61" s="1"/>
  <c r="H147" i="61" s="1"/>
  <c r="I147" i="61" s="1"/>
  <c r="J147" i="61" s="1"/>
  <c r="K147" i="61" s="1"/>
  <c r="L147" i="61" s="1"/>
  <c r="B148" i="61"/>
  <c r="C148" i="61" s="1"/>
  <c r="D148" i="61" s="1"/>
  <c r="E148" i="61" s="1"/>
  <c r="F148" i="61" s="1"/>
  <c r="G148" i="61" s="1"/>
  <c r="H148" i="61" s="1"/>
  <c r="I148" i="61" s="1"/>
  <c r="J148" i="61" s="1"/>
  <c r="K148" i="61" s="1"/>
  <c r="L148" i="61" s="1"/>
  <c r="B149" i="61"/>
  <c r="C149" i="61" s="1"/>
  <c r="D149" i="61" s="1"/>
  <c r="E149" i="61" s="1"/>
  <c r="F149" i="61" s="1"/>
  <c r="G149" i="61" s="1"/>
  <c r="H149" i="61" s="1"/>
  <c r="I149" i="61" s="1"/>
  <c r="J149" i="61" s="1"/>
  <c r="K149" i="61" s="1"/>
  <c r="L149" i="61" s="1"/>
  <c r="B150" i="61"/>
  <c r="C150" i="61" s="1"/>
  <c r="D150" i="61" s="1"/>
  <c r="E150" i="61" s="1"/>
  <c r="F150" i="61" s="1"/>
  <c r="G150" i="61" s="1"/>
  <c r="H150" i="61" s="1"/>
  <c r="I150" i="61" s="1"/>
  <c r="J150" i="61" s="1"/>
  <c r="K150" i="61" s="1"/>
  <c r="L150" i="61" s="1"/>
  <c r="B151" i="61"/>
  <c r="C151" i="61" s="1"/>
  <c r="D151" i="61" s="1"/>
  <c r="E151" i="61" s="1"/>
  <c r="F151" i="61" s="1"/>
  <c r="G151" i="61" s="1"/>
  <c r="H151" i="61" s="1"/>
  <c r="I151" i="61" s="1"/>
  <c r="J151" i="61" s="1"/>
  <c r="K151" i="61" s="1"/>
  <c r="L151" i="61" s="1"/>
  <c r="B152" i="61"/>
  <c r="C152" i="61" s="1"/>
  <c r="D152" i="61" s="1"/>
  <c r="E152" i="61" s="1"/>
  <c r="F152" i="61" s="1"/>
  <c r="G152" i="61" s="1"/>
  <c r="H152" i="61" s="1"/>
  <c r="I152" i="61" s="1"/>
  <c r="J152" i="61" s="1"/>
  <c r="K152" i="61" s="1"/>
  <c r="L152" i="61" s="1"/>
  <c r="B153" i="61"/>
  <c r="C153" i="61" s="1"/>
  <c r="D153" i="61" s="1"/>
  <c r="E153" i="61" s="1"/>
  <c r="F153" i="61" s="1"/>
  <c r="G153" i="61" s="1"/>
  <c r="H153" i="61" s="1"/>
  <c r="I153" i="61" s="1"/>
  <c r="J153" i="61" s="1"/>
  <c r="K153" i="61" s="1"/>
  <c r="L153" i="61" s="1"/>
  <c r="B154" i="61"/>
  <c r="C154" i="61" s="1"/>
  <c r="D154" i="61" s="1"/>
  <c r="E154" i="61" s="1"/>
  <c r="F154" i="61" s="1"/>
  <c r="G154" i="61" s="1"/>
  <c r="H154" i="61" s="1"/>
  <c r="I154" i="61" s="1"/>
  <c r="J154" i="61" s="1"/>
  <c r="K154" i="61" s="1"/>
  <c r="L154" i="61" s="1"/>
  <c r="B155" i="61"/>
  <c r="C155" i="61" s="1"/>
  <c r="D155" i="61" s="1"/>
  <c r="E155" i="61" s="1"/>
  <c r="F155" i="61" s="1"/>
  <c r="G155" i="61" s="1"/>
  <c r="H155" i="61" s="1"/>
  <c r="I155" i="61" s="1"/>
  <c r="J155" i="61" s="1"/>
  <c r="K155" i="61" s="1"/>
  <c r="L155" i="61" s="1"/>
  <c r="B156" i="61"/>
  <c r="C156" i="61" s="1"/>
  <c r="D156" i="61" s="1"/>
  <c r="E156" i="61" s="1"/>
  <c r="F156" i="61" s="1"/>
  <c r="G156" i="61" s="1"/>
  <c r="H156" i="61" s="1"/>
  <c r="I156" i="61" s="1"/>
  <c r="J156" i="61" s="1"/>
  <c r="K156" i="61" s="1"/>
  <c r="L156" i="61" s="1"/>
  <c r="B157" i="61"/>
  <c r="C157" i="61" s="1"/>
  <c r="D157" i="61" s="1"/>
  <c r="E157" i="61" s="1"/>
  <c r="F157" i="61" s="1"/>
  <c r="G157" i="61" s="1"/>
  <c r="H157" i="61" s="1"/>
  <c r="I157" i="61" s="1"/>
  <c r="J157" i="61" s="1"/>
  <c r="K157" i="61" s="1"/>
  <c r="L157" i="61" s="1"/>
  <c r="B158" i="61"/>
  <c r="C158" i="61" s="1"/>
  <c r="D158" i="61" s="1"/>
  <c r="E158" i="61" s="1"/>
  <c r="F158" i="61" s="1"/>
  <c r="G158" i="61" s="1"/>
  <c r="H158" i="61" s="1"/>
  <c r="I158" i="61" s="1"/>
  <c r="J158" i="61" s="1"/>
  <c r="K158" i="61" s="1"/>
  <c r="L158" i="61" s="1"/>
  <c r="B159" i="61"/>
  <c r="C159" i="61" s="1"/>
  <c r="D159" i="61" s="1"/>
  <c r="E159" i="61" s="1"/>
  <c r="F159" i="61" s="1"/>
  <c r="G159" i="61" s="1"/>
  <c r="H159" i="61" s="1"/>
  <c r="I159" i="61" s="1"/>
  <c r="J159" i="61" s="1"/>
  <c r="K159" i="61" s="1"/>
  <c r="L159" i="61" s="1"/>
  <c r="B160" i="61"/>
  <c r="C160" i="61" s="1"/>
  <c r="D160" i="61" s="1"/>
  <c r="E160" i="61" s="1"/>
  <c r="F160" i="61" s="1"/>
  <c r="G160" i="61" s="1"/>
  <c r="H160" i="61" s="1"/>
  <c r="I160" i="61" s="1"/>
  <c r="J160" i="61" s="1"/>
  <c r="K160" i="61" s="1"/>
  <c r="L160" i="61" s="1"/>
  <c r="B161" i="61"/>
  <c r="C161" i="61" s="1"/>
  <c r="D161" i="61" s="1"/>
  <c r="E161" i="61" s="1"/>
  <c r="F161" i="61" s="1"/>
  <c r="G161" i="61" s="1"/>
  <c r="H161" i="61" s="1"/>
  <c r="I161" i="61" s="1"/>
  <c r="J161" i="61" s="1"/>
  <c r="K161" i="61" s="1"/>
  <c r="L161" i="61" s="1"/>
  <c r="B162" i="61"/>
  <c r="C162" i="61" s="1"/>
  <c r="D162" i="61" s="1"/>
  <c r="E162" i="61" s="1"/>
  <c r="F162" i="61" s="1"/>
  <c r="G162" i="61" s="1"/>
  <c r="H162" i="61" s="1"/>
  <c r="I162" i="61" s="1"/>
  <c r="J162" i="61" s="1"/>
  <c r="K162" i="61" s="1"/>
  <c r="L162" i="61" s="1"/>
  <c r="B163" i="61"/>
  <c r="C163" i="61" s="1"/>
  <c r="D163" i="61" s="1"/>
  <c r="E163" i="61" s="1"/>
  <c r="F163" i="61" s="1"/>
  <c r="G163" i="61" s="1"/>
  <c r="H163" i="61" s="1"/>
  <c r="I163" i="61" s="1"/>
  <c r="J163" i="61" s="1"/>
  <c r="K163" i="61" s="1"/>
  <c r="L163" i="61" s="1"/>
  <c r="B164" i="61"/>
  <c r="C164" i="61" s="1"/>
  <c r="D164" i="61" s="1"/>
  <c r="E164" i="61" s="1"/>
  <c r="F164" i="61" s="1"/>
  <c r="G164" i="61" s="1"/>
  <c r="H164" i="61" s="1"/>
  <c r="I164" i="61" s="1"/>
  <c r="J164" i="61" s="1"/>
  <c r="K164" i="61" s="1"/>
  <c r="L164" i="61" s="1"/>
  <c r="B165" i="61"/>
  <c r="C165" i="61" s="1"/>
  <c r="D165" i="61" s="1"/>
  <c r="E165" i="61" s="1"/>
  <c r="F165" i="61" s="1"/>
  <c r="G165" i="61" s="1"/>
  <c r="H165" i="61" s="1"/>
  <c r="I165" i="61" s="1"/>
  <c r="J165" i="61" s="1"/>
  <c r="K165" i="61" s="1"/>
  <c r="L165" i="61" s="1"/>
  <c r="B166" i="61"/>
  <c r="C166" i="61" s="1"/>
  <c r="D166" i="61" s="1"/>
  <c r="E166" i="61" s="1"/>
  <c r="F166" i="61" s="1"/>
  <c r="G166" i="61" s="1"/>
  <c r="H166" i="61" s="1"/>
  <c r="I166" i="61" s="1"/>
  <c r="J166" i="61" s="1"/>
  <c r="K166" i="61" s="1"/>
  <c r="L166" i="61" s="1"/>
  <c r="B167" i="61"/>
  <c r="C167" i="61" s="1"/>
  <c r="D167" i="61" s="1"/>
  <c r="E167" i="61" s="1"/>
  <c r="F167" i="61" s="1"/>
  <c r="G167" i="61" s="1"/>
  <c r="H167" i="61" s="1"/>
  <c r="I167" i="61" s="1"/>
  <c r="J167" i="61" s="1"/>
  <c r="K167" i="61" s="1"/>
  <c r="L167" i="61" s="1"/>
  <c r="B168" i="61"/>
  <c r="C168" i="61" s="1"/>
  <c r="D168" i="61" s="1"/>
  <c r="E168" i="61" s="1"/>
  <c r="F168" i="61" s="1"/>
  <c r="G168" i="61" s="1"/>
  <c r="H168" i="61" s="1"/>
  <c r="I168" i="61" s="1"/>
  <c r="J168" i="61" s="1"/>
  <c r="K168" i="61" s="1"/>
  <c r="L168" i="61" s="1"/>
  <c r="B169" i="61"/>
  <c r="C169" i="61" s="1"/>
  <c r="D169" i="61" s="1"/>
  <c r="E169" i="61" s="1"/>
  <c r="F169" i="61" s="1"/>
  <c r="G169" i="61" s="1"/>
  <c r="H169" i="61" s="1"/>
  <c r="I169" i="61" s="1"/>
  <c r="J169" i="61" s="1"/>
  <c r="K169" i="61" s="1"/>
  <c r="L169" i="61" s="1"/>
  <c r="B170" i="61"/>
  <c r="C170" i="61" s="1"/>
  <c r="D170" i="61" s="1"/>
  <c r="E170" i="61" s="1"/>
  <c r="F170" i="61" s="1"/>
  <c r="G170" i="61" s="1"/>
  <c r="H170" i="61" s="1"/>
  <c r="I170" i="61" s="1"/>
  <c r="J170" i="61" s="1"/>
  <c r="K170" i="61" s="1"/>
  <c r="L170" i="61" s="1"/>
  <c r="B171" i="61"/>
  <c r="C171" i="61" s="1"/>
  <c r="D171" i="61" s="1"/>
  <c r="E171" i="61" s="1"/>
  <c r="F171" i="61" s="1"/>
  <c r="G171" i="61" s="1"/>
  <c r="H171" i="61" s="1"/>
  <c r="I171" i="61" s="1"/>
  <c r="J171" i="61" s="1"/>
  <c r="K171" i="61" s="1"/>
  <c r="L171" i="61" s="1"/>
  <c r="B172" i="61"/>
  <c r="C172" i="61" s="1"/>
  <c r="D172" i="61" s="1"/>
  <c r="E172" i="61" s="1"/>
  <c r="F172" i="61" s="1"/>
  <c r="G172" i="61" s="1"/>
  <c r="H172" i="61" s="1"/>
  <c r="I172" i="61" s="1"/>
  <c r="J172" i="61" s="1"/>
  <c r="K172" i="61" s="1"/>
  <c r="L172" i="61" s="1"/>
  <c r="B173" i="61"/>
  <c r="C173" i="61" s="1"/>
  <c r="D173" i="61" s="1"/>
  <c r="E173" i="61" s="1"/>
  <c r="F173" i="61" s="1"/>
  <c r="G173" i="61" s="1"/>
  <c r="H173" i="61" s="1"/>
  <c r="I173" i="61" s="1"/>
  <c r="J173" i="61" s="1"/>
  <c r="K173" i="61" s="1"/>
  <c r="L173" i="61" s="1"/>
  <c r="B174" i="61"/>
  <c r="C174" i="61" s="1"/>
  <c r="D174" i="61" s="1"/>
  <c r="E174" i="61" s="1"/>
  <c r="F174" i="61" s="1"/>
  <c r="G174" i="61" s="1"/>
  <c r="H174" i="61" s="1"/>
  <c r="I174" i="61" s="1"/>
  <c r="J174" i="61" s="1"/>
  <c r="K174" i="61" s="1"/>
  <c r="L174" i="61" s="1"/>
  <c r="B175" i="61"/>
  <c r="C175" i="61" s="1"/>
  <c r="D175" i="61" s="1"/>
  <c r="E175" i="61" s="1"/>
  <c r="F175" i="61" s="1"/>
  <c r="G175" i="61" s="1"/>
  <c r="H175" i="61" s="1"/>
  <c r="I175" i="61" s="1"/>
  <c r="J175" i="61" s="1"/>
  <c r="K175" i="61" s="1"/>
  <c r="L175" i="61" s="1"/>
  <c r="B176" i="61"/>
  <c r="C176" i="61" s="1"/>
  <c r="D176" i="61" s="1"/>
  <c r="E176" i="61" s="1"/>
  <c r="F176" i="61" s="1"/>
  <c r="G176" i="61" s="1"/>
  <c r="H176" i="61" s="1"/>
  <c r="I176" i="61" s="1"/>
  <c r="J176" i="61" s="1"/>
  <c r="K176" i="61" s="1"/>
  <c r="L176" i="61" s="1"/>
  <c r="B177" i="61"/>
  <c r="C177" i="61" s="1"/>
  <c r="D177" i="61" s="1"/>
  <c r="E177" i="61" s="1"/>
  <c r="F177" i="61" s="1"/>
  <c r="G177" i="61" s="1"/>
  <c r="H177" i="61" s="1"/>
  <c r="I177" i="61" s="1"/>
  <c r="J177" i="61" s="1"/>
  <c r="K177" i="61" s="1"/>
  <c r="L177" i="61" s="1"/>
  <c r="B178" i="61"/>
  <c r="C178" i="61" s="1"/>
  <c r="D178" i="61" s="1"/>
  <c r="E178" i="61" s="1"/>
  <c r="F178" i="61" s="1"/>
  <c r="G178" i="61" s="1"/>
  <c r="H178" i="61" s="1"/>
  <c r="I178" i="61" s="1"/>
  <c r="J178" i="61" s="1"/>
  <c r="K178" i="61" s="1"/>
  <c r="L178" i="61" s="1"/>
  <c r="B179" i="61"/>
  <c r="C179" i="61" s="1"/>
  <c r="D179" i="61" s="1"/>
  <c r="E179" i="61" s="1"/>
  <c r="F179" i="61" s="1"/>
  <c r="G179" i="61" s="1"/>
  <c r="H179" i="61" s="1"/>
  <c r="I179" i="61" s="1"/>
  <c r="J179" i="61" s="1"/>
  <c r="K179" i="61" s="1"/>
  <c r="L179" i="61" s="1"/>
  <c r="B180" i="61"/>
  <c r="C180" i="61" s="1"/>
  <c r="D180" i="61" s="1"/>
  <c r="E180" i="61" s="1"/>
  <c r="F180" i="61" s="1"/>
  <c r="G180" i="61" s="1"/>
  <c r="H180" i="61" s="1"/>
  <c r="I180" i="61" s="1"/>
  <c r="J180" i="61" s="1"/>
  <c r="K180" i="61" s="1"/>
  <c r="L180" i="61" s="1"/>
  <c r="B181" i="61"/>
  <c r="C181" i="61" s="1"/>
  <c r="D181" i="61" s="1"/>
  <c r="E181" i="61" s="1"/>
  <c r="F181" i="61" s="1"/>
  <c r="G181" i="61" s="1"/>
  <c r="H181" i="61" s="1"/>
  <c r="I181" i="61" s="1"/>
  <c r="J181" i="61" s="1"/>
  <c r="K181" i="61" s="1"/>
  <c r="L181" i="61" s="1"/>
  <c r="B182" i="61"/>
  <c r="C182" i="61" s="1"/>
  <c r="D182" i="61" s="1"/>
  <c r="E182" i="61" s="1"/>
  <c r="F182" i="61" s="1"/>
  <c r="G182" i="61" s="1"/>
  <c r="H182" i="61" s="1"/>
  <c r="I182" i="61" s="1"/>
  <c r="J182" i="61" s="1"/>
  <c r="K182" i="61" s="1"/>
  <c r="L182" i="61" s="1"/>
  <c r="B183" i="61"/>
  <c r="C183" i="61" s="1"/>
  <c r="D183" i="61" s="1"/>
  <c r="E183" i="61" s="1"/>
  <c r="F183" i="61" s="1"/>
  <c r="G183" i="61" s="1"/>
  <c r="H183" i="61" s="1"/>
  <c r="I183" i="61" s="1"/>
  <c r="J183" i="61" s="1"/>
  <c r="K183" i="61" s="1"/>
  <c r="L183" i="61" s="1"/>
  <c r="B184" i="61"/>
  <c r="C184" i="61" s="1"/>
  <c r="D184" i="61" s="1"/>
  <c r="E184" i="61" s="1"/>
  <c r="F184" i="61" s="1"/>
  <c r="G184" i="61" s="1"/>
  <c r="H184" i="61" s="1"/>
  <c r="I184" i="61" s="1"/>
  <c r="J184" i="61" s="1"/>
  <c r="K184" i="61" s="1"/>
  <c r="L184" i="61" s="1"/>
  <c r="B185" i="61"/>
  <c r="C185" i="61" s="1"/>
  <c r="D185" i="61" s="1"/>
  <c r="E185" i="61" s="1"/>
  <c r="F185" i="61" s="1"/>
  <c r="G185" i="61" s="1"/>
  <c r="H185" i="61" s="1"/>
  <c r="I185" i="61" s="1"/>
  <c r="J185" i="61" s="1"/>
  <c r="K185" i="61" s="1"/>
  <c r="L185" i="61" s="1"/>
  <c r="B186" i="61"/>
  <c r="C186" i="61" s="1"/>
  <c r="D186" i="61" s="1"/>
  <c r="E186" i="61" s="1"/>
  <c r="F186" i="61" s="1"/>
  <c r="G186" i="61" s="1"/>
  <c r="H186" i="61" s="1"/>
  <c r="I186" i="61" s="1"/>
  <c r="J186" i="61" s="1"/>
  <c r="K186" i="61" s="1"/>
  <c r="L186" i="61" s="1"/>
  <c r="B187" i="61"/>
  <c r="C187" i="61" s="1"/>
  <c r="D187" i="61" s="1"/>
  <c r="E187" i="61" s="1"/>
  <c r="F187" i="61" s="1"/>
  <c r="G187" i="61" s="1"/>
  <c r="H187" i="61" s="1"/>
  <c r="I187" i="61" s="1"/>
  <c r="J187" i="61" s="1"/>
  <c r="K187" i="61" s="1"/>
  <c r="L187" i="61" s="1"/>
  <c r="B188" i="61"/>
  <c r="C188" i="61" s="1"/>
  <c r="D188" i="61" s="1"/>
  <c r="E188" i="61" s="1"/>
  <c r="F188" i="61" s="1"/>
  <c r="G188" i="61" s="1"/>
  <c r="H188" i="61" s="1"/>
  <c r="I188" i="61" s="1"/>
  <c r="J188" i="61" s="1"/>
  <c r="K188" i="61" s="1"/>
  <c r="L188" i="61" s="1"/>
  <c r="B189" i="61"/>
  <c r="C189" i="61" s="1"/>
  <c r="D189" i="61" s="1"/>
  <c r="E189" i="61" s="1"/>
  <c r="F189" i="61" s="1"/>
  <c r="G189" i="61" s="1"/>
  <c r="H189" i="61" s="1"/>
  <c r="I189" i="61" s="1"/>
  <c r="J189" i="61" s="1"/>
  <c r="K189" i="61" s="1"/>
  <c r="L189" i="61" s="1"/>
  <c r="B190" i="61"/>
  <c r="C190" i="61" s="1"/>
  <c r="D190" i="61" s="1"/>
  <c r="E190" i="61" s="1"/>
  <c r="F190" i="61" s="1"/>
  <c r="G190" i="61" s="1"/>
  <c r="H190" i="61" s="1"/>
  <c r="I190" i="61" s="1"/>
  <c r="J190" i="61" s="1"/>
  <c r="K190" i="61" s="1"/>
  <c r="L190" i="61" s="1"/>
  <c r="B191" i="61"/>
  <c r="C191" i="61" s="1"/>
  <c r="D191" i="61" s="1"/>
  <c r="E191" i="61" s="1"/>
  <c r="F191" i="61" s="1"/>
  <c r="G191" i="61" s="1"/>
  <c r="H191" i="61" s="1"/>
  <c r="I191" i="61" s="1"/>
  <c r="J191" i="61" s="1"/>
  <c r="K191" i="61" s="1"/>
  <c r="L191" i="61" s="1"/>
  <c r="B192" i="61"/>
  <c r="C192" i="61" s="1"/>
  <c r="D192" i="61" s="1"/>
  <c r="E192" i="61" s="1"/>
  <c r="F192" i="61" s="1"/>
  <c r="G192" i="61" s="1"/>
  <c r="H192" i="61" s="1"/>
  <c r="I192" i="61" s="1"/>
  <c r="J192" i="61" s="1"/>
  <c r="K192" i="61" s="1"/>
  <c r="L192" i="61" s="1"/>
  <c r="B193" i="61"/>
  <c r="C193" i="61" s="1"/>
  <c r="D193" i="61" s="1"/>
  <c r="E193" i="61" s="1"/>
  <c r="F193" i="61" s="1"/>
  <c r="G193" i="61" s="1"/>
  <c r="H193" i="61" s="1"/>
  <c r="I193" i="61" s="1"/>
  <c r="J193" i="61" s="1"/>
  <c r="K193" i="61" s="1"/>
  <c r="L193" i="61" s="1"/>
  <c r="B194" i="61"/>
  <c r="C194" i="61" s="1"/>
  <c r="D194" i="61" s="1"/>
  <c r="E194" i="61" s="1"/>
  <c r="F194" i="61" s="1"/>
  <c r="G194" i="61" s="1"/>
  <c r="H194" i="61" s="1"/>
  <c r="I194" i="61" s="1"/>
  <c r="J194" i="61" s="1"/>
  <c r="K194" i="61" s="1"/>
  <c r="L194" i="61" s="1"/>
  <c r="B195" i="61"/>
  <c r="C195" i="61" s="1"/>
  <c r="D195" i="61" s="1"/>
  <c r="E195" i="61" s="1"/>
  <c r="F195" i="61" s="1"/>
  <c r="G195" i="61" s="1"/>
  <c r="H195" i="61" s="1"/>
  <c r="I195" i="61" s="1"/>
  <c r="J195" i="61" s="1"/>
  <c r="K195" i="61" s="1"/>
  <c r="L195" i="61" s="1"/>
  <c r="B196" i="61"/>
  <c r="C196" i="61" s="1"/>
  <c r="D196" i="61"/>
  <c r="E196" i="61" s="1"/>
  <c r="F196" i="61" s="1"/>
  <c r="G196" i="61" s="1"/>
  <c r="H196" i="61" s="1"/>
  <c r="I196" i="61" s="1"/>
  <c r="J196" i="61" s="1"/>
  <c r="K196" i="61" s="1"/>
  <c r="L196" i="61" s="1"/>
  <c r="B197" i="61"/>
  <c r="C197" i="61" s="1"/>
  <c r="D197" i="61" s="1"/>
  <c r="E197" i="61" s="1"/>
  <c r="F197" i="61" s="1"/>
  <c r="G197" i="61" s="1"/>
  <c r="H197" i="61" s="1"/>
  <c r="I197" i="61" s="1"/>
  <c r="J197" i="61" s="1"/>
  <c r="K197" i="61" s="1"/>
  <c r="L197" i="61" s="1"/>
  <c r="B198" i="61"/>
  <c r="C198" i="61" s="1"/>
  <c r="D198" i="61" s="1"/>
  <c r="E198" i="61" s="1"/>
  <c r="F198" i="61" s="1"/>
  <c r="G198" i="61" s="1"/>
  <c r="H198" i="61" s="1"/>
  <c r="I198" i="61" s="1"/>
  <c r="J198" i="61" s="1"/>
  <c r="K198" i="61" s="1"/>
  <c r="L198" i="61" s="1"/>
  <c r="B199" i="61"/>
  <c r="C199" i="61" s="1"/>
  <c r="D199" i="61" s="1"/>
  <c r="E199" i="61" s="1"/>
  <c r="F199" i="61" s="1"/>
  <c r="G199" i="61" s="1"/>
  <c r="H199" i="61" s="1"/>
  <c r="I199" i="61" s="1"/>
  <c r="J199" i="61" s="1"/>
  <c r="K199" i="61" s="1"/>
  <c r="L199" i="61" s="1"/>
  <c r="B200" i="61"/>
  <c r="C200" i="61" s="1"/>
  <c r="D200" i="61" s="1"/>
  <c r="E200" i="61" s="1"/>
  <c r="F200" i="61" s="1"/>
  <c r="G200" i="61" s="1"/>
  <c r="H200" i="61" s="1"/>
  <c r="I200" i="61" s="1"/>
  <c r="J200" i="61" s="1"/>
  <c r="K200" i="61" s="1"/>
  <c r="L200" i="61" s="1"/>
  <c r="B201" i="61"/>
  <c r="C201" i="61" s="1"/>
  <c r="D201" i="61" s="1"/>
  <c r="E201" i="61" s="1"/>
  <c r="F201" i="61" s="1"/>
  <c r="G201" i="61" s="1"/>
  <c r="H201" i="61" s="1"/>
  <c r="I201" i="61" s="1"/>
  <c r="J201" i="61" s="1"/>
  <c r="K201" i="61" s="1"/>
  <c r="L201" i="61" s="1"/>
  <c r="B202" i="61"/>
  <c r="C202" i="61" s="1"/>
  <c r="D202" i="61" s="1"/>
  <c r="E202" i="61" s="1"/>
  <c r="F202" i="61" s="1"/>
  <c r="G202" i="61" s="1"/>
  <c r="H202" i="61" s="1"/>
  <c r="I202" i="61" s="1"/>
  <c r="J202" i="61" s="1"/>
  <c r="K202" i="61" s="1"/>
  <c r="L202" i="61" s="1"/>
  <c r="B203" i="61"/>
  <c r="C203" i="61" s="1"/>
  <c r="D203" i="61" s="1"/>
  <c r="E203" i="61" s="1"/>
  <c r="F203" i="61" s="1"/>
  <c r="G203" i="61" s="1"/>
  <c r="H203" i="61" s="1"/>
  <c r="I203" i="61" s="1"/>
  <c r="J203" i="61" s="1"/>
  <c r="K203" i="61" s="1"/>
  <c r="L203" i="61" s="1"/>
  <c r="B204" i="61"/>
  <c r="C204" i="61" s="1"/>
  <c r="D204" i="61" s="1"/>
  <c r="E204" i="61" s="1"/>
  <c r="F204" i="61" s="1"/>
  <c r="G204" i="61" s="1"/>
  <c r="H204" i="61" s="1"/>
  <c r="I204" i="61" s="1"/>
  <c r="J204" i="61" s="1"/>
  <c r="K204" i="61" s="1"/>
  <c r="L204" i="61" s="1"/>
  <c r="B205" i="61"/>
  <c r="C205" i="61" s="1"/>
  <c r="D205" i="61" s="1"/>
  <c r="E205" i="61" s="1"/>
  <c r="F205" i="61" s="1"/>
  <c r="G205" i="61" s="1"/>
  <c r="H205" i="61" s="1"/>
  <c r="I205" i="61" s="1"/>
  <c r="J205" i="61" s="1"/>
  <c r="K205" i="61" s="1"/>
  <c r="L205" i="61" s="1"/>
  <c r="B206" i="61"/>
  <c r="C206" i="61" s="1"/>
  <c r="D206" i="61" s="1"/>
  <c r="E206" i="61" s="1"/>
  <c r="F206" i="61" s="1"/>
  <c r="G206" i="61" s="1"/>
  <c r="H206" i="61" s="1"/>
  <c r="I206" i="61" s="1"/>
  <c r="J206" i="61" s="1"/>
  <c r="K206" i="61" s="1"/>
  <c r="L206" i="61" s="1"/>
  <c r="B207" i="61"/>
  <c r="C207" i="61" s="1"/>
  <c r="D207" i="61" s="1"/>
  <c r="E207" i="61" s="1"/>
  <c r="F207" i="61" s="1"/>
  <c r="G207" i="61" s="1"/>
  <c r="H207" i="61" s="1"/>
  <c r="I207" i="61" s="1"/>
  <c r="J207" i="61" s="1"/>
  <c r="K207" i="61" s="1"/>
  <c r="L207" i="61" s="1"/>
  <c r="B208" i="61"/>
  <c r="C208" i="61" s="1"/>
  <c r="D208" i="61" s="1"/>
  <c r="E208" i="61" s="1"/>
  <c r="F208" i="61" s="1"/>
  <c r="G208" i="61" s="1"/>
  <c r="H208" i="61" s="1"/>
  <c r="I208" i="61" s="1"/>
  <c r="J208" i="61" s="1"/>
  <c r="K208" i="61" s="1"/>
  <c r="L208" i="61" s="1"/>
  <c r="B209" i="61"/>
  <c r="C209" i="61" s="1"/>
  <c r="D209" i="61" s="1"/>
  <c r="E209" i="61" s="1"/>
  <c r="F209" i="61" s="1"/>
  <c r="G209" i="61" s="1"/>
  <c r="H209" i="61" s="1"/>
  <c r="I209" i="61" s="1"/>
  <c r="J209" i="61" s="1"/>
  <c r="K209" i="61" s="1"/>
  <c r="L209" i="61" s="1"/>
  <c r="B210" i="61"/>
  <c r="C210" i="61" s="1"/>
  <c r="D210" i="61" s="1"/>
  <c r="E210" i="61" s="1"/>
  <c r="F210" i="61" s="1"/>
  <c r="G210" i="61" s="1"/>
  <c r="H210" i="61" s="1"/>
  <c r="I210" i="61" s="1"/>
  <c r="J210" i="61" s="1"/>
  <c r="K210" i="61" s="1"/>
  <c r="L210" i="61" s="1"/>
  <c r="B211" i="61"/>
  <c r="C211" i="61" s="1"/>
  <c r="D211" i="61" s="1"/>
  <c r="E211" i="61" s="1"/>
  <c r="F211" i="61" s="1"/>
  <c r="G211" i="61" s="1"/>
  <c r="H211" i="61" s="1"/>
  <c r="I211" i="61" s="1"/>
  <c r="J211" i="61" s="1"/>
  <c r="K211" i="61" s="1"/>
  <c r="L211" i="61" s="1"/>
  <c r="B212" i="61"/>
  <c r="C212" i="61" s="1"/>
  <c r="D212" i="61" s="1"/>
  <c r="E212" i="61" s="1"/>
  <c r="F212" i="61" s="1"/>
  <c r="G212" i="61" s="1"/>
  <c r="H212" i="61" s="1"/>
  <c r="I212" i="61" s="1"/>
  <c r="J212" i="61" s="1"/>
  <c r="K212" i="61" s="1"/>
  <c r="L212" i="61" s="1"/>
  <c r="B213" i="61"/>
  <c r="C213" i="61" s="1"/>
  <c r="D213" i="61" s="1"/>
  <c r="E213" i="61" s="1"/>
  <c r="F213" i="61" s="1"/>
  <c r="G213" i="61" s="1"/>
  <c r="H213" i="61" s="1"/>
  <c r="I213" i="61" s="1"/>
  <c r="J213" i="61" s="1"/>
  <c r="K213" i="61" s="1"/>
  <c r="L213" i="61" s="1"/>
  <c r="B214" i="61"/>
  <c r="C214" i="61" s="1"/>
  <c r="D214" i="61" s="1"/>
  <c r="E214" i="61" s="1"/>
  <c r="F214" i="61" s="1"/>
  <c r="G214" i="61" s="1"/>
  <c r="H214" i="61" s="1"/>
  <c r="I214" i="61" s="1"/>
  <c r="J214" i="61" s="1"/>
  <c r="K214" i="61" s="1"/>
  <c r="L214" i="61" s="1"/>
  <c r="B215" i="61"/>
  <c r="C215" i="61" s="1"/>
  <c r="D215" i="61" s="1"/>
  <c r="E215" i="61" s="1"/>
  <c r="F215" i="61" s="1"/>
  <c r="G215" i="61" s="1"/>
  <c r="H215" i="61" s="1"/>
  <c r="I215" i="61" s="1"/>
  <c r="J215" i="61" s="1"/>
  <c r="K215" i="61" s="1"/>
  <c r="L215" i="61" s="1"/>
  <c r="B216" i="61"/>
  <c r="C216" i="61" s="1"/>
  <c r="D216" i="61" s="1"/>
  <c r="E216" i="61" s="1"/>
  <c r="F216" i="61" s="1"/>
  <c r="G216" i="61" s="1"/>
  <c r="H216" i="61" s="1"/>
  <c r="I216" i="61" s="1"/>
  <c r="J216" i="61" s="1"/>
  <c r="K216" i="61" s="1"/>
  <c r="L216" i="61" s="1"/>
  <c r="B217" i="61"/>
  <c r="C217" i="61" s="1"/>
  <c r="D217" i="61" s="1"/>
  <c r="E217" i="61" s="1"/>
  <c r="F217" i="61" s="1"/>
  <c r="G217" i="61" s="1"/>
  <c r="H217" i="61" s="1"/>
  <c r="I217" i="61" s="1"/>
  <c r="J217" i="61" s="1"/>
  <c r="K217" i="61" s="1"/>
  <c r="L217" i="61" s="1"/>
  <c r="B218" i="61"/>
  <c r="C218" i="61" s="1"/>
  <c r="D218" i="61" s="1"/>
  <c r="E218" i="61" s="1"/>
  <c r="F218" i="61" s="1"/>
  <c r="G218" i="61" s="1"/>
  <c r="H218" i="61" s="1"/>
  <c r="I218" i="61" s="1"/>
  <c r="J218" i="61" s="1"/>
  <c r="K218" i="61" s="1"/>
  <c r="L218" i="61" s="1"/>
  <c r="B219" i="61"/>
  <c r="C219" i="61" s="1"/>
  <c r="D219" i="61" s="1"/>
  <c r="E219" i="61" s="1"/>
  <c r="F219" i="61" s="1"/>
  <c r="G219" i="61" s="1"/>
  <c r="H219" i="61" s="1"/>
  <c r="I219" i="61" s="1"/>
  <c r="J219" i="61" s="1"/>
  <c r="K219" i="61" s="1"/>
  <c r="L219" i="61" s="1"/>
  <c r="B220" i="61"/>
  <c r="C220" i="61" s="1"/>
  <c r="D220" i="61" s="1"/>
  <c r="E220" i="61" s="1"/>
  <c r="F220" i="61" s="1"/>
  <c r="G220" i="61" s="1"/>
  <c r="H220" i="61" s="1"/>
  <c r="I220" i="61" s="1"/>
  <c r="J220" i="61" s="1"/>
  <c r="K220" i="61" s="1"/>
  <c r="L220" i="61" s="1"/>
  <c r="B221" i="61"/>
  <c r="C221" i="61" s="1"/>
  <c r="D221" i="61" s="1"/>
  <c r="E221" i="61" s="1"/>
  <c r="F221" i="61" s="1"/>
  <c r="G221" i="61" s="1"/>
  <c r="H221" i="61" s="1"/>
  <c r="I221" i="61" s="1"/>
  <c r="J221" i="61" s="1"/>
  <c r="K221" i="61" s="1"/>
  <c r="L221" i="61" s="1"/>
  <c r="B222" i="61"/>
  <c r="C222" i="61" s="1"/>
  <c r="D222" i="61" s="1"/>
  <c r="E222" i="61" s="1"/>
  <c r="F222" i="61" s="1"/>
  <c r="G222" i="61" s="1"/>
  <c r="H222" i="61" s="1"/>
  <c r="I222" i="61" s="1"/>
  <c r="J222" i="61" s="1"/>
  <c r="K222" i="61" s="1"/>
  <c r="L222" i="61" s="1"/>
  <c r="B223" i="61"/>
  <c r="C223" i="61" s="1"/>
  <c r="D223" i="61" s="1"/>
  <c r="E223" i="61" s="1"/>
  <c r="F223" i="61" s="1"/>
  <c r="G223" i="61" s="1"/>
  <c r="H223" i="61" s="1"/>
  <c r="I223" i="61" s="1"/>
  <c r="J223" i="61" s="1"/>
  <c r="K223" i="61" s="1"/>
  <c r="L223" i="61" s="1"/>
  <c r="B224" i="61"/>
  <c r="C224" i="61" s="1"/>
  <c r="D224" i="61" s="1"/>
  <c r="E224" i="61" s="1"/>
  <c r="F224" i="61" s="1"/>
  <c r="G224" i="61" s="1"/>
  <c r="H224" i="61" s="1"/>
  <c r="I224" i="61" s="1"/>
  <c r="J224" i="61" s="1"/>
  <c r="K224" i="61" s="1"/>
  <c r="L224" i="61" s="1"/>
  <c r="B225" i="61"/>
  <c r="C225" i="61" s="1"/>
  <c r="D225" i="61" s="1"/>
  <c r="E225" i="61" s="1"/>
  <c r="F225" i="61" s="1"/>
  <c r="G225" i="61" s="1"/>
  <c r="H225" i="61" s="1"/>
  <c r="I225" i="61" s="1"/>
  <c r="J225" i="61" s="1"/>
  <c r="K225" i="61" s="1"/>
  <c r="L225" i="61" s="1"/>
  <c r="B226" i="61"/>
  <c r="C226" i="61" s="1"/>
  <c r="D226" i="61" s="1"/>
  <c r="E226" i="61" s="1"/>
  <c r="F226" i="61" s="1"/>
  <c r="G226" i="61" s="1"/>
  <c r="H226" i="61" s="1"/>
  <c r="I226" i="61" s="1"/>
  <c r="J226" i="61" s="1"/>
  <c r="K226" i="61" s="1"/>
  <c r="L226" i="61" s="1"/>
  <c r="B227" i="61"/>
  <c r="C227" i="61" s="1"/>
  <c r="D227" i="61" s="1"/>
  <c r="E227" i="61" s="1"/>
  <c r="F227" i="61" s="1"/>
  <c r="G227" i="61" s="1"/>
  <c r="H227" i="61" s="1"/>
  <c r="I227" i="61" s="1"/>
  <c r="J227" i="61" s="1"/>
  <c r="K227" i="61" s="1"/>
  <c r="L227" i="61" s="1"/>
  <c r="B228" i="61"/>
  <c r="C228" i="61" s="1"/>
  <c r="D228" i="61" s="1"/>
  <c r="E228" i="61" s="1"/>
  <c r="F228" i="61" s="1"/>
  <c r="G228" i="61" s="1"/>
  <c r="H228" i="61" s="1"/>
  <c r="I228" i="61" s="1"/>
  <c r="J228" i="61" s="1"/>
  <c r="K228" i="61" s="1"/>
  <c r="L228" i="61" s="1"/>
  <c r="B229" i="61"/>
  <c r="C229" i="61" s="1"/>
  <c r="D229" i="61" s="1"/>
  <c r="E229" i="61" s="1"/>
  <c r="F229" i="61" s="1"/>
  <c r="G229" i="61" s="1"/>
  <c r="H229" i="61" s="1"/>
  <c r="I229" i="61" s="1"/>
  <c r="J229" i="61" s="1"/>
  <c r="K229" i="61" s="1"/>
  <c r="L229" i="61" s="1"/>
  <c r="B230" i="61"/>
  <c r="C230" i="61" s="1"/>
  <c r="D230" i="61" s="1"/>
  <c r="E230" i="61" s="1"/>
  <c r="F230" i="61" s="1"/>
  <c r="G230" i="61" s="1"/>
  <c r="H230" i="61" s="1"/>
  <c r="I230" i="61" s="1"/>
  <c r="J230" i="61" s="1"/>
  <c r="K230" i="61" s="1"/>
  <c r="L230" i="61" s="1"/>
  <c r="B231" i="61"/>
  <c r="C231" i="61" s="1"/>
  <c r="D231" i="61" s="1"/>
  <c r="E231" i="61" s="1"/>
  <c r="F231" i="61" s="1"/>
  <c r="G231" i="61" s="1"/>
  <c r="H231" i="61" s="1"/>
  <c r="I231" i="61" s="1"/>
  <c r="J231" i="61" s="1"/>
  <c r="K231" i="61" s="1"/>
  <c r="L231" i="61" s="1"/>
  <c r="B232" i="61"/>
  <c r="C232" i="61" s="1"/>
  <c r="D232" i="61" s="1"/>
  <c r="E232" i="61" s="1"/>
  <c r="F232" i="61" s="1"/>
  <c r="G232" i="61" s="1"/>
  <c r="H232" i="61" s="1"/>
  <c r="I232" i="61" s="1"/>
  <c r="J232" i="61" s="1"/>
  <c r="K232" i="61" s="1"/>
  <c r="L232" i="61" s="1"/>
  <c r="B233" i="61"/>
  <c r="C233" i="61" s="1"/>
  <c r="D233" i="61" s="1"/>
  <c r="E233" i="61"/>
  <c r="F233" i="61" s="1"/>
  <c r="G233" i="61" s="1"/>
  <c r="H233" i="61" s="1"/>
  <c r="I233" i="61" s="1"/>
  <c r="J233" i="61" s="1"/>
  <c r="K233" i="61" s="1"/>
  <c r="L233" i="61" s="1"/>
  <c r="B234" i="61"/>
  <c r="C234" i="61" s="1"/>
  <c r="D234" i="61" s="1"/>
  <c r="E234" i="61" s="1"/>
  <c r="F234" i="61" s="1"/>
  <c r="G234" i="61" s="1"/>
  <c r="H234" i="61" s="1"/>
  <c r="I234" i="61" s="1"/>
  <c r="J234" i="61" s="1"/>
  <c r="K234" i="61" s="1"/>
  <c r="L234" i="61" s="1"/>
  <c r="B235" i="61"/>
  <c r="C235" i="61" s="1"/>
  <c r="D235" i="61" s="1"/>
  <c r="E235" i="61" s="1"/>
  <c r="F235" i="61" s="1"/>
  <c r="G235" i="61" s="1"/>
  <c r="H235" i="61" s="1"/>
  <c r="I235" i="61" s="1"/>
  <c r="J235" i="61" s="1"/>
  <c r="K235" i="61" s="1"/>
  <c r="L235" i="61" s="1"/>
  <c r="B236" i="61"/>
  <c r="C236" i="61" s="1"/>
  <c r="D236" i="61" s="1"/>
  <c r="E236" i="61" s="1"/>
  <c r="F236" i="61" s="1"/>
  <c r="G236" i="61" s="1"/>
  <c r="H236" i="61" s="1"/>
  <c r="I236" i="61" s="1"/>
  <c r="J236" i="61" s="1"/>
  <c r="K236" i="61" s="1"/>
  <c r="L236" i="61" s="1"/>
  <c r="B237" i="61"/>
  <c r="C237" i="61" s="1"/>
  <c r="D237" i="61" s="1"/>
  <c r="E237" i="61" s="1"/>
  <c r="F237" i="61" s="1"/>
  <c r="G237" i="61" s="1"/>
  <c r="H237" i="61" s="1"/>
  <c r="I237" i="61" s="1"/>
  <c r="J237" i="61" s="1"/>
  <c r="K237" i="61" s="1"/>
  <c r="L237" i="61" s="1"/>
  <c r="B238" i="61"/>
  <c r="C238" i="61" s="1"/>
  <c r="D238" i="61" s="1"/>
  <c r="E238" i="61" s="1"/>
  <c r="F238" i="61" s="1"/>
  <c r="G238" i="61" s="1"/>
  <c r="H238" i="61" s="1"/>
  <c r="I238" i="61" s="1"/>
  <c r="J238" i="61" s="1"/>
  <c r="K238" i="61" s="1"/>
  <c r="L238" i="61" s="1"/>
  <c r="B239" i="61"/>
  <c r="C239" i="61" s="1"/>
  <c r="D239" i="61" s="1"/>
  <c r="E239" i="61" s="1"/>
  <c r="F239" i="61" s="1"/>
  <c r="G239" i="61" s="1"/>
  <c r="H239" i="61" s="1"/>
  <c r="I239" i="61" s="1"/>
  <c r="J239" i="61" s="1"/>
  <c r="K239" i="61" s="1"/>
  <c r="L239" i="61" s="1"/>
  <c r="B240" i="61"/>
  <c r="C240" i="61" s="1"/>
  <c r="D240" i="61" s="1"/>
  <c r="E240" i="61" s="1"/>
  <c r="F240" i="61" s="1"/>
  <c r="G240" i="61" s="1"/>
  <c r="H240" i="61" s="1"/>
  <c r="I240" i="61" s="1"/>
  <c r="J240" i="61" s="1"/>
  <c r="K240" i="61" s="1"/>
  <c r="L240" i="61" s="1"/>
  <c r="B241" i="61"/>
  <c r="C241" i="61" s="1"/>
  <c r="D241" i="61" s="1"/>
  <c r="E241" i="61" s="1"/>
  <c r="F241" i="61" s="1"/>
  <c r="G241" i="61" s="1"/>
  <c r="H241" i="61" s="1"/>
  <c r="I241" i="61" s="1"/>
  <c r="J241" i="61" s="1"/>
  <c r="K241" i="61" s="1"/>
  <c r="L241" i="61" s="1"/>
  <c r="B242" i="61"/>
  <c r="C242" i="61" s="1"/>
  <c r="D242" i="61" s="1"/>
  <c r="E242" i="61" s="1"/>
  <c r="F242" i="61" s="1"/>
  <c r="G242" i="61" s="1"/>
  <c r="H242" i="61" s="1"/>
  <c r="I242" i="61" s="1"/>
  <c r="J242" i="61" s="1"/>
  <c r="K242" i="61" s="1"/>
  <c r="L242" i="61" s="1"/>
  <c r="B243" i="61"/>
  <c r="C243" i="61" s="1"/>
  <c r="D243" i="61" s="1"/>
  <c r="E243" i="61" s="1"/>
  <c r="F243" i="61" s="1"/>
  <c r="G243" i="61" s="1"/>
  <c r="H243" i="61" s="1"/>
  <c r="I243" i="61" s="1"/>
  <c r="J243" i="61" s="1"/>
  <c r="K243" i="61" s="1"/>
  <c r="L243" i="61" s="1"/>
  <c r="B244" i="61"/>
  <c r="C244" i="61" s="1"/>
  <c r="D244" i="61" s="1"/>
  <c r="E244" i="61" s="1"/>
  <c r="F244" i="61" s="1"/>
  <c r="G244" i="61" s="1"/>
  <c r="B245" i="61"/>
  <c r="C245" i="61" s="1"/>
  <c r="D245" i="61" s="1"/>
  <c r="E245" i="61" s="1"/>
  <c r="F245" i="61" s="1"/>
  <c r="G245" i="61" s="1"/>
  <c r="H245" i="61" s="1"/>
  <c r="I245" i="61" s="1"/>
  <c r="J245" i="61" s="1"/>
  <c r="K245" i="61" s="1"/>
  <c r="L245" i="61" s="1"/>
  <c r="B246" i="61"/>
  <c r="C246" i="61" s="1"/>
  <c r="D246" i="61" s="1"/>
  <c r="E246" i="61" s="1"/>
  <c r="F246" i="61" s="1"/>
  <c r="G246" i="61" s="1"/>
  <c r="H246" i="61" s="1"/>
  <c r="I246" i="61" s="1"/>
  <c r="J246" i="61" s="1"/>
  <c r="K246" i="61" s="1"/>
  <c r="L246" i="61" s="1"/>
  <c r="B247" i="61"/>
  <c r="C247" i="61" s="1"/>
  <c r="D247" i="61" s="1"/>
  <c r="E247" i="61" s="1"/>
  <c r="F247" i="61" s="1"/>
  <c r="G247" i="61" s="1"/>
  <c r="H247" i="61" s="1"/>
  <c r="I247" i="61" s="1"/>
  <c r="J247" i="61" s="1"/>
  <c r="K247" i="61" s="1"/>
  <c r="L247" i="61" s="1"/>
  <c r="B248" i="61"/>
  <c r="C248" i="61" s="1"/>
  <c r="D248" i="61" s="1"/>
  <c r="E248" i="61" s="1"/>
  <c r="F248" i="61" s="1"/>
  <c r="G248" i="61" s="1"/>
  <c r="H248" i="61" s="1"/>
  <c r="I248" i="61" s="1"/>
  <c r="J248" i="61" s="1"/>
  <c r="K248" i="61" s="1"/>
  <c r="L248" i="61" s="1"/>
  <c r="B249" i="61"/>
  <c r="C249" i="61" s="1"/>
  <c r="D249" i="61" s="1"/>
  <c r="E249" i="61" s="1"/>
  <c r="F249" i="61" s="1"/>
  <c r="G249" i="61" s="1"/>
  <c r="H249" i="61" s="1"/>
  <c r="I249" i="61" s="1"/>
  <c r="J249" i="61" s="1"/>
  <c r="K249" i="61" s="1"/>
  <c r="L249" i="61" s="1"/>
  <c r="B250" i="61"/>
  <c r="C250" i="61" s="1"/>
  <c r="D250" i="61" s="1"/>
  <c r="E250" i="61" s="1"/>
  <c r="F250" i="61" s="1"/>
  <c r="G250" i="61" s="1"/>
  <c r="H250" i="61" s="1"/>
  <c r="I250" i="61" s="1"/>
  <c r="J250" i="61" s="1"/>
  <c r="K250" i="61" s="1"/>
  <c r="L250" i="61" s="1"/>
  <c r="B251" i="61"/>
  <c r="C251" i="61" s="1"/>
  <c r="D251" i="61" s="1"/>
  <c r="E251" i="61" s="1"/>
  <c r="F251" i="61" s="1"/>
  <c r="G251" i="61" s="1"/>
  <c r="H251" i="61" s="1"/>
  <c r="I251" i="61" s="1"/>
  <c r="J251" i="61" s="1"/>
  <c r="K251" i="61" s="1"/>
  <c r="L251" i="61" s="1"/>
  <c r="B252" i="61"/>
  <c r="C252" i="61" s="1"/>
  <c r="D252" i="61" s="1"/>
  <c r="E252" i="61" s="1"/>
  <c r="F252" i="61" s="1"/>
  <c r="G252" i="61" s="1"/>
  <c r="H252" i="61" s="1"/>
  <c r="I252" i="61" s="1"/>
  <c r="J252" i="61" s="1"/>
  <c r="K252" i="61" s="1"/>
  <c r="L252" i="61" s="1"/>
  <c r="B253" i="61"/>
  <c r="C253" i="61" s="1"/>
  <c r="D253" i="61" s="1"/>
  <c r="E253" i="61" s="1"/>
  <c r="F253" i="61" s="1"/>
  <c r="G253" i="61" s="1"/>
  <c r="H253" i="61" s="1"/>
  <c r="I253" i="61" s="1"/>
  <c r="J253" i="61" s="1"/>
  <c r="K253" i="61" s="1"/>
  <c r="L253" i="61" s="1"/>
  <c r="B254" i="61"/>
  <c r="C254" i="61" s="1"/>
  <c r="D254" i="61" s="1"/>
  <c r="E254" i="61" s="1"/>
  <c r="F254" i="61" s="1"/>
  <c r="G254" i="61" s="1"/>
  <c r="H254" i="61" s="1"/>
  <c r="I254" i="61" s="1"/>
  <c r="J254" i="61" s="1"/>
  <c r="K254" i="61" s="1"/>
  <c r="L254" i="61" s="1"/>
  <c r="B255" i="61"/>
  <c r="C255" i="61" s="1"/>
  <c r="D255" i="61" s="1"/>
  <c r="E255" i="61" s="1"/>
  <c r="F255" i="61" s="1"/>
  <c r="G255" i="61" s="1"/>
  <c r="H255" i="61" s="1"/>
  <c r="I255" i="61" s="1"/>
  <c r="J255" i="61" s="1"/>
  <c r="K255" i="61" s="1"/>
  <c r="L255" i="61" s="1"/>
  <c r="B256" i="61"/>
  <c r="C256" i="61" s="1"/>
  <c r="D256" i="61" s="1"/>
  <c r="E256" i="61" s="1"/>
  <c r="F256" i="61" s="1"/>
  <c r="G256" i="61" s="1"/>
  <c r="H256" i="61" s="1"/>
  <c r="I256" i="61" s="1"/>
  <c r="J256" i="61" s="1"/>
  <c r="K256" i="61" s="1"/>
  <c r="L256" i="61" s="1"/>
  <c r="B257" i="61"/>
  <c r="C257" i="61" s="1"/>
  <c r="D257" i="61" s="1"/>
  <c r="E257" i="61" s="1"/>
  <c r="F257" i="61" s="1"/>
  <c r="G257" i="61" s="1"/>
  <c r="H257" i="61" s="1"/>
  <c r="I257" i="61" s="1"/>
  <c r="J257" i="61" s="1"/>
  <c r="K257" i="61" s="1"/>
  <c r="L257" i="61" s="1"/>
  <c r="B258" i="61"/>
  <c r="C258" i="61" s="1"/>
  <c r="D258" i="61" s="1"/>
  <c r="E258" i="61" s="1"/>
  <c r="F258" i="61" s="1"/>
  <c r="G258" i="61" s="1"/>
  <c r="H258" i="61" s="1"/>
  <c r="I258" i="61" s="1"/>
  <c r="J258" i="61" s="1"/>
  <c r="K258" i="61" s="1"/>
  <c r="L258" i="61" s="1"/>
  <c r="B138" i="61"/>
  <c r="C138" i="61" s="1"/>
  <c r="D138" i="61" s="1"/>
  <c r="E138" i="61" s="1"/>
  <c r="F138" i="61" s="1"/>
  <c r="G138" i="61" s="1"/>
  <c r="H138" i="61" s="1"/>
  <c r="I138" i="61" s="1"/>
  <c r="J138" i="61" s="1"/>
  <c r="K138" i="61" s="1"/>
  <c r="L138" i="61" s="1"/>
  <c r="B137" i="61"/>
  <c r="S127" i="56"/>
  <c r="R127" i="56"/>
  <c r="Q127" i="56"/>
  <c r="N127" i="56"/>
  <c r="L127" i="56"/>
  <c r="K127" i="56"/>
  <c r="P122" i="56"/>
  <c r="P127" i="56" s="1"/>
  <c r="O122" i="56"/>
  <c r="O127" i="56" s="1"/>
  <c r="M122" i="56"/>
  <c r="M127" i="56" s="1"/>
  <c r="S108" i="56"/>
  <c r="R108" i="56"/>
  <c r="Q108" i="56"/>
  <c r="P108" i="56"/>
  <c r="O108" i="56"/>
  <c r="N108" i="56"/>
  <c r="M108" i="56"/>
  <c r="L108" i="56"/>
  <c r="K108" i="56"/>
  <c r="S102" i="56"/>
  <c r="R102" i="56"/>
  <c r="Q102" i="56"/>
  <c r="P102" i="56"/>
  <c r="O102" i="56"/>
  <c r="N102" i="56"/>
  <c r="M102" i="56"/>
  <c r="K102" i="56"/>
  <c r="L96" i="56"/>
  <c r="L102" i="56" s="1"/>
  <c r="S91" i="56"/>
  <c r="R91" i="56"/>
  <c r="Q91" i="56"/>
  <c r="P91" i="56"/>
  <c r="O91" i="56"/>
  <c r="N91" i="56"/>
  <c r="L91" i="56"/>
  <c r="K91" i="56"/>
  <c r="M74" i="56"/>
  <c r="M91" i="56" s="1"/>
  <c r="S65" i="56"/>
  <c r="R65" i="56"/>
  <c r="Q65" i="56"/>
  <c r="P65" i="56"/>
  <c r="N65" i="56"/>
  <c r="M65" i="56"/>
  <c r="L65" i="56"/>
  <c r="K65" i="56"/>
  <c r="O60" i="56"/>
  <c r="O65" i="56" s="1"/>
  <c r="S46" i="56"/>
  <c r="R46" i="56"/>
  <c r="Q46" i="56"/>
  <c r="P46" i="56"/>
  <c r="O46" i="56"/>
  <c r="N46" i="56"/>
  <c r="M46" i="56"/>
  <c r="L46" i="56"/>
  <c r="K46" i="56"/>
  <c r="S28" i="56"/>
  <c r="R28" i="56"/>
  <c r="Q28" i="56"/>
  <c r="P28" i="56"/>
  <c r="O28" i="56"/>
  <c r="N28" i="56"/>
  <c r="M28" i="56"/>
  <c r="L28" i="56"/>
  <c r="K28" i="56"/>
  <c r="S18" i="56"/>
  <c r="R18" i="56"/>
  <c r="O13" i="56"/>
  <c r="O18" i="56" s="1"/>
  <c r="Q12" i="56"/>
  <c r="Q18" i="56" s="1"/>
  <c r="P12" i="56"/>
  <c r="P18" i="56" s="1"/>
  <c r="L12" i="56"/>
  <c r="P8" i="56"/>
  <c r="N8" i="56"/>
  <c r="N18" i="56" s="1"/>
  <c r="M8" i="56"/>
  <c r="M18" i="56" s="1"/>
  <c r="L8" i="56"/>
  <c r="K8" i="56"/>
  <c r="K18" i="56" s="1"/>
  <c r="I127" i="56"/>
  <c r="H127" i="56"/>
  <c r="G127" i="56"/>
  <c r="D127" i="56"/>
  <c r="B127" i="56"/>
  <c r="F122" i="56"/>
  <c r="F127" i="56" s="1"/>
  <c r="E122" i="56"/>
  <c r="E127" i="56" s="1"/>
  <c r="C122" i="56"/>
  <c r="I108" i="56"/>
  <c r="H108" i="56"/>
  <c r="G108" i="56"/>
  <c r="F108" i="56"/>
  <c r="E108" i="56"/>
  <c r="D108" i="56"/>
  <c r="C108" i="56"/>
  <c r="B108" i="56"/>
  <c r="I102" i="56"/>
  <c r="H102" i="56"/>
  <c r="G102" i="56"/>
  <c r="F102" i="56"/>
  <c r="E102" i="56"/>
  <c r="D102" i="56"/>
  <c r="C102" i="56"/>
  <c r="B96" i="56"/>
  <c r="B102" i="56" s="1"/>
  <c r="I91" i="56"/>
  <c r="H91" i="56"/>
  <c r="G91" i="56"/>
  <c r="F91" i="56"/>
  <c r="E91" i="56"/>
  <c r="D91" i="56"/>
  <c r="B91" i="56"/>
  <c r="C74" i="56"/>
  <c r="C91" i="56" s="1"/>
  <c r="I65" i="56"/>
  <c r="H65" i="56"/>
  <c r="G65" i="56"/>
  <c r="F65" i="56"/>
  <c r="D65" i="56"/>
  <c r="C65" i="56"/>
  <c r="B65" i="56"/>
  <c r="E60" i="56"/>
  <c r="E65" i="56" s="1"/>
  <c r="I46" i="56"/>
  <c r="H46" i="56"/>
  <c r="G46" i="56"/>
  <c r="F46" i="56"/>
  <c r="E46" i="56"/>
  <c r="D46" i="56"/>
  <c r="C46" i="56"/>
  <c r="B46" i="56"/>
  <c r="I28" i="56"/>
  <c r="I110" i="56" s="1"/>
  <c r="H28" i="56"/>
  <c r="G28" i="56"/>
  <c r="F28" i="56"/>
  <c r="E28" i="56"/>
  <c r="D28" i="56"/>
  <c r="C28" i="56"/>
  <c r="B28" i="56"/>
  <c r="I18" i="56"/>
  <c r="H18" i="56"/>
  <c r="E13" i="56"/>
  <c r="E18" i="56" s="1"/>
  <c r="G12" i="56"/>
  <c r="G18" i="56" s="1"/>
  <c r="F12" i="56"/>
  <c r="B12" i="56"/>
  <c r="F8" i="56"/>
  <c r="D8" i="56"/>
  <c r="D18" i="56" s="1"/>
  <c r="C8" i="56"/>
  <c r="C18" i="56" s="1"/>
  <c r="B8" i="56"/>
  <c r="C110" i="56" l="1"/>
  <c r="L18" i="56"/>
  <c r="R110" i="56"/>
  <c r="H244" i="61"/>
  <c r="I244" i="61" s="1"/>
  <c r="J244" i="61" s="1"/>
  <c r="K244" i="61" s="1"/>
  <c r="L244" i="61" s="1"/>
  <c r="M110" i="56"/>
  <c r="S110" i="56"/>
  <c r="S112" i="56" s="1"/>
  <c r="S129" i="56" s="1"/>
  <c r="E110" i="56"/>
  <c r="E112" i="56" s="1"/>
  <c r="E129" i="56" s="1"/>
  <c r="N110" i="56"/>
  <c r="N112" i="56" s="1"/>
  <c r="N129" i="56" s="1"/>
  <c r="O110" i="56"/>
  <c r="O112" i="56" s="1"/>
  <c r="O129" i="56" s="1"/>
  <c r="F18" i="56"/>
  <c r="K112" i="56"/>
  <c r="K129" i="56" s="1"/>
  <c r="K110" i="56"/>
  <c r="D110" i="56"/>
  <c r="R112" i="56"/>
  <c r="R129" i="56" s="1"/>
  <c r="Q110" i="56"/>
  <c r="Q112" i="56" s="1"/>
  <c r="Q129" i="56" s="1"/>
  <c r="P110" i="56"/>
  <c r="P112" i="56"/>
  <c r="P129" i="56" s="1"/>
  <c r="M112" i="56"/>
  <c r="M129" i="56" s="1"/>
  <c r="L110" i="56"/>
  <c r="L112" i="56" s="1"/>
  <c r="L129" i="56" s="1"/>
  <c r="G112" i="56"/>
  <c r="G129" i="56" s="1"/>
  <c r="B18" i="56"/>
  <c r="C112" i="56"/>
  <c r="G110" i="56"/>
  <c r="D112" i="56"/>
  <c r="D129" i="56" s="1"/>
  <c r="H110" i="56"/>
  <c r="F110" i="56"/>
  <c r="H112" i="56"/>
  <c r="H129" i="56" s="1"/>
  <c r="I112" i="56"/>
  <c r="I129" i="56" s="1"/>
  <c r="B110" i="56"/>
  <c r="C127" i="56"/>
  <c r="B112" i="56" l="1"/>
  <c r="B129" i="56" s="1"/>
  <c r="F112" i="56"/>
  <c r="F129" i="56" s="1"/>
  <c r="C129" i="56"/>
  <c r="A168" i="45" l="1"/>
  <c r="A167" i="45"/>
  <c r="A166" i="45"/>
  <c r="A165" i="45"/>
  <c r="A164" i="45"/>
  <c r="A160" i="45"/>
  <c r="A159" i="45"/>
  <c r="A158" i="45"/>
  <c r="A157" i="45"/>
  <c r="A156" i="45"/>
  <c r="A155" i="45"/>
  <c r="A154" i="45"/>
  <c r="A153" i="45"/>
  <c r="A152" i="45"/>
  <c r="A151" i="45"/>
  <c r="A150" i="45"/>
  <c r="A149" i="45"/>
  <c r="A148" i="45"/>
  <c r="A147" i="45"/>
  <c r="A146" i="45"/>
  <c r="A145" i="45"/>
  <c r="A144" i="45"/>
  <c r="A143" i="45"/>
  <c r="A142" i="45"/>
  <c r="A141" i="45"/>
  <c r="A140" i="45"/>
  <c r="A139" i="45"/>
  <c r="A138" i="45"/>
  <c r="A137" i="45"/>
  <c r="A136" i="45"/>
  <c r="A135" i="45"/>
  <c r="A134" i="45"/>
  <c r="A133" i="45"/>
  <c r="A132" i="45"/>
  <c r="A131" i="45"/>
  <c r="A125" i="45"/>
  <c r="A124" i="45"/>
  <c r="A123" i="45"/>
  <c r="A122" i="45"/>
  <c r="A121" i="45"/>
  <c r="A120" i="45"/>
  <c r="A118" i="45"/>
  <c r="A117" i="45"/>
  <c r="A116" i="45"/>
  <c r="A114" i="45"/>
  <c r="A106" i="45"/>
  <c r="A105" i="45"/>
  <c r="A104" i="45"/>
  <c r="A82" i="45"/>
  <c r="A81" i="45"/>
  <c r="A71" i="45"/>
  <c r="A58" i="45"/>
  <c r="A55" i="45"/>
  <c r="A53" i="45"/>
  <c r="A50" i="45"/>
  <c r="A49" i="45"/>
  <c r="A43" i="45"/>
  <c r="A42" i="45"/>
  <c r="A34" i="45"/>
  <c r="A33" i="45"/>
  <c r="A32" i="45"/>
  <c r="A25" i="45"/>
  <c r="A8" i="45"/>
  <c r="A9" i="45"/>
  <c r="A12" i="45"/>
  <c r="A14" i="45"/>
  <c r="A15" i="45"/>
  <c r="A16" i="45"/>
  <c r="G162" i="51" l="1"/>
  <c r="G170" i="51" s="1"/>
  <c r="H162" i="51"/>
  <c r="I162" i="51"/>
  <c r="I170" i="51" s="1"/>
  <c r="J162" i="51"/>
  <c r="K162" i="51"/>
  <c r="K170" i="51" s="1"/>
  <c r="L162" i="51"/>
  <c r="L170" i="51" s="1"/>
  <c r="F162" i="51"/>
  <c r="F170" i="51" s="1"/>
  <c r="E162" i="51"/>
  <c r="E170" i="51" s="1"/>
  <c r="J170" i="51" l="1"/>
  <c r="B7" i="45"/>
  <c r="D162" i="51" l="1"/>
  <c r="D170" i="51" s="1"/>
  <c r="P168" i="51" l="1"/>
  <c r="D168" i="69"/>
  <c r="D170" i="69" s="1"/>
  <c r="R168" i="51" l="1"/>
  <c r="V168" i="51"/>
  <c r="P168" i="69"/>
  <c r="M4" i="45"/>
  <c r="C108" i="51"/>
  <c r="D108" i="51"/>
  <c r="E108" i="51"/>
  <c r="F108" i="51"/>
  <c r="G108" i="51"/>
  <c r="H108" i="51"/>
  <c r="I108" i="51"/>
  <c r="J108" i="51"/>
  <c r="K108" i="51"/>
  <c r="L108" i="51"/>
  <c r="H91" i="51"/>
  <c r="I91" i="51"/>
  <c r="J91" i="51"/>
  <c r="H18" i="51"/>
  <c r="I18" i="51"/>
  <c r="J18" i="51"/>
  <c r="H46" i="51"/>
  <c r="I46" i="51"/>
  <c r="C162" i="51"/>
  <c r="C170" i="51" s="1"/>
  <c r="B162" i="51" l="1"/>
  <c r="B108" i="51"/>
  <c r="B164" i="51" l="1"/>
  <c r="B164" i="69" l="1"/>
  <c r="B170" i="69" s="1"/>
  <c r="B170" i="51"/>
  <c r="A164" i="51"/>
  <c r="N164" i="51" s="1"/>
  <c r="S166" i="54"/>
  <c r="R166" i="54"/>
  <c r="Q166" i="54"/>
  <c r="P166" i="54"/>
  <c r="O166" i="54"/>
  <c r="N166" i="54"/>
  <c r="C164" i="54"/>
  <c r="D164" i="54"/>
  <c r="E164" i="54"/>
  <c r="F164" i="54"/>
  <c r="G164" i="54"/>
  <c r="C166" i="54"/>
  <c r="D166" i="54"/>
  <c r="E166" i="54"/>
  <c r="F166" i="54"/>
  <c r="G166" i="54"/>
  <c r="S165" i="54"/>
  <c r="R165" i="54"/>
  <c r="Q165" i="54"/>
  <c r="P165" i="54"/>
  <c r="O165" i="54"/>
  <c r="N165" i="54"/>
  <c r="C165" i="54"/>
  <c r="D165" i="54"/>
  <c r="E165" i="54"/>
  <c r="F165" i="54"/>
  <c r="G165" i="54"/>
  <c r="S164" i="54"/>
  <c r="R164" i="54"/>
  <c r="Q164" i="54"/>
  <c r="P164" i="54"/>
  <c r="O164" i="54"/>
  <c r="N164" i="54"/>
  <c r="B20" i="54"/>
  <c r="B21" i="54"/>
  <c r="B22" i="54"/>
  <c r="B23" i="54"/>
  <c r="B24" i="54"/>
  <c r="A25" i="54"/>
  <c r="B25" i="54"/>
  <c r="M25" i="54"/>
  <c r="T25" i="54" s="1"/>
  <c r="U25" i="54" s="1"/>
  <c r="B26" i="54"/>
  <c r="S175" i="54"/>
  <c r="S177" i="54" s="1"/>
  <c r="R175" i="54"/>
  <c r="R177" i="54" s="1"/>
  <c r="Q175" i="54"/>
  <c r="Q177" i="54" s="1"/>
  <c r="P175" i="54"/>
  <c r="P177" i="54" s="1"/>
  <c r="O175" i="54"/>
  <c r="O177" i="54" s="1"/>
  <c r="G175" i="54"/>
  <c r="G177" i="54" s="1"/>
  <c r="F175" i="54"/>
  <c r="F177" i="54" s="1"/>
  <c r="E175" i="54"/>
  <c r="E177" i="54" s="1"/>
  <c r="D175" i="54"/>
  <c r="D177" i="54" s="1"/>
  <c r="C175" i="54"/>
  <c r="C177" i="54" s="1"/>
  <c r="M173" i="54"/>
  <c r="T173" i="54" s="1"/>
  <c r="U173" i="54" s="1"/>
  <c r="V173" i="54" s="1"/>
  <c r="B173" i="54"/>
  <c r="A173" i="54"/>
  <c r="M172" i="54"/>
  <c r="T172" i="54" s="1"/>
  <c r="U172" i="54" s="1"/>
  <c r="V172" i="54" s="1"/>
  <c r="B172" i="54"/>
  <c r="A172" i="54"/>
  <c r="M171" i="54"/>
  <c r="T171" i="54" s="1"/>
  <c r="U171" i="54" s="1"/>
  <c r="V171" i="54" s="1"/>
  <c r="B171" i="54"/>
  <c r="A171" i="54"/>
  <c r="B170" i="54"/>
  <c r="A170" i="54"/>
  <c r="B169" i="54"/>
  <c r="N162" i="54"/>
  <c r="N175" i="54" s="1"/>
  <c r="M160" i="54"/>
  <c r="T160" i="54" s="1"/>
  <c r="U160" i="54" s="1"/>
  <c r="B160" i="54"/>
  <c r="A160" i="54"/>
  <c r="M159" i="54"/>
  <c r="B159" i="54"/>
  <c r="A159" i="54"/>
  <c r="M158" i="54"/>
  <c r="V158" i="54" s="1"/>
  <c r="B158" i="54"/>
  <c r="A158" i="54"/>
  <c r="M157" i="54"/>
  <c r="V157" i="54" s="1"/>
  <c r="B157" i="54"/>
  <c r="A157" i="54"/>
  <c r="M156" i="54"/>
  <c r="V156" i="54" s="1"/>
  <c r="B156" i="54"/>
  <c r="A156" i="54"/>
  <c r="M155" i="54"/>
  <c r="B155" i="54"/>
  <c r="A155" i="54"/>
  <c r="M154" i="54"/>
  <c r="V154" i="54" s="1"/>
  <c r="B154" i="54"/>
  <c r="A154" i="54"/>
  <c r="M153" i="54"/>
  <c r="T153" i="54" s="1"/>
  <c r="U153" i="54" s="1"/>
  <c r="B153" i="54"/>
  <c r="A153" i="54"/>
  <c r="M152" i="54"/>
  <c r="V152" i="54" s="1"/>
  <c r="B152" i="54"/>
  <c r="A152" i="54"/>
  <c r="M151" i="54"/>
  <c r="B151" i="54"/>
  <c r="A151" i="54"/>
  <c r="M150" i="54"/>
  <c r="T150" i="54" s="1"/>
  <c r="U150" i="54" s="1"/>
  <c r="B150" i="54"/>
  <c r="A150" i="54"/>
  <c r="M149" i="54"/>
  <c r="T149" i="54" s="1"/>
  <c r="U149" i="54" s="1"/>
  <c r="B149" i="54"/>
  <c r="A149" i="54"/>
  <c r="M148" i="54"/>
  <c r="V148" i="54" s="1"/>
  <c r="B148" i="54"/>
  <c r="A148" i="54"/>
  <c r="M147" i="54"/>
  <c r="B147" i="54"/>
  <c r="A147" i="54"/>
  <c r="M146" i="54"/>
  <c r="T146" i="54" s="1"/>
  <c r="U146" i="54" s="1"/>
  <c r="B146" i="54"/>
  <c r="A146" i="54"/>
  <c r="M145" i="54"/>
  <c r="T145" i="54" s="1"/>
  <c r="U145" i="54" s="1"/>
  <c r="B145" i="54"/>
  <c r="A145" i="54"/>
  <c r="M144" i="54"/>
  <c r="V144" i="54" s="1"/>
  <c r="B144" i="54"/>
  <c r="A144" i="54"/>
  <c r="M143" i="54"/>
  <c r="B143" i="54"/>
  <c r="A143" i="54"/>
  <c r="M142" i="54"/>
  <c r="T142" i="54" s="1"/>
  <c r="U142" i="54" s="1"/>
  <c r="B142" i="54"/>
  <c r="A142" i="54"/>
  <c r="M141" i="54"/>
  <c r="T141" i="54" s="1"/>
  <c r="U141" i="54" s="1"/>
  <c r="B141" i="54"/>
  <c r="A141" i="54"/>
  <c r="M140" i="54"/>
  <c r="V140" i="54" s="1"/>
  <c r="B140" i="54"/>
  <c r="A140" i="54"/>
  <c r="M139" i="54"/>
  <c r="B139" i="54"/>
  <c r="A139" i="54"/>
  <c r="M138" i="54"/>
  <c r="T138" i="54" s="1"/>
  <c r="U138" i="54" s="1"/>
  <c r="B138" i="54"/>
  <c r="A138" i="54"/>
  <c r="M137" i="54"/>
  <c r="T137" i="54" s="1"/>
  <c r="U137" i="54" s="1"/>
  <c r="B137" i="54"/>
  <c r="A137" i="54"/>
  <c r="M136" i="54"/>
  <c r="V136" i="54" s="1"/>
  <c r="V165" i="54" s="1"/>
  <c r="B136" i="54"/>
  <c r="B165" i="54" s="1"/>
  <c r="A136" i="54"/>
  <c r="A165" i="54" s="1"/>
  <c r="M135" i="54"/>
  <c r="B135" i="54"/>
  <c r="A135" i="54"/>
  <c r="M134" i="54"/>
  <c r="T134" i="54" s="1"/>
  <c r="U134" i="54" s="1"/>
  <c r="B134" i="54"/>
  <c r="A134" i="54"/>
  <c r="M133" i="54"/>
  <c r="T133" i="54" s="1"/>
  <c r="U133" i="54" s="1"/>
  <c r="B133" i="54"/>
  <c r="A133" i="54"/>
  <c r="M132" i="54"/>
  <c r="V132" i="54" s="1"/>
  <c r="B132" i="54"/>
  <c r="A132" i="54"/>
  <c r="M131" i="54"/>
  <c r="B131" i="54"/>
  <c r="A131" i="54"/>
  <c r="H131" i="54" s="1"/>
  <c r="N127" i="54"/>
  <c r="M125" i="54"/>
  <c r="V125" i="54" s="1"/>
  <c r="B125" i="54"/>
  <c r="A125" i="54"/>
  <c r="M124" i="54"/>
  <c r="T124" i="54" s="1"/>
  <c r="U124" i="54" s="1"/>
  <c r="B124" i="54"/>
  <c r="A124" i="54"/>
  <c r="M123" i="54"/>
  <c r="T123" i="54" s="1"/>
  <c r="U123" i="54" s="1"/>
  <c r="B123" i="54"/>
  <c r="A123" i="54"/>
  <c r="M122" i="54"/>
  <c r="B122" i="54"/>
  <c r="A122" i="54"/>
  <c r="M121" i="54"/>
  <c r="T121" i="54" s="1"/>
  <c r="U121" i="54" s="1"/>
  <c r="B121" i="54"/>
  <c r="A121" i="54"/>
  <c r="M120" i="54"/>
  <c r="B120" i="54"/>
  <c r="A120" i="54"/>
  <c r="B119" i="54"/>
  <c r="M118" i="54"/>
  <c r="B118" i="54"/>
  <c r="A118" i="54"/>
  <c r="M117" i="54"/>
  <c r="V117" i="54" s="1"/>
  <c r="B117" i="54"/>
  <c r="A117" i="54"/>
  <c r="M116" i="54"/>
  <c r="B116" i="54"/>
  <c r="A116" i="54"/>
  <c r="B115" i="54"/>
  <c r="M114" i="54"/>
  <c r="B114" i="54"/>
  <c r="A114" i="54"/>
  <c r="N108" i="54"/>
  <c r="M106" i="54"/>
  <c r="V106" i="54" s="1"/>
  <c r="B106" i="54"/>
  <c r="A106" i="54"/>
  <c r="M105" i="54"/>
  <c r="T105" i="54" s="1"/>
  <c r="U105" i="54" s="1"/>
  <c r="B105" i="54"/>
  <c r="A105" i="54"/>
  <c r="M104" i="54"/>
  <c r="B104" i="54"/>
  <c r="A104" i="54"/>
  <c r="N102" i="54"/>
  <c r="B100" i="54"/>
  <c r="B99" i="54"/>
  <c r="B98" i="54"/>
  <c r="B97" i="54"/>
  <c r="B96" i="54"/>
  <c r="B95" i="54"/>
  <c r="B94" i="54"/>
  <c r="B93" i="54"/>
  <c r="N91" i="54"/>
  <c r="B89" i="54"/>
  <c r="A89" i="54"/>
  <c r="B88" i="54"/>
  <c r="A88" i="54"/>
  <c r="B87" i="54"/>
  <c r="A87" i="54"/>
  <c r="B86" i="54"/>
  <c r="A86" i="54"/>
  <c r="B85" i="54"/>
  <c r="A85" i="54"/>
  <c r="B84" i="54"/>
  <c r="A84" i="54"/>
  <c r="B83" i="54"/>
  <c r="A83" i="54"/>
  <c r="M82" i="54"/>
  <c r="T82" i="54" s="1"/>
  <c r="U82" i="54" s="1"/>
  <c r="B82" i="54"/>
  <c r="A82" i="54"/>
  <c r="M81" i="54"/>
  <c r="B81" i="54"/>
  <c r="A81" i="54"/>
  <c r="B80" i="54"/>
  <c r="A80" i="54"/>
  <c r="B79" i="54"/>
  <c r="A79" i="54"/>
  <c r="B78" i="54"/>
  <c r="A78" i="54"/>
  <c r="B77" i="54"/>
  <c r="A77" i="54"/>
  <c r="B76" i="54"/>
  <c r="A76" i="54"/>
  <c r="B75" i="54"/>
  <c r="A75" i="54"/>
  <c r="B74" i="54"/>
  <c r="A74" i="54"/>
  <c r="B73" i="54"/>
  <c r="A73" i="54"/>
  <c r="B72" i="54"/>
  <c r="A72" i="54"/>
  <c r="M71" i="54"/>
  <c r="B71" i="54"/>
  <c r="A71" i="54"/>
  <c r="B70" i="54"/>
  <c r="A70" i="54"/>
  <c r="B69" i="54"/>
  <c r="A69" i="54"/>
  <c r="B68" i="54"/>
  <c r="A68" i="54"/>
  <c r="B67" i="54"/>
  <c r="N65" i="54"/>
  <c r="B63" i="54"/>
  <c r="B62" i="54"/>
  <c r="B61" i="54"/>
  <c r="B60" i="54"/>
  <c r="B59" i="54"/>
  <c r="M58" i="54"/>
  <c r="V58" i="54" s="1"/>
  <c r="B58" i="54"/>
  <c r="A58" i="54"/>
  <c r="B57" i="54"/>
  <c r="B56" i="54"/>
  <c r="M55" i="54"/>
  <c r="V55" i="54" s="1"/>
  <c r="B55" i="54"/>
  <c r="A55" i="54"/>
  <c r="B54" i="54"/>
  <c r="M53" i="54"/>
  <c r="T53" i="54" s="1"/>
  <c r="U53" i="54" s="1"/>
  <c r="B53" i="54"/>
  <c r="A53" i="54"/>
  <c r="B52" i="54"/>
  <c r="B51" i="54"/>
  <c r="M50" i="54"/>
  <c r="V50" i="54" s="1"/>
  <c r="B50" i="54"/>
  <c r="A50" i="54"/>
  <c r="M49" i="54"/>
  <c r="T49" i="54" s="1"/>
  <c r="U49" i="54" s="1"/>
  <c r="B49" i="54"/>
  <c r="A49" i="54"/>
  <c r="B48" i="54"/>
  <c r="N46" i="54"/>
  <c r="B44" i="54"/>
  <c r="M43" i="54"/>
  <c r="V43" i="54" s="1"/>
  <c r="B43" i="54"/>
  <c r="A43" i="54"/>
  <c r="M42" i="54"/>
  <c r="V42" i="54" s="1"/>
  <c r="B42" i="54"/>
  <c r="A42" i="54"/>
  <c r="B41" i="54"/>
  <c r="A41" i="54"/>
  <c r="B40" i="54"/>
  <c r="A40" i="54"/>
  <c r="B39" i="54"/>
  <c r="A39" i="54"/>
  <c r="B38" i="54"/>
  <c r="A38" i="54"/>
  <c r="B37" i="54"/>
  <c r="A37" i="54"/>
  <c r="B36" i="54"/>
  <c r="A36" i="54"/>
  <c r="B35" i="54"/>
  <c r="A35" i="54"/>
  <c r="M34" i="54"/>
  <c r="V34" i="54" s="1"/>
  <c r="B34" i="54"/>
  <c r="A34" i="54"/>
  <c r="M33" i="54"/>
  <c r="V33" i="54" s="1"/>
  <c r="B33" i="54"/>
  <c r="A33" i="54"/>
  <c r="M32" i="54"/>
  <c r="T32" i="54" s="1"/>
  <c r="U32" i="54" s="1"/>
  <c r="B32" i="54"/>
  <c r="A32" i="54"/>
  <c r="B31" i="54"/>
  <c r="B30" i="54"/>
  <c r="N28" i="54"/>
  <c r="N18" i="54"/>
  <c r="M16" i="54"/>
  <c r="V16" i="54" s="1"/>
  <c r="B16" i="54"/>
  <c r="A16" i="54"/>
  <c r="M15" i="54"/>
  <c r="V15" i="54" s="1"/>
  <c r="B15" i="54"/>
  <c r="A15" i="54"/>
  <c r="M14" i="54"/>
  <c r="T14" i="54" s="1"/>
  <c r="U14" i="54" s="1"/>
  <c r="B14" i="54"/>
  <c r="A14" i="54"/>
  <c r="B13" i="54"/>
  <c r="M12" i="54"/>
  <c r="V12" i="54" s="1"/>
  <c r="B12" i="54"/>
  <c r="A12" i="54"/>
  <c r="B11" i="54"/>
  <c r="B10" i="54"/>
  <c r="M9" i="54"/>
  <c r="V9" i="54" s="1"/>
  <c r="B9" i="54"/>
  <c r="A9" i="54"/>
  <c r="M8" i="54"/>
  <c r="V8" i="54" s="1"/>
  <c r="B8" i="54"/>
  <c r="A8" i="54"/>
  <c r="B7" i="54"/>
  <c r="M4" i="54"/>
  <c r="B4" i="54"/>
  <c r="N4" i="54" s="1"/>
  <c r="B1" i="54"/>
  <c r="B14" i="45"/>
  <c r="B15" i="45"/>
  <c r="B165" i="45"/>
  <c r="B166" i="54" l="1"/>
  <c r="A169" i="54"/>
  <c r="J169" i="54" s="1"/>
  <c r="A164" i="69"/>
  <c r="A170" i="69" s="1"/>
  <c r="H124" i="54"/>
  <c r="I124" i="54" s="1"/>
  <c r="H88" i="54"/>
  <c r="I88" i="54" s="1"/>
  <c r="H55" i="54"/>
  <c r="I55" i="54" s="1"/>
  <c r="H87" i="54"/>
  <c r="I87" i="54" s="1"/>
  <c r="H134" i="54"/>
  <c r="I134" i="54" s="1"/>
  <c r="A164" i="54"/>
  <c r="H8" i="54"/>
  <c r="I8" i="54" s="1"/>
  <c r="M108" i="54"/>
  <c r="T108" i="54" s="1"/>
  <c r="U108" i="54" s="1"/>
  <c r="H41" i="54"/>
  <c r="I41" i="54" s="1"/>
  <c r="V150" i="54"/>
  <c r="V25" i="54"/>
  <c r="H25" i="54"/>
  <c r="I25" i="54" s="1"/>
  <c r="J165" i="54"/>
  <c r="H89" i="54"/>
  <c r="I89" i="54" s="1"/>
  <c r="B164" i="54"/>
  <c r="H135" i="54"/>
  <c r="I135" i="54" s="1"/>
  <c r="H143" i="54"/>
  <c r="I143" i="54" s="1"/>
  <c r="M164" i="54"/>
  <c r="V164" i="54" s="1"/>
  <c r="J137" i="54"/>
  <c r="H12" i="54"/>
  <c r="I12" i="54" s="1"/>
  <c r="H58" i="54"/>
  <c r="I58" i="54" s="1"/>
  <c r="H118" i="54"/>
  <c r="I118" i="54" s="1"/>
  <c r="H122" i="54"/>
  <c r="I122" i="54" s="1"/>
  <c r="J160" i="54"/>
  <c r="C4" i="54"/>
  <c r="O4" i="54" s="1"/>
  <c r="J15" i="54"/>
  <c r="H76" i="54"/>
  <c r="I76" i="54" s="1"/>
  <c r="H85" i="54"/>
  <c r="I85" i="54" s="1"/>
  <c r="J104" i="54"/>
  <c r="H117" i="54"/>
  <c r="I117" i="54" s="1"/>
  <c r="H121" i="54"/>
  <c r="I121" i="54" s="1"/>
  <c r="V123" i="54"/>
  <c r="J125" i="54"/>
  <c r="V138" i="54"/>
  <c r="H144" i="54"/>
  <c r="I144" i="54" s="1"/>
  <c r="M165" i="54"/>
  <c r="A166" i="54"/>
  <c r="J166" i="54" s="1"/>
  <c r="T50" i="54"/>
  <c r="U50" i="54" s="1"/>
  <c r="H68" i="54"/>
  <c r="I68" i="54" s="1"/>
  <c r="H142" i="54"/>
  <c r="I142" i="54" s="1"/>
  <c r="T148" i="54"/>
  <c r="U148" i="54" s="1"/>
  <c r="J41" i="54"/>
  <c r="H50" i="54"/>
  <c r="I50" i="54" s="1"/>
  <c r="H70" i="54"/>
  <c r="I70" i="54" s="1"/>
  <c r="H74" i="54"/>
  <c r="I74" i="54" s="1"/>
  <c r="H75" i="54"/>
  <c r="I75" i="54" s="1"/>
  <c r="H80" i="54"/>
  <c r="I80" i="54" s="1"/>
  <c r="H170" i="54"/>
  <c r="I170" i="54" s="1"/>
  <c r="J170" i="54" s="1"/>
  <c r="M166" i="54"/>
  <c r="V166" i="54" s="1"/>
  <c r="T9" i="54"/>
  <c r="U9" i="54" s="1"/>
  <c r="H14" i="54"/>
  <c r="I14" i="54" s="1"/>
  <c r="H38" i="54"/>
  <c r="I38" i="54" s="1"/>
  <c r="V82" i="54"/>
  <c r="B108" i="54"/>
  <c r="H105" i="54"/>
  <c r="I105" i="54" s="1"/>
  <c r="H114" i="54"/>
  <c r="I114" i="54" s="1"/>
  <c r="H138" i="54"/>
  <c r="I138" i="54" s="1"/>
  <c r="H139" i="54"/>
  <c r="I139" i="54" s="1"/>
  <c r="V142" i="54"/>
  <c r="H150" i="54"/>
  <c r="I150" i="54" s="1"/>
  <c r="H151" i="54"/>
  <c r="I151" i="54" s="1"/>
  <c r="H172" i="54"/>
  <c r="I172" i="54" s="1"/>
  <c r="J172" i="54" s="1"/>
  <c r="H9" i="54"/>
  <c r="I9" i="54" s="1"/>
  <c r="T15" i="54"/>
  <c r="U15" i="54" s="1"/>
  <c r="H33" i="54"/>
  <c r="I33" i="54" s="1"/>
  <c r="H37" i="54"/>
  <c r="I37" i="54" s="1"/>
  <c r="T106" i="54"/>
  <c r="U106" i="54" s="1"/>
  <c r="V134" i="54"/>
  <c r="J153" i="54"/>
  <c r="J157" i="54"/>
  <c r="H158" i="54"/>
  <c r="I158" i="54" s="1"/>
  <c r="H171" i="54"/>
  <c r="I171" i="54" s="1"/>
  <c r="J171" i="54" s="1"/>
  <c r="J70" i="54"/>
  <c r="H73" i="54"/>
  <c r="I73" i="54" s="1"/>
  <c r="H84" i="54"/>
  <c r="I84" i="54" s="1"/>
  <c r="J106" i="54"/>
  <c r="T125" i="54"/>
  <c r="U125" i="54" s="1"/>
  <c r="T132" i="54"/>
  <c r="U132" i="54" s="1"/>
  <c r="H140" i="54"/>
  <c r="I140" i="54" s="1"/>
  <c r="J25" i="54"/>
  <c r="H136" i="54"/>
  <c r="J141" i="54"/>
  <c r="J145" i="54"/>
  <c r="H152" i="54"/>
  <c r="I152" i="54" s="1"/>
  <c r="J68" i="54"/>
  <c r="J71" i="54"/>
  <c r="H39" i="54"/>
  <c r="I39" i="54" s="1"/>
  <c r="B28" i="54"/>
  <c r="T33" i="54"/>
  <c r="U33" i="54" s="1"/>
  <c r="H42" i="54"/>
  <c r="I42" i="54" s="1"/>
  <c r="J74" i="54"/>
  <c r="H78" i="54"/>
  <c r="I78" i="54" s="1"/>
  <c r="J83" i="54"/>
  <c r="J84" i="54"/>
  <c r="V121" i="54"/>
  <c r="H132" i="54"/>
  <c r="I132" i="54" s="1"/>
  <c r="J133" i="54"/>
  <c r="T140" i="54"/>
  <c r="U140" i="54" s="1"/>
  <c r="T144" i="54"/>
  <c r="U144" i="54" s="1"/>
  <c r="V146" i="54"/>
  <c r="H148" i="54"/>
  <c r="I148" i="54" s="1"/>
  <c r="J149" i="54"/>
  <c r="H154" i="54"/>
  <c r="I154" i="54" s="1"/>
  <c r="T156" i="54"/>
  <c r="U156" i="54" s="1"/>
  <c r="H16" i="54"/>
  <c r="I16" i="54" s="1"/>
  <c r="H35" i="54"/>
  <c r="I35" i="54" s="1"/>
  <c r="J37" i="54"/>
  <c r="H40" i="54"/>
  <c r="I40" i="54" s="1"/>
  <c r="J49" i="54"/>
  <c r="J53" i="54"/>
  <c r="J79" i="54"/>
  <c r="H125" i="54"/>
  <c r="I125" i="54" s="1"/>
  <c r="J32" i="54"/>
  <c r="J34" i="54"/>
  <c r="J36" i="54"/>
  <c r="B65" i="54"/>
  <c r="J58" i="54"/>
  <c r="J69" i="54"/>
  <c r="J72" i="54"/>
  <c r="J88" i="54"/>
  <c r="T136" i="54"/>
  <c r="H141" i="54"/>
  <c r="I141" i="54" s="1"/>
  <c r="H145" i="54"/>
  <c r="I145" i="54" s="1"/>
  <c r="H146" i="54"/>
  <c r="I146" i="54" s="1"/>
  <c r="H147" i="54"/>
  <c r="I147" i="54" s="1"/>
  <c r="T152" i="54"/>
  <c r="U152" i="54" s="1"/>
  <c r="J155" i="54"/>
  <c r="J8" i="54"/>
  <c r="B46" i="54"/>
  <c r="H32" i="54"/>
  <c r="I32" i="54" s="1"/>
  <c r="T43" i="54"/>
  <c r="U43" i="54" s="1"/>
  <c r="H49" i="54"/>
  <c r="I49" i="54" s="1"/>
  <c r="T58" i="54"/>
  <c r="U58" i="54" s="1"/>
  <c r="H71" i="54"/>
  <c r="I71" i="54" s="1"/>
  <c r="H81" i="54"/>
  <c r="I81" i="54" s="1"/>
  <c r="H83" i="54"/>
  <c r="I83" i="54" s="1"/>
  <c r="T104" i="54"/>
  <c r="U104" i="54" s="1"/>
  <c r="J117" i="54"/>
  <c r="T117" i="54"/>
  <c r="U117" i="54" s="1"/>
  <c r="H120" i="54"/>
  <c r="I120" i="54" s="1"/>
  <c r="J124" i="54"/>
  <c r="H155" i="54"/>
  <c r="I155" i="54" s="1"/>
  <c r="T157" i="54"/>
  <c r="U157" i="54" s="1"/>
  <c r="H159" i="54"/>
  <c r="I159" i="54" s="1"/>
  <c r="H15" i="54"/>
  <c r="I15" i="54" s="1"/>
  <c r="J16" i="54"/>
  <c r="H34" i="54"/>
  <c r="I34" i="54" s="1"/>
  <c r="H36" i="54"/>
  <c r="I36" i="54" s="1"/>
  <c r="J38" i="54"/>
  <c r="J40" i="54"/>
  <c r="J43" i="54"/>
  <c r="H53" i="54"/>
  <c r="I53" i="54" s="1"/>
  <c r="J55" i="54"/>
  <c r="H69" i="54"/>
  <c r="I69" i="54" s="1"/>
  <c r="H72" i="54"/>
  <c r="I72" i="54" s="1"/>
  <c r="J75" i="54"/>
  <c r="H77" i="54"/>
  <c r="I77" i="54" s="1"/>
  <c r="H79" i="54"/>
  <c r="I79" i="54" s="1"/>
  <c r="J80" i="54"/>
  <c r="H86" i="54"/>
  <c r="I86" i="54" s="1"/>
  <c r="V104" i="54"/>
  <c r="H106" i="54"/>
  <c r="I106" i="54" s="1"/>
  <c r="J132" i="54"/>
  <c r="J136" i="54"/>
  <c r="J140" i="54"/>
  <c r="J144" i="54"/>
  <c r="J148" i="54"/>
  <c r="J152" i="54"/>
  <c r="H157" i="54"/>
  <c r="I157" i="54" s="1"/>
  <c r="J33" i="54"/>
  <c r="J42" i="54"/>
  <c r="J50" i="54"/>
  <c r="J73" i="54"/>
  <c r="J76" i="54"/>
  <c r="H82" i="54"/>
  <c r="I82" i="54" s="1"/>
  <c r="J87" i="54"/>
  <c r="B102" i="54"/>
  <c r="J105" i="54"/>
  <c r="H116" i="54"/>
  <c r="I116" i="54" s="1"/>
  <c r="J121" i="54"/>
  <c r="H133" i="54"/>
  <c r="I133" i="54" s="1"/>
  <c r="J134" i="54"/>
  <c r="H137" i="54"/>
  <c r="J138" i="54"/>
  <c r="J142" i="54"/>
  <c r="J146" i="54"/>
  <c r="H149" i="54"/>
  <c r="I149" i="54" s="1"/>
  <c r="J150" i="54"/>
  <c r="H153" i="54"/>
  <c r="I153" i="54" s="1"/>
  <c r="J154" i="54"/>
  <c r="T154" i="54"/>
  <c r="U154" i="54" s="1"/>
  <c r="H156" i="54"/>
  <c r="I156" i="54" s="1"/>
  <c r="J158" i="54"/>
  <c r="T158" i="54"/>
  <c r="U158" i="54" s="1"/>
  <c r="V160" i="54"/>
  <c r="H173" i="54"/>
  <c r="I173" i="54" s="1"/>
  <c r="J173" i="54" s="1"/>
  <c r="B18" i="54"/>
  <c r="J12" i="54"/>
  <c r="J14" i="54"/>
  <c r="J9" i="54"/>
  <c r="V118" i="54"/>
  <c r="T118" i="54"/>
  <c r="U118" i="54" s="1"/>
  <c r="T8" i="54"/>
  <c r="U8" i="54" s="1"/>
  <c r="T12" i="54"/>
  <c r="U12" i="54" s="1"/>
  <c r="V14" i="54"/>
  <c r="T16" i="54"/>
  <c r="U16" i="54" s="1"/>
  <c r="V32" i="54"/>
  <c r="T34" i="54"/>
  <c r="U34" i="54" s="1"/>
  <c r="T42" i="54"/>
  <c r="U42" i="54" s="1"/>
  <c r="V49" i="54"/>
  <c r="V53" i="54"/>
  <c r="T55" i="54"/>
  <c r="U55" i="54" s="1"/>
  <c r="T71" i="54"/>
  <c r="U71" i="54" s="1"/>
  <c r="V71" i="54"/>
  <c r="J77" i="54"/>
  <c r="J81" i="54"/>
  <c r="J85" i="54"/>
  <c r="J89" i="54"/>
  <c r="T120" i="54"/>
  <c r="U120" i="54" s="1"/>
  <c r="V120" i="54"/>
  <c r="J35" i="54"/>
  <c r="J39" i="54"/>
  <c r="H43" i="54"/>
  <c r="I43" i="54" s="1"/>
  <c r="J78" i="54"/>
  <c r="J82" i="54"/>
  <c r="J86" i="54"/>
  <c r="A108" i="54"/>
  <c r="J108" i="54" s="1"/>
  <c r="H104" i="54"/>
  <c r="I104" i="54" s="1"/>
  <c r="V114" i="54"/>
  <c r="T114" i="54"/>
  <c r="U114" i="54" s="1"/>
  <c r="B162" i="54"/>
  <c r="B175" i="54" s="1"/>
  <c r="V155" i="54"/>
  <c r="T155" i="54"/>
  <c r="U155" i="54" s="1"/>
  <c r="N110" i="54"/>
  <c r="B91" i="54"/>
  <c r="V81" i="54"/>
  <c r="T81" i="54"/>
  <c r="U81" i="54" s="1"/>
  <c r="T116" i="54"/>
  <c r="U116" i="54" s="1"/>
  <c r="V116" i="54"/>
  <c r="H123" i="54"/>
  <c r="I123" i="54" s="1"/>
  <c r="J123" i="54"/>
  <c r="V105" i="54"/>
  <c r="J116" i="54"/>
  <c r="J118" i="54"/>
  <c r="J120" i="54"/>
  <c r="J122" i="54"/>
  <c r="B127" i="54"/>
  <c r="V131" i="54"/>
  <c r="M162" i="54"/>
  <c r="T131" i="54"/>
  <c r="V135" i="54"/>
  <c r="T135" i="54"/>
  <c r="U135" i="54" s="1"/>
  <c r="V139" i="54"/>
  <c r="T139" i="54"/>
  <c r="U139" i="54" s="1"/>
  <c r="V143" i="54"/>
  <c r="T143" i="54"/>
  <c r="U143" i="54" s="1"/>
  <c r="V147" i="54"/>
  <c r="T147" i="54"/>
  <c r="U147" i="54" s="1"/>
  <c r="V151" i="54"/>
  <c r="T151" i="54"/>
  <c r="U151" i="54" s="1"/>
  <c r="V159" i="54"/>
  <c r="T159" i="54"/>
  <c r="U159" i="54" s="1"/>
  <c r="V122" i="54"/>
  <c r="T122" i="54"/>
  <c r="U122" i="54" s="1"/>
  <c r="J131" i="54"/>
  <c r="J135" i="54"/>
  <c r="J139" i="54"/>
  <c r="J143" i="54"/>
  <c r="J147" i="54"/>
  <c r="J151" i="54"/>
  <c r="J156" i="54"/>
  <c r="J159" i="54"/>
  <c r="H160" i="54"/>
  <c r="I160" i="54" s="1"/>
  <c r="V124" i="54"/>
  <c r="V133" i="54"/>
  <c r="V137" i="54"/>
  <c r="V141" i="54"/>
  <c r="V145" i="54"/>
  <c r="V149" i="54"/>
  <c r="V153" i="54"/>
  <c r="A162" i="54"/>
  <c r="A175" i="54" s="1"/>
  <c r="J114" i="54"/>
  <c r="A108" i="51"/>
  <c r="A162" i="51"/>
  <c r="A170" i="51" s="1"/>
  <c r="J15" i="45"/>
  <c r="H15" i="45"/>
  <c r="I15" i="45" s="1"/>
  <c r="J14" i="45"/>
  <c r="H14" i="45"/>
  <c r="I14" i="45" s="1"/>
  <c r="B168" i="45"/>
  <c r="H168" i="45" s="1"/>
  <c r="I168" i="45" s="1"/>
  <c r="J168" i="45" s="1"/>
  <c r="B167" i="45"/>
  <c r="H167" i="45" s="1"/>
  <c r="I167" i="45" s="1"/>
  <c r="J167" i="45" s="1"/>
  <c r="B166" i="45"/>
  <c r="H166" i="45" s="1"/>
  <c r="I166" i="45" s="1"/>
  <c r="J166" i="45" s="1"/>
  <c r="B164" i="45"/>
  <c r="B160" i="45"/>
  <c r="B159" i="45"/>
  <c r="J159" i="45" s="1"/>
  <c r="B158" i="45"/>
  <c r="J158" i="45" s="1"/>
  <c r="B157" i="45"/>
  <c r="B156" i="45"/>
  <c r="J156" i="45" s="1"/>
  <c r="B155" i="45"/>
  <c r="J155" i="45" s="1"/>
  <c r="B154" i="45"/>
  <c r="J154" i="45" s="1"/>
  <c r="B153" i="45"/>
  <c r="B152" i="45"/>
  <c r="B151" i="45"/>
  <c r="H151" i="45" s="1"/>
  <c r="I151" i="45" s="1"/>
  <c r="B150" i="45"/>
  <c r="B149" i="45"/>
  <c r="H149" i="45" s="1"/>
  <c r="I149" i="45" s="1"/>
  <c r="B148" i="45"/>
  <c r="H148" i="45" s="1"/>
  <c r="I148" i="45" s="1"/>
  <c r="B147" i="45"/>
  <c r="J147" i="45" s="1"/>
  <c r="B146" i="45"/>
  <c r="H146" i="45" s="1"/>
  <c r="I146" i="45" s="1"/>
  <c r="B145" i="45"/>
  <c r="B144" i="45"/>
  <c r="J144" i="45" s="1"/>
  <c r="B143" i="45"/>
  <c r="H143" i="45" s="1"/>
  <c r="I143" i="45" s="1"/>
  <c r="B142" i="45"/>
  <c r="H142" i="45" s="1"/>
  <c r="I142" i="45" s="1"/>
  <c r="B141" i="45"/>
  <c r="B140" i="45"/>
  <c r="J140" i="45" s="1"/>
  <c r="B139" i="45"/>
  <c r="J139" i="45" s="1"/>
  <c r="B138" i="45"/>
  <c r="J138" i="45" s="1"/>
  <c r="B137" i="45"/>
  <c r="B136" i="45"/>
  <c r="J136" i="45" s="1"/>
  <c r="B135" i="45"/>
  <c r="J135" i="45" s="1"/>
  <c r="B134" i="45"/>
  <c r="J134" i="45" s="1"/>
  <c r="B133" i="45"/>
  <c r="J133" i="45" s="1"/>
  <c r="B132" i="45"/>
  <c r="H132" i="45" s="1"/>
  <c r="I132" i="45" s="1"/>
  <c r="B131" i="45"/>
  <c r="J131" i="45" s="1"/>
  <c r="B125" i="45"/>
  <c r="J125" i="45" s="1"/>
  <c r="B124" i="45"/>
  <c r="H124" i="45" s="1"/>
  <c r="I124" i="45" s="1"/>
  <c r="B123" i="45"/>
  <c r="H123" i="45" s="1"/>
  <c r="I123" i="45" s="1"/>
  <c r="B122" i="45"/>
  <c r="J122" i="45" s="1"/>
  <c r="B121" i="45"/>
  <c r="J121" i="45" s="1"/>
  <c r="B120" i="45"/>
  <c r="J120" i="45" s="1"/>
  <c r="B119" i="45"/>
  <c r="B118" i="45"/>
  <c r="H118" i="45" s="1"/>
  <c r="I118" i="45" s="1"/>
  <c r="B117" i="45"/>
  <c r="J117" i="45" s="1"/>
  <c r="B116" i="45"/>
  <c r="H116" i="45" s="1"/>
  <c r="I116" i="45" s="1"/>
  <c r="B115" i="45"/>
  <c r="B114" i="45"/>
  <c r="J114" i="45" s="1"/>
  <c r="B106" i="45"/>
  <c r="J106" i="45" s="1"/>
  <c r="B105" i="45"/>
  <c r="H105" i="45" s="1"/>
  <c r="I105" i="45" s="1"/>
  <c r="B104" i="45"/>
  <c r="B100" i="45"/>
  <c r="B99" i="45"/>
  <c r="B98" i="45"/>
  <c r="B97" i="45"/>
  <c r="B96" i="45"/>
  <c r="B95" i="45"/>
  <c r="B94" i="45"/>
  <c r="B93" i="45"/>
  <c r="B89" i="45"/>
  <c r="B88" i="45"/>
  <c r="B87" i="45"/>
  <c r="B86" i="45"/>
  <c r="B85" i="45"/>
  <c r="B84" i="45"/>
  <c r="B83" i="45"/>
  <c r="B82" i="45"/>
  <c r="H82" i="45" s="1"/>
  <c r="I82" i="45" s="1"/>
  <c r="B81" i="45"/>
  <c r="J81" i="45" s="1"/>
  <c r="B80" i="45"/>
  <c r="B79" i="45"/>
  <c r="B78" i="45"/>
  <c r="B77" i="45"/>
  <c r="B76" i="45"/>
  <c r="B75" i="45"/>
  <c r="B74" i="45"/>
  <c r="B73" i="45"/>
  <c r="B72" i="45"/>
  <c r="B71" i="45"/>
  <c r="J71" i="45" s="1"/>
  <c r="B70" i="45"/>
  <c r="B69" i="45"/>
  <c r="B68" i="45"/>
  <c r="B67" i="45"/>
  <c r="B63" i="45"/>
  <c r="B62" i="45"/>
  <c r="B61" i="45"/>
  <c r="B60" i="45"/>
  <c r="B59" i="45"/>
  <c r="B58" i="45"/>
  <c r="H58" i="45" s="1"/>
  <c r="I58" i="45" s="1"/>
  <c r="B57" i="45"/>
  <c r="B56" i="45"/>
  <c r="B55" i="45"/>
  <c r="J55" i="45" s="1"/>
  <c r="B54" i="45"/>
  <c r="B53" i="45"/>
  <c r="H53" i="45" s="1"/>
  <c r="I53" i="45" s="1"/>
  <c r="B52" i="45"/>
  <c r="B51" i="45"/>
  <c r="B50" i="45"/>
  <c r="B49" i="45"/>
  <c r="H49" i="45" s="1"/>
  <c r="I49" i="45" s="1"/>
  <c r="B48" i="45"/>
  <c r="B44" i="45"/>
  <c r="B43" i="45"/>
  <c r="H43" i="45" s="1"/>
  <c r="I43" i="45" s="1"/>
  <c r="B42" i="45"/>
  <c r="J42" i="45" s="1"/>
  <c r="B41" i="45"/>
  <c r="B40" i="45"/>
  <c r="B39" i="45"/>
  <c r="B38" i="45"/>
  <c r="B37" i="45"/>
  <c r="B36" i="45"/>
  <c r="B35" i="45"/>
  <c r="B34" i="45"/>
  <c r="H34" i="45" s="1"/>
  <c r="I34" i="45" s="1"/>
  <c r="B33" i="45"/>
  <c r="J33" i="45" s="1"/>
  <c r="B32" i="45"/>
  <c r="J32" i="45" s="1"/>
  <c r="B31" i="45"/>
  <c r="B30" i="45"/>
  <c r="B26" i="45"/>
  <c r="B25" i="45"/>
  <c r="H25" i="45" s="1"/>
  <c r="I25" i="45" s="1"/>
  <c r="B24" i="45"/>
  <c r="B23" i="45"/>
  <c r="B22" i="45"/>
  <c r="B21" i="45"/>
  <c r="B20" i="45"/>
  <c r="B8" i="45"/>
  <c r="J8" i="45" s="1"/>
  <c r="B9" i="45"/>
  <c r="B10" i="45"/>
  <c r="B11" i="45"/>
  <c r="B12" i="45"/>
  <c r="H12" i="45" s="1"/>
  <c r="I12" i="45" s="1"/>
  <c r="B13" i="45"/>
  <c r="B16" i="45"/>
  <c r="J16" i="45" s="1"/>
  <c r="M8" i="45"/>
  <c r="M12" i="45"/>
  <c r="M15" i="45"/>
  <c r="M43" i="45"/>
  <c r="M71" i="45"/>
  <c r="M104" i="45"/>
  <c r="M131" i="45"/>
  <c r="M135" i="45"/>
  <c r="M139" i="45"/>
  <c r="M143" i="45"/>
  <c r="M147" i="45"/>
  <c r="M151" i="45"/>
  <c r="M155" i="45"/>
  <c r="M159" i="45"/>
  <c r="M169" i="54"/>
  <c r="V169" i="54" s="1"/>
  <c r="M166" i="45"/>
  <c r="M168" i="45"/>
  <c r="M167" i="45"/>
  <c r="M164" i="45"/>
  <c r="M160" i="45"/>
  <c r="M158" i="45"/>
  <c r="M157" i="45"/>
  <c r="M156" i="45"/>
  <c r="M154" i="45"/>
  <c r="M153" i="45"/>
  <c r="M152" i="45"/>
  <c r="M150" i="45"/>
  <c r="M149" i="45"/>
  <c r="M148" i="45"/>
  <c r="M146" i="45"/>
  <c r="M145" i="45"/>
  <c r="M144" i="45"/>
  <c r="M142" i="45"/>
  <c r="M141" i="45"/>
  <c r="M140" i="45"/>
  <c r="M138" i="45"/>
  <c r="M137" i="45"/>
  <c r="M136" i="45"/>
  <c r="M134" i="45"/>
  <c r="M133" i="45"/>
  <c r="M132" i="45"/>
  <c r="M125" i="45"/>
  <c r="M124" i="45"/>
  <c r="M123" i="45"/>
  <c r="M122" i="45"/>
  <c r="M121" i="45"/>
  <c r="M120" i="45"/>
  <c r="M118" i="45"/>
  <c r="M117" i="45"/>
  <c r="M116" i="45"/>
  <c r="M114" i="45"/>
  <c r="M106" i="45"/>
  <c r="M105" i="45"/>
  <c r="M82" i="45"/>
  <c r="M81" i="45"/>
  <c r="M58" i="45"/>
  <c r="M55" i="45"/>
  <c r="M53" i="45"/>
  <c r="M50" i="45"/>
  <c r="M49" i="45"/>
  <c r="M42" i="45"/>
  <c r="M34" i="45"/>
  <c r="M33" i="45"/>
  <c r="M32" i="45"/>
  <c r="M25" i="45"/>
  <c r="M9" i="45"/>
  <c r="M14" i="45"/>
  <c r="M16" i="45"/>
  <c r="N127" i="45"/>
  <c r="Q127" i="45" s="1"/>
  <c r="R127" i="45" s="1"/>
  <c r="N18" i="45"/>
  <c r="Q18" i="45" s="1"/>
  <c r="S18" i="45" s="1"/>
  <c r="N28" i="45"/>
  <c r="Q28" i="45" s="1"/>
  <c r="N46" i="45"/>
  <c r="Q46" i="45" s="1"/>
  <c r="S46" i="45" s="1"/>
  <c r="N65" i="45"/>
  <c r="Q65" i="45" s="1"/>
  <c r="S65" i="45" s="1"/>
  <c r="N91" i="45"/>
  <c r="Q91" i="45" s="1"/>
  <c r="S91" i="45" s="1"/>
  <c r="N102" i="45"/>
  <c r="N108" i="45"/>
  <c r="Q108" i="45" s="1"/>
  <c r="S108" i="45" s="1"/>
  <c r="G170" i="45"/>
  <c r="G172" i="45" s="1"/>
  <c r="F170" i="45"/>
  <c r="F172" i="45" s="1"/>
  <c r="E170" i="45"/>
  <c r="E172" i="45" s="1"/>
  <c r="D170" i="45"/>
  <c r="D172" i="45" s="1"/>
  <c r="C170" i="45"/>
  <c r="C172" i="45" s="1"/>
  <c r="P172" i="45"/>
  <c r="H165" i="45"/>
  <c r="I165" i="45" s="1"/>
  <c r="J165" i="45" s="1"/>
  <c r="H164" i="45"/>
  <c r="I164" i="45" s="1"/>
  <c r="J160" i="45"/>
  <c r="J157" i="45"/>
  <c r="H153" i="45"/>
  <c r="I153" i="45" s="1"/>
  <c r="J152" i="45"/>
  <c r="J150" i="45"/>
  <c r="H145" i="45"/>
  <c r="I145" i="45" s="1"/>
  <c r="J141" i="45"/>
  <c r="H137" i="45"/>
  <c r="I137" i="45" s="1"/>
  <c r="H169" i="54" l="1"/>
  <c r="I169" i="54" s="1"/>
  <c r="H156" i="45"/>
  <c r="I156" i="45" s="1"/>
  <c r="J142" i="45"/>
  <c r="H158" i="45"/>
  <c r="I158" i="45" s="1"/>
  <c r="J149" i="45"/>
  <c r="V164" i="45"/>
  <c r="T164" i="45"/>
  <c r="U164" i="45" s="1"/>
  <c r="N166" i="69"/>
  <c r="V166" i="45"/>
  <c r="T166" i="45"/>
  <c r="U166" i="45" s="1"/>
  <c r="N167" i="69"/>
  <c r="V167" i="45"/>
  <c r="T167" i="45"/>
  <c r="U167" i="45" s="1"/>
  <c r="N168" i="69"/>
  <c r="V168" i="45"/>
  <c r="T168" i="45"/>
  <c r="U168" i="45" s="1"/>
  <c r="V146" i="45"/>
  <c r="T146" i="45"/>
  <c r="U146" i="45" s="1"/>
  <c r="V157" i="45"/>
  <c r="T157" i="45"/>
  <c r="U157" i="45" s="1"/>
  <c r="N135" i="69"/>
  <c r="T135" i="45"/>
  <c r="U135" i="45" s="1"/>
  <c r="V135" i="45"/>
  <c r="T132" i="45"/>
  <c r="U132" i="45" s="1"/>
  <c r="V132" i="45"/>
  <c r="V137" i="45"/>
  <c r="T137" i="45"/>
  <c r="U137" i="45" s="1"/>
  <c r="V142" i="45"/>
  <c r="T142" i="45"/>
  <c r="U142" i="45" s="1"/>
  <c r="V148" i="45"/>
  <c r="T148" i="45"/>
  <c r="U148" i="45" s="1"/>
  <c r="V153" i="45"/>
  <c r="T153" i="45"/>
  <c r="U153" i="45" s="1"/>
  <c r="V158" i="45"/>
  <c r="T158" i="45"/>
  <c r="U158" i="45" s="1"/>
  <c r="N147" i="69"/>
  <c r="V147" i="45"/>
  <c r="T147" i="45"/>
  <c r="U147" i="45" s="1"/>
  <c r="N131" i="69"/>
  <c r="M162" i="45"/>
  <c r="V131" i="45"/>
  <c r="T131" i="45"/>
  <c r="U131" i="45" s="1"/>
  <c r="V141" i="45"/>
  <c r="T141" i="45"/>
  <c r="U141" i="45" s="1"/>
  <c r="V138" i="45"/>
  <c r="T138" i="45"/>
  <c r="U138" i="45" s="1"/>
  <c r="V149" i="45"/>
  <c r="T149" i="45"/>
  <c r="U149" i="45" s="1"/>
  <c r="N160" i="69"/>
  <c r="V160" i="45"/>
  <c r="T160" i="45"/>
  <c r="U160" i="45" s="1"/>
  <c r="N143" i="69"/>
  <c r="V143" i="45"/>
  <c r="T143" i="45"/>
  <c r="U143" i="45" s="1"/>
  <c r="T136" i="45"/>
  <c r="U136" i="45" s="1"/>
  <c r="V136" i="45"/>
  <c r="V152" i="45"/>
  <c r="T152" i="45"/>
  <c r="U152" i="45" s="1"/>
  <c r="N151" i="69"/>
  <c r="V151" i="45"/>
  <c r="T151" i="45"/>
  <c r="U151" i="45" s="1"/>
  <c r="V133" i="45"/>
  <c r="T133" i="45"/>
  <c r="U133" i="45" s="1"/>
  <c r="V144" i="45"/>
  <c r="T144" i="45"/>
  <c r="U144" i="45" s="1"/>
  <c r="V154" i="45"/>
  <c r="T154" i="45"/>
  <c r="U154" i="45" s="1"/>
  <c r="N159" i="69"/>
  <c r="V159" i="45"/>
  <c r="T159" i="45"/>
  <c r="U159" i="45" s="1"/>
  <c r="T134" i="45"/>
  <c r="U134" i="45" s="1"/>
  <c r="V134" i="45"/>
  <c r="V140" i="45"/>
  <c r="T140" i="45"/>
  <c r="U140" i="45" s="1"/>
  <c r="V145" i="45"/>
  <c r="T145" i="45"/>
  <c r="U145" i="45" s="1"/>
  <c r="V150" i="45"/>
  <c r="T150" i="45"/>
  <c r="U150" i="45" s="1"/>
  <c r="V156" i="45"/>
  <c r="T156" i="45"/>
  <c r="U156" i="45" s="1"/>
  <c r="N155" i="69"/>
  <c r="V155" i="45"/>
  <c r="T155" i="45"/>
  <c r="U155" i="45" s="1"/>
  <c r="N139" i="69"/>
  <c r="V139" i="45"/>
  <c r="T139" i="45"/>
  <c r="U139" i="45" s="1"/>
  <c r="V81" i="45"/>
  <c r="T81" i="45"/>
  <c r="U81" i="45" s="1"/>
  <c r="T55" i="45"/>
  <c r="U55" i="45" s="1"/>
  <c r="V55" i="45"/>
  <c r="V53" i="45"/>
  <c r="T53" i="45"/>
  <c r="U53" i="45" s="1"/>
  <c r="V50" i="45"/>
  <c r="T50" i="45"/>
  <c r="U50" i="45" s="1"/>
  <c r="T58" i="45"/>
  <c r="U58" i="45" s="1"/>
  <c r="V58" i="45"/>
  <c r="T82" i="45"/>
  <c r="U82" i="45" s="1"/>
  <c r="V82" i="45"/>
  <c r="T106" i="45"/>
  <c r="U106" i="45" s="1"/>
  <c r="V106" i="45"/>
  <c r="V117" i="45"/>
  <c r="T117" i="45"/>
  <c r="U117" i="45" s="1"/>
  <c r="V121" i="45"/>
  <c r="T121" i="45"/>
  <c r="U121" i="45" s="1"/>
  <c r="V125" i="45"/>
  <c r="T125" i="45"/>
  <c r="U125" i="45" s="1"/>
  <c r="N43" i="69"/>
  <c r="V43" i="45"/>
  <c r="T43" i="45"/>
  <c r="U43" i="45" s="1"/>
  <c r="N12" i="69"/>
  <c r="T12" i="45"/>
  <c r="U12" i="45" s="1"/>
  <c r="V12" i="45"/>
  <c r="T16" i="45"/>
  <c r="U16" i="45" s="1"/>
  <c r="V16" i="45"/>
  <c r="V9" i="45"/>
  <c r="T9" i="45"/>
  <c r="U9" i="45" s="1"/>
  <c r="T32" i="45"/>
  <c r="U32" i="45" s="1"/>
  <c r="V32" i="45"/>
  <c r="T114" i="45"/>
  <c r="U114" i="45" s="1"/>
  <c r="V114" i="45"/>
  <c r="V118" i="45"/>
  <c r="T118" i="45"/>
  <c r="U118" i="45" s="1"/>
  <c r="T122" i="45"/>
  <c r="U122" i="45" s="1"/>
  <c r="V122" i="45"/>
  <c r="T14" i="45"/>
  <c r="U14" i="45" s="1"/>
  <c r="V14" i="45"/>
  <c r="V25" i="45"/>
  <c r="T25" i="45"/>
  <c r="U25" i="45" s="1"/>
  <c r="V33" i="45"/>
  <c r="T33" i="45"/>
  <c r="U33" i="45" s="1"/>
  <c r="T49" i="45"/>
  <c r="U49" i="45" s="1"/>
  <c r="V49" i="45"/>
  <c r="V123" i="45"/>
  <c r="T123" i="45"/>
  <c r="U123" i="45" s="1"/>
  <c r="T104" i="45"/>
  <c r="U104" i="45" s="1"/>
  <c r="V104" i="45"/>
  <c r="N71" i="69"/>
  <c r="T71" i="45"/>
  <c r="U71" i="45" s="1"/>
  <c r="V71" i="45"/>
  <c r="N8" i="69"/>
  <c r="T8" i="45"/>
  <c r="U8" i="45" s="1"/>
  <c r="V8" i="45"/>
  <c r="V34" i="45"/>
  <c r="T34" i="45"/>
  <c r="U34" i="45" s="1"/>
  <c r="T42" i="45"/>
  <c r="U42" i="45" s="1"/>
  <c r="V42" i="45"/>
  <c r="V105" i="45"/>
  <c r="T105" i="45"/>
  <c r="U105" i="45" s="1"/>
  <c r="V116" i="45"/>
  <c r="T116" i="45"/>
  <c r="U116" i="45" s="1"/>
  <c r="T120" i="45"/>
  <c r="U120" i="45" s="1"/>
  <c r="V120" i="45"/>
  <c r="V124" i="45"/>
  <c r="T124" i="45"/>
  <c r="U124" i="45" s="1"/>
  <c r="N15" i="69"/>
  <c r="T15" i="45"/>
  <c r="U15" i="45" s="1"/>
  <c r="V15" i="45"/>
  <c r="S110" i="45"/>
  <c r="S112" i="45" s="1"/>
  <c r="P164" i="51"/>
  <c r="N105" i="69"/>
  <c r="N104" i="69"/>
  <c r="N164" i="69"/>
  <c r="N132" i="69"/>
  <c r="N142" i="69"/>
  <c r="N153" i="69"/>
  <c r="N154" i="69"/>
  <c r="N156" i="69"/>
  <c r="N144" i="69"/>
  <c r="N136" i="69"/>
  <c r="N146" i="69"/>
  <c r="N157" i="69"/>
  <c r="N137" i="69"/>
  <c r="N148" i="69"/>
  <c r="N158" i="69"/>
  <c r="N134" i="69"/>
  <c r="N138" i="69"/>
  <c r="N149" i="69"/>
  <c r="N140" i="69"/>
  <c r="N150" i="69"/>
  <c r="N133" i="69"/>
  <c r="N145" i="69"/>
  <c r="N141" i="69"/>
  <c r="N152" i="69"/>
  <c r="N114" i="69"/>
  <c r="N118" i="69"/>
  <c r="N122" i="69"/>
  <c r="N123" i="69"/>
  <c r="N116" i="69"/>
  <c r="N120" i="69"/>
  <c r="N124" i="69"/>
  <c r="N117" i="69"/>
  <c r="N121" i="69"/>
  <c r="N125" i="69"/>
  <c r="N16" i="69"/>
  <c r="N9" i="69"/>
  <c r="N14" i="69"/>
  <c r="N25" i="69"/>
  <c r="N32" i="69"/>
  <c r="N33" i="69"/>
  <c r="N34" i="69"/>
  <c r="N42" i="69"/>
  <c r="N49" i="69"/>
  <c r="N53" i="69"/>
  <c r="N50" i="69"/>
  <c r="N58" i="69"/>
  <c r="N55" i="69"/>
  <c r="N81" i="69"/>
  <c r="N82" i="69"/>
  <c r="M108" i="45"/>
  <c r="N106" i="69"/>
  <c r="J164" i="54"/>
  <c r="V108" i="54"/>
  <c r="B108" i="45"/>
  <c r="J82" i="45"/>
  <c r="H131" i="45"/>
  <c r="I131" i="45" s="1"/>
  <c r="H135" i="45"/>
  <c r="I135" i="45" s="1"/>
  <c r="J143" i="45"/>
  <c r="H140" i="45"/>
  <c r="I140" i="45" s="1"/>
  <c r="J148" i="45"/>
  <c r="B91" i="45"/>
  <c r="B162" i="45"/>
  <c r="B170" i="45" s="1"/>
  <c r="J118" i="45"/>
  <c r="H139" i="45"/>
  <c r="I139" i="45" s="1"/>
  <c r="B102" i="45"/>
  <c r="J104" i="45"/>
  <c r="J123" i="45"/>
  <c r="J105" i="45"/>
  <c r="H106" i="45"/>
  <c r="I106" i="45" s="1"/>
  <c r="H117" i="45"/>
  <c r="I117" i="45" s="1"/>
  <c r="H71" i="45"/>
  <c r="I71" i="45" s="1"/>
  <c r="H81" i="45"/>
  <c r="I81" i="45" s="1"/>
  <c r="J116" i="45"/>
  <c r="B127" i="45"/>
  <c r="H42" i="45"/>
  <c r="I42" i="45" s="1"/>
  <c r="J12" i="45"/>
  <c r="B65" i="45"/>
  <c r="H9" i="45"/>
  <c r="I9" i="45" s="1"/>
  <c r="J49" i="45"/>
  <c r="B18" i="45"/>
  <c r="H16" i="45"/>
  <c r="I16" i="45" s="1"/>
  <c r="H55" i="45"/>
  <c r="I55" i="45" s="1"/>
  <c r="H33" i="45"/>
  <c r="I33" i="45" s="1"/>
  <c r="J34" i="45"/>
  <c r="B28" i="45"/>
  <c r="J53" i="45"/>
  <c r="J58" i="45"/>
  <c r="J43" i="45"/>
  <c r="N110" i="45"/>
  <c r="H32" i="45"/>
  <c r="I32" i="45" s="1"/>
  <c r="B46" i="45"/>
  <c r="T169" i="54"/>
  <c r="U169" i="54" s="1"/>
  <c r="D4" i="54"/>
  <c r="P4" i="54" s="1"/>
  <c r="U136" i="54"/>
  <c r="U165" i="54" s="1"/>
  <c r="T165" i="54"/>
  <c r="I137" i="54"/>
  <c r="H166" i="54"/>
  <c r="I166" i="54" s="1"/>
  <c r="I136" i="54"/>
  <c r="H165" i="54"/>
  <c r="I165" i="54" s="1"/>
  <c r="U131" i="54"/>
  <c r="T164" i="54"/>
  <c r="U164" i="54" s="1"/>
  <c r="T166" i="54"/>
  <c r="U166" i="54" s="1"/>
  <c r="H164" i="54"/>
  <c r="I164" i="54" s="1"/>
  <c r="J162" i="54"/>
  <c r="J175" i="54" s="1"/>
  <c r="V162" i="54"/>
  <c r="T162" i="54"/>
  <c r="U162" i="54" s="1"/>
  <c r="H162" i="54"/>
  <c r="H175" i="54" s="1"/>
  <c r="I131" i="54"/>
  <c r="H108" i="54"/>
  <c r="I108" i="54" s="1"/>
  <c r="N112" i="54"/>
  <c r="B110" i="54"/>
  <c r="H125" i="45"/>
  <c r="I125" i="45" s="1"/>
  <c r="J124" i="45"/>
  <c r="H122" i="45"/>
  <c r="I122" i="45" s="1"/>
  <c r="H121" i="45"/>
  <c r="I121" i="45" s="1"/>
  <c r="H120" i="45"/>
  <c r="I120" i="45" s="1"/>
  <c r="H114" i="45"/>
  <c r="I114" i="45" s="1"/>
  <c r="J9" i="45"/>
  <c r="H8" i="45"/>
  <c r="I8" i="45" s="1"/>
  <c r="J50" i="45"/>
  <c r="H50" i="45"/>
  <c r="I50" i="45" s="1"/>
  <c r="H104" i="45"/>
  <c r="I104" i="45" s="1"/>
  <c r="A108" i="45"/>
  <c r="J25" i="45"/>
  <c r="J164" i="45"/>
  <c r="J151" i="45"/>
  <c r="H152" i="45"/>
  <c r="I152" i="45" s="1"/>
  <c r="H150" i="45"/>
  <c r="I150" i="45" s="1"/>
  <c r="H147" i="45"/>
  <c r="I147" i="45" s="1"/>
  <c r="J146" i="45"/>
  <c r="H160" i="45"/>
  <c r="I160" i="45" s="1"/>
  <c r="H159" i="45"/>
  <c r="I159" i="45" s="1"/>
  <c r="H155" i="45"/>
  <c r="I155" i="45" s="1"/>
  <c r="J153" i="45"/>
  <c r="H157" i="45"/>
  <c r="I157" i="45" s="1"/>
  <c r="H154" i="45"/>
  <c r="I154" i="45" s="1"/>
  <c r="H141" i="45"/>
  <c r="I141" i="45" s="1"/>
  <c r="H144" i="45"/>
  <c r="I144" i="45" s="1"/>
  <c r="J145" i="45"/>
  <c r="H138" i="45"/>
  <c r="I138" i="45" s="1"/>
  <c r="H136" i="45"/>
  <c r="I136" i="45" s="1"/>
  <c r="J137" i="45"/>
  <c r="H134" i="45"/>
  <c r="I134" i="45" s="1"/>
  <c r="H133" i="45"/>
  <c r="I133" i="45" s="1"/>
  <c r="J132" i="45"/>
  <c r="A162" i="45"/>
  <c r="A170" i="45" s="1"/>
  <c r="B4" i="45"/>
  <c r="N4" i="45" s="1"/>
  <c r="R164" i="51" l="1"/>
  <c r="V164" i="51"/>
  <c r="E4" i="54"/>
  <c r="C3" i="72"/>
  <c r="V162" i="45"/>
  <c r="T162" i="45"/>
  <c r="N108" i="69"/>
  <c r="V108" i="45"/>
  <c r="T108" i="45"/>
  <c r="U108" i="45" s="1"/>
  <c r="S129" i="45"/>
  <c r="N112" i="45"/>
  <c r="Q112" i="45" s="1"/>
  <c r="Q110" i="45"/>
  <c r="P164" i="69"/>
  <c r="N162" i="69"/>
  <c r="J108" i="45"/>
  <c r="H108" i="45"/>
  <c r="I108" i="45" s="1"/>
  <c r="B110" i="45"/>
  <c r="B112" i="45" s="1"/>
  <c r="B129" i="45" s="1"/>
  <c r="I162" i="54"/>
  <c r="I175" i="54" s="1"/>
  <c r="B112" i="54"/>
  <c r="N129" i="54"/>
  <c r="F4" i="54"/>
  <c r="Q4" i="54"/>
  <c r="J162" i="45"/>
  <c r="J170" i="45" s="1"/>
  <c r="I162" i="45"/>
  <c r="I170" i="45" s="1"/>
  <c r="H162" i="45"/>
  <c r="H170" i="45" s="1"/>
  <c r="C4" i="45"/>
  <c r="D4" i="45" s="1"/>
  <c r="E4" i="45" s="1"/>
  <c r="U162" i="45" l="1"/>
  <c r="N129" i="45"/>
  <c r="S172" i="45"/>
  <c r="N177" i="54"/>
  <c r="B129" i="54"/>
  <c r="G4" i="54"/>
  <c r="R4" i="54"/>
  <c r="B172" i="45"/>
  <c r="O4" i="45"/>
  <c r="P4" i="45"/>
  <c r="F4" i="45"/>
  <c r="Q4" i="45"/>
  <c r="N172" i="45" l="1"/>
  <c r="Q129" i="45"/>
  <c r="S4" i="54"/>
  <c r="H4" i="54"/>
  <c r="B177" i="54"/>
  <c r="G4" i="45"/>
  <c r="R4" i="45"/>
  <c r="Q172" i="45" l="1"/>
  <c r="R129" i="45"/>
  <c r="R172" i="45" s="1"/>
  <c r="T4" i="54"/>
  <c r="U4" i="54" s="1"/>
  <c r="I4" i="54"/>
  <c r="J4" i="54" s="1"/>
  <c r="V4" i="54" s="1"/>
  <c r="H4" i="45"/>
  <c r="S4" i="45"/>
  <c r="I4" i="45" l="1"/>
  <c r="T4" i="45"/>
  <c r="U4" i="45" s="1"/>
  <c r="J4" i="45" l="1"/>
  <c r="V4" i="45" s="1"/>
  <c r="O4" i="41" l="1"/>
  <c r="P4" i="41" s="1"/>
  <c r="AA26" i="41"/>
  <c r="AB26" i="41" s="1"/>
  <c r="X26" i="41"/>
  <c r="AC13" i="41"/>
  <c r="AA11" i="41"/>
  <c r="AB11" i="41" s="1"/>
  <c r="U4" i="41"/>
  <c r="T27" i="41"/>
  <c r="R4" i="41" l="1"/>
  <c r="Q4" i="41"/>
  <c r="S4" i="41"/>
  <c r="T21" i="41" l="1"/>
  <c r="T25" i="41"/>
  <c r="T20" i="41"/>
  <c r="T19" i="41"/>
  <c r="P27" i="41"/>
  <c r="T22" i="41"/>
  <c r="T24" i="41"/>
  <c r="T16" i="41"/>
  <c r="T9" i="41"/>
  <c r="T31" i="41"/>
  <c r="T23" i="41"/>
  <c r="T15" i="41"/>
  <c r="T8" i="41"/>
  <c r="T18" i="41"/>
  <c r="T14" i="41"/>
  <c r="T33" i="41"/>
  <c r="T17" i="41"/>
  <c r="T13" i="41"/>
  <c r="L14" i="41" l="1"/>
  <c r="G17" i="41"/>
  <c r="I18" i="41"/>
  <c r="D13" i="41"/>
  <c r="D12" i="41" s="1"/>
  <c r="K14" i="41"/>
  <c r="D16" i="41"/>
  <c r="D14" i="41"/>
  <c r="E13" i="41"/>
  <c r="E12" i="41" s="1"/>
  <c r="K18" i="41"/>
  <c r="C18" i="41"/>
  <c r="C19" i="41"/>
  <c r="P8" i="41"/>
  <c r="B16" i="41"/>
  <c r="F16" i="41"/>
  <c r="B17" i="41"/>
  <c r="E16" i="41"/>
  <c r="H19" i="41"/>
  <c r="I15" i="41"/>
  <c r="L18" i="41"/>
  <c r="M14" i="41"/>
  <c r="B19" i="41"/>
  <c r="E17" i="41"/>
  <c r="F14" i="41"/>
  <c r="E18" i="41"/>
  <c r="G14" i="41"/>
  <c r="D18" i="41"/>
  <c r="E14" i="41"/>
  <c r="H17" i="41"/>
  <c r="G13" i="41"/>
  <c r="G12" i="41" s="1"/>
  <c r="M16" i="41"/>
  <c r="C14" i="41"/>
  <c r="J18" i="41"/>
  <c r="K15" i="41"/>
  <c r="K16" i="41"/>
  <c r="B13" i="41"/>
  <c r="B12" i="41" s="1"/>
  <c r="J16" i="41"/>
  <c r="M19" i="41"/>
  <c r="C16" i="41"/>
  <c r="F19" i="41"/>
  <c r="H15" i="41"/>
  <c r="B15" i="41"/>
  <c r="I17" i="41"/>
  <c r="J14" i="41"/>
  <c r="H8" i="41"/>
  <c r="E19" i="41"/>
  <c r="F17" i="41"/>
  <c r="F15" i="41"/>
  <c r="C13" i="41"/>
  <c r="C12" i="41" s="1"/>
  <c r="D19" i="41"/>
  <c r="D17" i="41"/>
  <c r="E15" i="41"/>
  <c r="B18" i="41"/>
  <c r="H18" i="41"/>
  <c r="I16" i="41"/>
  <c r="I14" i="41"/>
  <c r="L19" i="41"/>
  <c r="L17" i="41"/>
  <c r="M15" i="41"/>
  <c r="L13" i="41"/>
  <c r="L12" i="41" s="1"/>
  <c r="F13" i="41"/>
  <c r="F12" i="41" s="1"/>
  <c r="G19" i="41"/>
  <c r="M17" i="41"/>
  <c r="H16" i="41"/>
  <c r="C15" i="41"/>
  <c r="I13" i="41"/>
  <c r="I12" i="41" s="1"/>
  <c r="J19" i="41"/>
  <c r="K17" i="41"/>
  <c r="L15" i="41"/>
  <c r="K13" i="41"/>
  <c r="K12" i="41" s="1"/>
  <c r="I19" i="41"/>
  <c r="J17" i="41"/>
  <c r="J15" i="41"/>
  <c r="H13" i="41"/>
  <c r="H12" i="41" s="1"/>
  <c r="M18" i="41"/>
  <c r="C17" i="41"/>
  <c r="D15" i="41"/>
  <c r="B14" i="41"/>
  <c r="G18" i="41"/>
  <c r="G16" i="41"/>
  <c r="H14" i="41"/>
  <c r="J13" i="41"/>
  <c r="J12" i="41" s="1"/>
  <c r="K19" i="41"/>
  <c r="F18" i="41"/>
  <c r="L16" i="41"/>
  <c r="G15" i="41"/>
  <c r="M13" i="41"/>
  <c r="M12" i="41" s="1"/>
  <c r="D20" i="41"/>
  <c r="E31" i="41"/>
  <c r="C31" i="41"/>
  <c r="K27" i="41"/>
  <c r="J70" i="41" s="1"/>
  <c r="H31" i="41"/>
  <c r="J23" i="41"/>
  <c r="K31" i="41"/>
  <c r="C23" i="41"/>
  <c r="F21" i="41"/>
  <c r="I21" i="41"/>
  <c r="C25" i="41"/>
  <c r="I27" i="41"/>
  <c r="D21" i="41"/>
  <c r="G23" i="41"/>
  <c r="L31" i="41"/>
  <c r="J31" i="41"/>
  <c r="L27" i="41"/>
  <c r="J25" i="41"/>
  <c r="H27" i="41"/>
  <c r="B21" i="41"/>
  <c r="M25" i="41"/>
  <c r="H21" i="41"/>
  <c r="K25" i="41"/>
  <c r="M20" i="41"/>
  <c r="E25" i="41"/>
  <c r="K20" i="41"/>
  <c r="H25" i="41"/>
  <c r="M21" i="41"/>
  <c r="E21" i="41"/>
  <c r="M31" i="41"/>
  <c r="B31" i="41"/>
  <c r="D31" i="41"/>
  <c r="D24" i="41"/>
  <c r="E20" i="41"/>
  <c r="H24" i="41"/>
  <c r="B25" i="41"/>
  <c r="L23" i="41"/>
  <c r="B20" i="41"/>
  <c r="E23" i="41"/>
  <c r="M27" i="41"/>
  <c r="L70" i="41" s="1"/>
  <c r="G24" i="41"/>
  <c r="H20" i="41"/>
  <c r="G31" i="41"/>
  <c r="I31" i="41"/>
  <c r="F31" i="41"/>
  <c r="I24" i="41"/>
  <c r="J20" i="41"/>
  <c r="M24" i="41"/>
  <c r="C21" i="41"/>
  <c r="L24" i="41"/>
  <c r="G20" i="41"/>
  <c r="E24" i="41"/>
  <c r="B27" i="41"/>
  <c r="I70" i="41" s="1"/>
  <c r="D25" i="41"/>
  <c r="O27" i="41"/>
  <c r="J21" i="41"/>
  <c r="I23" i="41"/>
  <c r="G27" i="41"/>
  <c r="M23" i="41"/>
  <c r="C20" i="41"/>
  <c r="F25" i="41"/>
  <c r="L21" i="41"/>
  <c r="D27" i="41"/>
  <c r="K23" i="41"/>
  <c r="F20" i="41"/>
  <c r="L25" i="41"/>
  <c r="C24" i="41"/>
  <c r="D23" i="41"/>
  <c r="C27" i="41"/>
  <c r="I25" i="41"/>
  <c r="B23" i="41"/>
  <c r="G25" i="41"/>
  <c r="H23" i="41"/>
  <c r="I20" i="41"/>
  <c r="F27" i="41"/>
  <c r="F24" i="41"/>
  <c r="G21" i="41"/>
  <c r="J27" i="41"/>
  <c r="J24" i="41"/>
  <c r="K21" i="41"/>
  <c r="B24" i="41"/>
  <c r="E27" i="41"/>
  <c r="K24" i="41"/>
  <c r="F23" i="41"/>
  <c r="L20" i="41"/>
  <c r="T10" i="41"/>
  <c r="T36" i="41"/>
  <c r="T32" i="41"/>
  <c r="T41" i="41" s="1"/>
  <c r="T12" i="41"/>
  <c r="T34" i="41"/>
  <c r="O24" i="41"/>
  <c r="O18" i="41"/>
  <c r="P9" i="41"/>
  <c r="P33" i="41"/>
  <c r="K70" i="41" l="1"/>
  <c r="D8" i="41"/>
  <c r="D36" i="41" s="1"/>
  <c r="I8" i="41"/>
  <c r="I36" i="41" s="1"/>
  <c r="O8" i="41"/>
  <c r="B8" i="41"/>
  <c r="B36" i="41" s="1"/>
  <c r="E8" i="41"/>
  <c r="E36" i="41" s="1"/>
  <c r="G8" i="41"/>
  <c r="G36" i="41" s="1"/>
  <c r="K8" i="41"/>
  <c r="K36" i="41" s="1"/>
  <c r="L8" i="41"/>
  <c r="L36" i="41" s="1"/>
  <c r="C8" i="41"/>
  <c r="C36" i="41" s="1"/>
  <c r="M8" i="41"/>
  <c r="M36" i="41" s="1"/>
  <c r="J8" i="41"/>
  <c r="J36" i="41" s="1"/>
  <c r="F8" i="41"/>
  <c r="F36" i="41" s="1"/>
  <c r="O16" i="41"/>
  <c r="U16" i="41" s="1"/>
  <c r="O20" i="41"/>
  <c r="AD20" i="41" s="1"/>
  <c r="Q27" i="41"/>
  <c r="O17" i="41"/>
  <c r="AD17" i="41" s="1"/>
  <c r="AA27" i="41"/>
  <c r="AB27" i="41" s="1"/>
  <c r="U27" i="41"/>
  <c r="H36" i="41"/>
  <c r="T45" i="41"/>
  <c r="T37" i="41"/>
  <c r="T73" i="41"/>
  <c r="T38" i="41"/>
  <c r="T39" i="41"/>
  <c r="T43" i="41"/>
  <c r="T44" i="41"/>
  <c r="T42" i="41"/>
  <c r="P10" i="41"/>
  <c r="P16" i="41"/>
  <c r="P20" i="41"/>
  <c r="P18" i="41"/>
  <c r="Q18" i="41" s="1"/>
  <c r="P24" i="41"/>
  <c r="Q24" i="41" s="1"/>
  <c r="P17" i="41"/>
  <c r="U18" i="41"/>
  <c r="AD18" i="41"/>
  <c r="AA18" i="41"/>
  <c r="AB18" i="41" s="1"/>
  <c r="U24" i="41"/>
  <c r="AA24" i="41"/>
  <c r="AB24" i="41" s="1"/>
  <c r="AD24" i="41"/>
  <c r="R33" i="41"/>
  <c r="R20" i="41"/>
  <c r="R23" i="41"/>
  <c r="R18" i="41"/>
  <c r="S18" i="41" s="1"/>
  <c r="R21" i="41"/>
  <c r="R17" i="41"/>
  <c r="K9" i="41" l="1"/>
  <c r="L9" i="41"/>
  <c r="I9" i="41"/>
  <c r="I10" i="41" s="1"/>
  <c r="I22" i="41" s="1"/>
  <c r="J9" i="41"/>
  <c r="J10" i="41" s="1"/>
  <c r="J22" i="41" s="1"/>
  <c r="H9" i="41"/>
  <c r="H10" i="41" s="1"/>
  <c r="H22" i="41" s="1"/>
  <c r="F9" i="41"/>
  <c r="F10" i="41" s="1"/>
  <c r="F22" i="41" s="1"/>
  <c r="E9" i="41"/>
  <c r="E10" i="41" s="1"/>
  <c r="E22" i="41" s="1"/>
  <c r="AA8" i="41"/>
  <c r="AB8" i="41" s="1"/>
  <c r="U8" i="41"/>
  <c r="Q8" i="41"/>
  <c r="M9" i="41"/>
  <c r="M10" i="41" s="1"/>
  <c r="M22" i="41" s="1"/>
  <c r="C9" i="41"/>
  <c r="C10" i="41" s="1"/>
  <c r="C22" i="41" s="1"/>
  <c r="D9" i="41"/>
  <c r="D10" i="41" s="1"/>
  <c r="D22" i="41" s="1"/>
  <c r="B9" i="41"/>
  <c r="B10" i="41" s="1"/>
  <c r="B22" i="41" s="1"/>
  <c r="G9" i="41"/>
  <c r="G10" i="41" s="1"/>
  <c r="G22" i="41" s="1"/>
  <c r="AD16" i="41"/>
  <c r="AA17" i="41"/>
  <c r="AB17" i="41" s="1"/>
  <c r="R31" i="41"/>
  <c r="Q16" i="41"/>
  <c r="AA16" i="41"/>
  <c r="AB16" i="41" s="1"/>
  <c r="L10" i="41"/>
  <c r="L22" i="41" s="1"/>
  <c r="K10" i="41"/>
  <c r="K22" i="41" s="1"/>
  <c r="X17" i="41"/>
  <c r="Q17" i="41"/>
  <c r="U17" i="41"/>
  <c r="X20" i="41"/>
  <c r="Q20" i="41"/>
  <c r="U20" i="41"/>
  <c r="AA20" i="41"/>
  <c r="AB20" i="41" s="1"/>
  <c r="K32" i="41"/>
  <c r="E32" i="41"/>
  <c r="H32" i="41"/>
  <c r="O9" i="41"/>
  <c r="S17" i="41"/>
  <c r="R13" i="41"/>
  <c r="R15" i="41"/>
  <c r="R14" i="41"/>
  <c r="X18" i="41"/>
  <c r="S20" i="41"/>
  <c r="R16" i="41"/>
  <c r="R24" i="41"/>
  <c r="R25" i="41"/>
  <c r="P34" i="41"/>
  <c r="P44" i="41" s="1"/>
  <c r="P22" i="41"/>
  <c r="L32" i="41" l="1"/>
  <c r="L41" i="41" s="1"/>
  <c r="B32" i="41"/>
  <c r="B41" i="41" s="1"/>
  <c r="G32" i="41"/>
  <c r="G38" i="41" s="1"/>
  <c r="F32" i="41"/>
  <c r="F38" i="41" s="1"/>
  <c r="I32" i="41"/>
  <c r="I38" i="41" s="1"/>
  <c r="C32" i="41"/>
  <c r="C38" i="41" s="1"/>
  <c r="M32" i="41"/>
  <c r="M38" i="41" s="1"/>
  <c r="J32" i="41"/>
  <c r="J37" i="41" s="1"/>
  <c r="D32" i="41"/>
  <c r="D38" i="41" s="1"/>
  <c r="O32" i="41"/>
  <c r="B34" i="41"/>
  <c r="B44" i="41" s="1"/>
  <c r="G34" i="41"/>
  <c r="G43" i="41" s="1"/>
  <c r="C34" i="41"/>
  <c r="C43" i="41" s="1"/>
  <c r="H34" i="41"/>
  <c r="H44" i="41" s="1"/>
  <c r="K34" i="41"/>
  <c r="K44" i="41" s="1"/>
  <c r="I33" i="41"/>
  <c r="M34" i="41"/>
  <c r="M45" i="41" s="1"/>
  <c r="J34" i="41"/>
  <c r="J42" i="41" s="1"/>
  <c r="R8" i="41"/>
  <c r="K38" i="41"/>
  <c r="K41" i="41"/>
  <c r="K39" i="41"/>
  <c r="K37" i="41"/>
  <c r="B38" i="41"/>
  <c r="B39" i="41"/>
  <c r="H38" i="41"/>
  <c r="H41" i="41"/>
  <c r="H39" i="41"/>
  <c r="H37" i="41"/>
  <c r="E41" i="41"/>
  <c r="E38" i="41"/>
  <c r="E39" i="41"/>
  <c r="E37" i="41"/>
  <c r="G37" i="41"/>
  <c r="AA9" i="41"/>
  <c r="AB9" i="41" s="1"/>
  <c r="U9" i="41"/>
  <c r="O10" i="41"/>
  <c r="Q9" i="41"/>
  <c r="F41" i="41"/>
  <c r="S16" i="41"/>
  <c r="X16" i="41"/>
  <c r="X24" i="41"/>
  <c r="S24" i="41"/>
  <c r="R12" i="41"/>
  <c r="P32" i="41"/>
  <c r="R19" i="41"/>
  <c r="C42" i="41" l="1"/>
  <c r="C44" i="41"/>
  <c r="D37" i="41"/>
  <c r="D39" i="41"/>
  <c r="M39" i="41"/>
  <c r="C37" i="41"/>
  <c r="L38" i="41"/>
  <c r="I37" i="41"/>
  <c r="G44" i="41"/>
  <c r="M44" i="41"/>
  <c r="I39" i="41"/>
  <c r="G42" i="41"/>
  <c r="M37" i="41"/>
  <c r="M43" i="41"/>
  <c r="L33" i="41"/>
  <c r="J45" i="41"/>
  <c r="F39" i="41"/>
  <c r="G45" i="41"/>
  <c r="M33" i="41"/>
  <c r="J41" i="41"/>
  <c r="M41" i="41"/>
  <c r="L39" i="41"/>
  <c r="M42" i="41"/>
  <c r="C45" i="41"/>
  <c r="O34" i="41"/>
  <c r="U34" i="41" s="1"/>
  <c r="I34" i="41"/>
  <c r="I42" i="41" s="1"/>
  <c r="L34" i="41"/>
  <c r="L43" i="41" s="1"/>
  <c r="B45" i="41"/>
  <c r="H45" i="41"/>
  <c r="J39" i="41"/>
  <c r="M73" i="41"/>
  <c r="L37" i="41"/>
  <c r="F34" i="41"/>
  <c r="F44" i="41" s="1"/>
  <c r="C39" i="41"/>
  <c r="G39" i="41"/>
  <c r="C41" i="41"/>
  <c r="I41" i="41"/>
  <c r="G41" i="41"/>
  <c r="U32" i="41"/>
  <c r="D41" i="41"/>
  <c r="B37" i="41"/>
  <c r="F33" i="41"/>
  <c r="B73" i="41"/>
  <c r="J38" i="41"/>
  <c r="F37" i="41"/>
  <c r="B42" i="41"/>
  <c r="H33" i="41"/>
  <c r="K43" i="41"/>
  <c r="J44" i="41"/>
  <c r="D34" i="41"/>
  <c r="E34" i="41"/>
  <c r="B43" i="41"/>
  <c r="D33" i="41"/>
  <c r="J33" i="41"/>
  <c r="H42" i="41"/>
  <c r="K45" i="41"/>
  <c r="F45" i="41"/>
  <c r="C33" i="41"/>
  <c r="G33" i="41"/>
  <c r="B33" i="41"/>
  <c r="H43" i="41"/>
  <c r="K42" i="41"/>
  <c r="J43" i="41"/>
  <c r="K33" i="41"/>
  <c r="E33" i="41"/>
  <c r="AA10" i="41"/>
  <c r="AB10" i="41" s="1"/>
  <c r="U10" i="41"/>
  <c r="Q10" i="41"/>
  <c r="R36" i="41"/>
  <c r="S8" i="41"/>
  <c r="O22" i="41"/>
  <c r="P73" i="41"/>
  <c r="Q32" i="41"/>
  <c r="F42" i="41" l="1"/>
  <c r="F43" i="41"/>
  <c r="I73" i="41"/>
  <c r="I74" i="41" s="1"/>
  <c r="L44" i="41"/>
  <c r="O73" i="41"/>
  <c r="T74" i="41" s="1"/>
  <c r="O44" i="41"/>
  <c r="U44" i="41" s="1"/>
  <c r="Q34" i="41"/>
  <c r="I45" i="41"/>
  <c r="I43" i="41"/>
  <c r="M74" i="41"/>
  <c r="R9" i="41"/>
  <c r="S9" i="41" s="1"/>
  <c r="R22" i="41"/>
  <c r="X22" i="41" s="1"/>
  <c r="L45" i="41"/>
  <c r="I44" i="41"/>
  <c r="L42" i="41"/>
  <c r="E42" i="41"/>
  <c r="E44" i="41"/>
  <c r="E45" i="41"/>
  <c r="E43" i="41"/>
  <c r="R27" i="41"/>
  <c r="S27" i="41" s="1"/>
  <c r="D43" i="41"/>
  <c r="D45" i="41"/>
  <c r="D42" i="41"/>
  <c r="D44" i="41"/>
  <c r="R34" i="41"/>
  <c r="R45" i="41" s="1"/>
  <c r="R32" i="41"/>
  <c r="S32" i="41" s="1"/>
  <c r="AA22" i="41"/>
  <c r="AB22" i="41" s="1"/>
  <c r="AD22" i="41"/>
  <c r="Q22" i="41"/>
  <c r="U22" i="41"/>
  <c r="Q44" i="41" l="1"/>
  <c r="P74" i="41"/>
  <c r="R10" i="41"/>
  <c r="S10" i="41" s="1"/>
  <c r="R43" i="41"/>
  <c r="S34" i="41"/>
  <c r="R42" i="41"/>
  <c r="R39" i="41"/>
  <c r="R44" i="41"/>
  <c r="S44" i="41" s="1"/>
  <c r="R38" i="41"/>
  <c r="R41" i="41"/>
  <c r="R37" i="41"/>
  <c r="S22" i="41"/>
  <c r="R64" i="41" l="1"/>
  <c r="O33" i="41" l="1"/>
  <c r="Q33" i="41" l="1"/>
  <c r="S33" i="41"/>
  <c r="U33" i="41"/>
  <c r="O23" i="41" l="1"/>
  <c r="O21" i="41"/>
  <c r="S21" i="41" s="1"/>
  <c r="O19" i="41"/>
  <c r="X19" i="41" s="1"/>
  <c r="O31" i="41"/>
  <c r="V34" i="41" s="1"/>
  <c r="P21" i="41"/>
  <c r="P15" i="41"/>
  <c r="P43" i="41" s="1"/>
  <c r="O15" i="41"/>
  <c r="O13" i="41"/>
  <c r="X9" i="41" s="1"/>
  <c r="P14" i="41"/>
  <c r="P42" i="41" s="1"/>
  <c r="P31" i="41"/>
  <c r="P36" i="41" s="1"/>
  <c r="O14" i="41"/>
  <c r="Q14" i="41" s="1"/>
  <c r="O25" i="41"/>
  <c r="U25" i="41" s="1"/>
  <c r="P25" i="41"/>
  <c r="P39" i="41" s="1"/>
  <c r="P23" i="41"/>
  <c r="P19" i="41"/>
  <c r="P13" i="41"/>
  <c r="P41" i="41" s="1"/>
  <c r="O36" i="41" l="1"/>
  <c r="U36" i="41" s="1"/>
  <c r="U19" i="41"/>
  <c r="Q19" i="41"/>
  <c r="S19" i="41"/>
  <c r="AD19" i="41"/>
  <c r="Q23" i="41"/>
  <c r="O42" i="41"/>
  <c r="S36" i="41"/>
  <c r="O12" i="41"/>
  <c r="O41" i="41"/>
  <c r="U14" i="41"/>
  <c r="AA19" i="41"/>
  <c r="AB19" i="41" s="1"/>
  <c r="AD21" i="41"/>
  <c r="Q21" i="41"/>
  <c r="AD25" i="41"/>
  <c r="Q25" i="41"/>
  <c r="X15" i="41"/>
  <c r="AD23" i="41"/>
  <c r="X23" i="41"/>
  <c r="U31" i="41"/>
  <c r="P38" i="41"/>
  <c r="AD14" i="41"/>
  <c r="X13" i="41"/>
  <c r="AA13" i="41"/>
  <c r="AB13" i="41" s="1"/>
  <c r="AA21" i="41"/>
  <c r="AB21" i="41" s="1"/>
  <c r="X25" i="41"/>
  <c r="AD15" i="41"/>
  <c r="S15" i="41"/>
  <c r="AA23" i="41"/>
  <c r="AB23" i="41" s="1"/>
  <c r="S31" i="41"/>
  <c r="O43" i="41"/>
  <c r="P12" i="41"/>
  <c r="X14" i="41"/>
  <c r="AA14" i="41"/>
  <c r="AB14" i="41" s="1"/>
  <c r="AD13" i="41"/>
  <c r="X21" i="41"/>
  <c r="U21" i="41"/>
  <c r="AA25" i="41"/>
  <c r="AB25" i="41" s="1"/>
  <c r="Q15" i="41"/>
  <c r="AA15" i="41"/>
  <c r="AB15" i="41" s="1"/>
  <c r="U23" i="41"/>
  <c r="Q31" i="41"/>
  <c r="O39" i="41"/>
  <c r="Q13" i="41"/>
  <c r="O38" i="41"/>
  <c r="U13" i="41"/>
  <c r="S13" i="41"/>
  <c r="S14" i="41"/>
  <c r="S25" i="41"/>
  <c r="U15" i="41"/>
  <c r="S23" i="41"/>
  <c r="Q36" i="41" l="1"/>
  <c r="Q12" i="41"/>
  <c r="S12" i="41"/>
  <c r="U38" i="41"/>
  <c r="S38" i="41"/>
  <c r="Y39" i="41"/>
  <c r="Y41" i="41" s="1"/>
  <c r="Q38" i="41"/>
  <c r="O64" i="41"/>
  <c r="S41" i="41"/>
  <c r="U41" i="41"/>
  <c r="Q41" i="41"/>
  <c r="O37" i="41"/>
  <c r="O45" i="41"/>
  <c r="AA12" i="41"/>
  <c r="AB12" i="41" s="1"/>
  <c r="U42" i="41"/>
  <c r="Q42" i="41"/>
  <c r="S42" i="41"/>
  <c r="S39" i="41"/>
  <c r="U39" i="41"/>
  <c r="Q39" i="41"/>
  <c r="U12" i="41"/>
  <c r="P45" i="41"/>
  <c r="P37" i="41"/>
  <c r="Q43" i="41"/>
  <c r="S43" i="41"/>
  <c r="U43" i="41"/>
  <c r="U45" i="41" l="1"/>
  <c r="Q45" i="41"/>
  <c r="S45" i="41"/>
  <c r="Q37" i="41"/>
  <c r="U37" i="41"/>
  <c r="S37" i="41"/>
  <c r="C44" i="66" l="1"/>
  <c r="L79" i="51"/>
  <c r="G72" i="51"/>
  <c r="L69" i="66"/>
  <c r="L69" i="51"/>
  <c r="B44" i="66"/>
  <c r="D38" i="51"/>
  <c r="G40" i="66"/>
  <c r="G40" i="51"/>
  <c r="E40" i="66"/>
  <c r="C31" i="66"/>
  <c r="C40" i="66"/>
  <c r="C40" i="51"/>
  <c r="C31" i="51"/>
  <c r="K75" i="66"/>
  <c r="K75" i="51"/>
  <c r="D37" i="66"/>
  <c r="D37" i="51"/>
  <c r="G74" i="66"/>
  <c r="D72" i="66"/>
  <c r="D72" i="51"/>
  <c r="L75" i="66"/>
  <c r="L75" i="51"/>
  <c r="X72" i="51"/>
  <c r="Y72" i="51" s="1"/>
  <c r="F68" i="66"/>
  <c r="K36" i="66"/>
  <c r="F84" i="66"/>
  <c r="E79" i="66"/>
  <c r="E79" i="51"/>
  <c r="D75" i="66"/>
  <c r="X44" i="51"/>
  <c r="Y44" i="51" s="1"/>
  <c r="L68" i="66"/>
  <c r="L68" i="51"/>
  <c r="C41" i="66"/>
  <c r="C41" i="51"/>
  <c r="D75" i="51"/>
  <c r="F68" i="51"/>
  <c r="G35" i="66"/>
  <c r="G35" i="51"/>
  <c r="X39" i="51"/>
  <c r="Y39" i="51" s="1"/>
  <c r="X68" i="51"/>
  <c r="Y68" i="51" s="1"/>
  <c r="F35" i="66"/>
  <c r="G41" i="66"/>
  <c r="D86" i="66"/>
  <c r="D86" i="51"/>
  <c r="X31" i="51"/>
  <c r="Y31" i="51" s="1"/>
  <c r="X75" i="51"/>
  <c r="Y75" i="51" s="1"/>
  <c r="E76" i="66"/>
  <c r="E76" i="51"/>
  <c r="D36" i="66"/>
  <c r="D39" i="66"/>
  <c r="G68" i="66"/>
  <c r="C30" i="51"/>
  <c r="D78" i="66"/>
  <c r="E72" i="66"/>
  <c r="E72" i="51"/>
  <c r="X79" i="51"/>
  <c r="Y79" i="51" s="1"/>
  <c r="E37" i="66"/>
  <c r="X70" i="51"/>
  <c r="Y70" i="51" s="1"/>
  <c r="X48" i="51"/>
  <c r="Y48" i="51" s="1"/>
  <c r="L76" i="66"/>
  <c r="L76" i="51"/>
  <c r="D35" i="66"/>
  <c r="L39" i="66"/>
  <c r="L39" i="51"/>
  <c r="G44" i="66"/>
  <c r="D70" i="66"/>
  <c r="D70" i="51"/>
  <c r="F37" i="66"/>
  <c r="F37" i="51"/>
  <c r="D68" i="66"/>
  <c r="D68" i="51"/>
  <c r="K79" i="66"/>
  <c r="X85" i="51"/>
  <c r="Y85" i="51" s="1"/>
  <c r="X74" i="51"/>
  <c r="Y74" i="51" s="1"/>
  <c r="K72" i="51"/>
  <c r="K69" i="66"/>
  <c r="F76" i="66"/>
  <c r="D67" i="51"/>
  <c r="L36" i="66"/>
  <c r="F40" i="66"/>
  <c r="L70" i="66"/>
  <c r="B48" i="51"/>
  <c r="E69" i="66"/>
  <c r="E69" i="51"/>
  <c r="D80" i="66"/>
  <c r="L67" i="51"/>
  <c r="U6" i="76"/>
  <c r="G75" i="66"/>
  <c r="E70" i="66"/>
  <c r="E70" i="51"/>
  <c r="E68" i="66"/>
  <c r="E68" i="51"/>
  <c r="E39" i="66"/>
  <c r="E39" i="51"/>
  <c r="X36" i="51"/>
  <c r="Y36" i="51" s="1"/>
  <c r="E44" i="66"/>
  <c r="E44" i="51"/>
  <c r="G37" i="66"/>
  <c r="G37" i="51"/>
  <c r="F79" i="66"/>
  <c r="F79" i="51"/>
  <c r="L30" i="66"/>
  <c r="K41" i="51"/>
  <c r="F39" i="66"/>
  <c r="K67" i="66"/>
  <c r="G75" i="51"/>
  <c r="X76" i="51"/>
  <c r="Y76" i="51" s="1"/>
  <c r="C67" i="51"/>
  <c r="D31" i="66"/>
  <c r="C37" i="66"/>
  <c r="F41" i="66"/>
  <c r="F72" i="66"/>
  <c r="F75" i="66"/>
  <c r="F75" i="51"/>
  <c r="G38" i="66"/>
  <c r="D83" i="66"/>
  <c r="X35" i="51"/>
  <c r="Y35" i="51" s="1"/>
  <c r="L31" i="66"/>
  <c r="X41" i="51"/>
  <c r="Y41" i="51" s="1"/>
  <c r="F44" i="66"/>
  <c r="F44" i="51"/>
  <c r="D41" i="66"/>
  <c r="D41" i="51"/>
  <c r="X30" i="51"/>
  <c r="Y30" i="51" s="1"/>
  <c r="C39" i="66"/>
  <c r="L38" i="66"/>
  <c r="E41" i="66"/>
  <c r="C35" i="66"/>
  <c r="E85" i="66"/>
  <c r="E85" i="51"/>
  <c r="F80" i="66"/>
  <c r="G69" i="51"/>
  <c r="L40" i="66"/>
  <c r="X37" i="51"/>
  <c r="Y37" i="51" s="1"/>
  <c r="F31" i="66"/>
  <c r="F31" i="51"/>
  <c r="G85" i="66"/>
  <c r="D48" i="51"/>
  <c r="F85" i="66"/>
  <c r="F85" i="51"/>
  <c r="E36" i="66"/>
  <c r="E74" i="66"/>
  <c r="E74" i="51"/>
  <c r="G39" i="66"/>
  <c r="K38" i="66"/>
  <c r="X69" i="51"/>
  <c r="Y69" i="51" s="1"/>
  <c r="G79" i="66"/>
  <c r="E75" i="66"/>
  <c r="E75" i="51"/>
  <c r="K68" i="66"/>
  <c r="L48" i="51"/>
  <c r="E48" i="51"/>
  <c r="K44" i="51"/>
  <c r="F36" i="66"/>
  <c r="E35" i="66"/>
  <c r="K70" i="66"/>
  <c r="F67" i="51"/>
  <c r="K40" i="66"/>
  <c r="F38" i="66"/>
  <c r="F38" i="51"/>
  <c r="D74" i="66"/>
  <c r="C69" i="66"/>
  <c r="K48" i="66"/>
  <c r="G83" i="66"/>
  <c r="G83" i="51"/>
  <c r="F74" i="66"/>
  <c r="F74" i="51"/>
  <c r="C48" i="66"/>
  <c r="D44" i="66"/>
  <c r="D44" i="51"/>
  <c r="X38" i="51"/>
  <c r="Y38" i="51" s="1"/>
  <c r="L35" i="66"/>
  <c r="L85" i="66"/>
  <c r="L85" i="51"/>
  <c r="E67" i="51"/>
  <c r="X40" i="51"/>
  <c r="Y40" i="51" s="1"/>
  <c r="G67" i="51"/>
  <c r="L41" i="66"/>
  <c r="L41" i="51"/>
  <c r="B35" i="66"/>
  <c r="X67" i="51"/>
  <c r="Y67" i="51" s="1"/>
  <c r="F48" i="51"/>
  <c r="A48" i="45" s="1"/>
  <c r="B41" i="66"/>
  <c r="C70" i="51"/>
  <c r="K37" i="51"/>
  <c r="B36" i="66"/>
  <c r="G36" i="66"/>
  <c r="K85" i="66"/>
  <c r="F30" i="51"/>
  <c r="E83" i="66"/>
  <c r="C74" i="66"/>
  <c r="G67" i="66"/>
  <c r="C84" i="51"/>
  <c r="C77" i="51"/>
  <c r="D77" i="66"/>
  <c r="E30" i="66"/>
  <c r="C75" i="51"/>
  <c r="F70" i="66"/>
  <c r="J46" i="58"/>
  <c r="J110" i="58" s="1"/>
  <c r="J112" i="58" s="1"/>
  <c r="B37" i="51"/>
  <c r="C77" i="66"/>
  <c r="C72" i="66"/>
  <c r="A7" i="56" l="1"/>
  <c r="P7" i="58"/>
  <c r="R7" i="58" s="1"/>
  <c r="A7" i="51"/>
  <c r="O85" i="66"/>
  <c r="D37" i="69"/>
  <c r="O69" i="66"/>
  <c r="F68" i="69"/>
  <c r="D75" i="69"/>
  <c r="L39" i="69"/>
  <c r="C40" i="69"/>
  <c r="L75" i="69"/>
  <c r="B39" i="66"/>
  <c r="N39" i="66" s="1"/>
  <c r="G36" i="51"/>
  <c r="G36" i="69" s="1"/>
  <c r="L35" i="51"/>
  <c r="L35" i="69" s="1"/>
  <c r="E35" i="51"/>
  <c r="E35" i="69" s="1"/>
  <c r="E41" i="51"/>
  <c r="E41" i="69" s="1"/>
  <c r="L38" i="51"/>
  <c r="L38" i="69" s="1"/>
  <c r="F39" i="51"/>
  <c r="A39" i="45" s="1"/>
  <c r="E39" i="69"/>
  <c r="F35" i="51"/>
  <c r="A35" i="45" s="1"/>
  <c r="E40" i="51"/>
  <c r="E40" i="69" s="1"/>
  <c r="C44" i="51"/>
  <c r="C44" i="69" s="1"/>
  <c r="F36" i="51"/>
  <c r="A36" i="45" s="1"/>
  <c r="G38" i="51"/>
  <c r="G38" i="69" s="1"/>
  <c r="C37" i="51"/>
  <c r="C37" i="69" s="1"/>
  <c r="B39" i="51"/>
  <c r="G44" i="51"/>
  <c r="G44" i="69" s="1"/>
  <c r="D35" i="51"/>
  <c r="D35" i="69" s="1"/>
  <c r="E37" i="51"/>
  <c r="E37" i="69" s="1"/>
  <c r="L69" i="69"/>
  <c r="E75" i="69"/>
  <c r="F44" i="69"/>
  <c r="C41" i="69"/>
  <c r="D44" i="69"/>
  <c r="D41" i="69"/>
  <c r="F75" i="69"/>
  <c r="G75" i="69"/>
  <c r="O40" i="66"/>
  <c r="F85" i="69"/>
  <c r="E68" i="69"/>
  <c r="D86" i="69"/>
  <c r="L41" i="69"/>
  <c r="L85" i="69"/>
  <c r="G83" i="69"/>
  <c r="E74" i="69"/>
  <c r="E85" i="69"/>
  <c r="N41" i="66"/>
  <c r="N35" i="66"/>
  <c r="F38" i="69"/>
  <c r="O68" i="66"/>
  <c r="E44" i="69"/>
  <c r="N74" i="66"/>
  <c r="O38" i="66"/>
  <c r="E70" i="69"/>
  <c r="E69" i="69"/>
  <c r="D68" i="69"/>
  <c r="E76" i="69"/>
  <c r="C31" i="69"/>
  <c r="G67" i="69"/>
  <c r="O70" i="66"/>
  <c r="F31" i="69"/>
  <c r="D70" i="69"/>
  <c r="L76" i="69"/>
  <c r="E72" i="69"/>
  <c r="G35" i="69"/>
  <c r="L68" i="69"/>
  <c r="E79" i="69"/>
  <c r="D72" i="69"/>
  <c r="O75" i="66"/>
  <c r="N75" i="51"/>
  <c r="A30" i="45"/>
  <c r="J48" i="45"/>
  <c r="H48" i="45"/>
  <c r="I48" i="45" s="1"/>
  <c r="X86" i="58"/>
  <c r="A31" i="56"/>
  <c r="C85" i="51"/>
  <c r="C72" i="51"/>
  <c r="B37" i="66"/>
  <c r="N37" i="66" s="1"/>
  <c r="A44" i="56"/>
  <c r="C70" i="66"/>
  <c r="C70" i="69" s="1"/>
  <c r="D77" i="51"/>
  <c r="D77" i="69" s="1"/>
  <c r="A7" i="66"/>
  <c r="C102" i="58"/>
  <c r="B38" i="51"/>
  <c r="G91" i="58"/>
  <c r="K46" i="58"/>
  <c r="K30" i="51"/>
  <c r="K30" i="66"/>
  <c r="J44" i="51"/>
  <c r="C83" i="66"/>
  <c r="A44" i="51"/>
  <c r="X41" i="58"/>
  <c r="P86" i="58"/>
  <c r="G76" i="66"/>
  <c r="G76" i="51"/>
  <c r="C79" i="51"/>
  <c r="C77" i="69"/>
  <c r="A67" i="56"/>
  <c r="A67" i="66"/>
  <c r="A91" i="58"/>
  <c r="A91" i="56" s="1"/>
  <c r="A67" i="51"/>
  <c r="F46" i="58"/>
  <c r="F30" i="66"/>
  <c r="F46" i="66" s="1"/>
  <c r="K85" i="51"/>
  <c r="B36" i="51"/>
  <c r="K37" i="66"/>
  <c r="B40" i="66"/>
  <c r="B40" i="51"/>
  <c r="G84" i="51"/>
  <c r="G84" i="66"/>
  <c r="K39" i="51"/>
  <c r="K39" i="66"/>
  <c r="O39" i="66" s="1"/>
  <c r="A31" i="51"/>
  <c r="E80" i="66"/>
  <c r="E80" i="51"/>
  <c r="E46" i="58"/>
  <c r="E30" i="51"/>
  <c r="X38" i="58"/>
  <c r="C74" i="51"/>
  <c r="C79" i="66"/>
  <c r="A31" i="66"/>
  <c r="J44" i="66"/>
  <c r="C78" i="66"/>
  <c r="F70" i="51"/>
  <c r="A30" i="56"/>
  <c r="A30" i="66"/>
  <c r="A46" i="58"/>
  <c r="A46" i="56" s="1"/>
  <c r="B102" i="58"/>
  <c r="P39" i="58"/>
  <c r="R39" i="58" s="1"/>
  <c r="X39" i="58"/>
  <c r="A30" i="51"/>
  <c r="E83" i="51"/>
  <c r="E83" i="69" s="1"/>
  <c r="C85" i="66"/>
  <c r="A7" i="54"/>
  <c r="F65" i="58"/>
  <c r="F48" i="66"/>
  <c r="B35" i="51"/>
  <c r="B41" i="51"/>
  <c r="C83" i="51"/>
  <c r="B38" i="66"/>
  <c r="E84" i="66"/>
  <c r="E84" i="51"/>
  <c r="K102" i="58"/>
  <c r="L72" i="66"/>
  <c r="L72" i="51"/>
  <c r="O72" i="51" s="1"/>
  <c r="A44" i="66"/>
  <c r="N44" i="66" s="1"/>
  <c r="C75" i="66"/>
  <c r="N75" i="66" s="1"/>
  <c r="G65" i="58"/>
  <c r="C84" i="66"/>
  <c r="C84" i="69" s="1"/>
  <c r="D102" i="58"/>
  <c r="A48" i="56"/>
  <c r="A65" i="58"/>
  <c r="A48" i="66"/>
  <c r="A48" i="51"/>
  <c r="C78" i="51"/>
  <c r="C80" i="51"/>
  <c r="C80" i="66"/>
  <c r="F74" i="69"/>
  <c r="A74" i="45"/>
  <c r="E91" i="58"/>
  <c r="E67" i="66"/>
  <c r="E67" i="69" s="1"/>
  <c r="C65" i="58"/>
  <c r="C76" i="51"/>
  <c r="C69" i="51"/>
  <c r="D74" i="51"/>
  <c r="D74" i="69" s="1"/>
  <c r="A38" i="45"/>
  <c r="K40" i="51"/>
  <c r="F91" i="58"/>
  <c r="F67" i="66"/>
  <c r="F67" i="69" s="1"/>
  <c r="L65" i="58"/>
  <c r="K74" i="51"/>
  <c r="P68" i="58"/>
  <c r="K68" i="51"/>
  <c r="G79" i="51"/>
  <c r="G79" i="69" s="1"/>
  <c r="G39" i="51"/>
  <c r="G39" i="69" s="1"/>
  <c r="C76" i="66"/>
  <c r="G85" i="51"/>
  <c r="G85" i="69" s="1"/>
  <c r="G69" i="66"/>
  <c r="C35" i="51"/>
  <c r="A44" i="45"/>
  <c r="C68" i="66"/>
  <c r="N68" i="66" s="1"/>
  <c r="L31" i="51"/>
  <c r="L31" i="69" s="1"/>
  <c r="D83" i="51"/>
  <c r="D83" i="69" s="1"/>
  <c r="F72" i="51"/>
  <c r="D31" i="51"/>
  <c r="D31" i="69" s="1"/>
  <c r="K35" i="51"/>
  <c r="K35" i="66"/>
  <c r="O35" i="66" s="1"/>
  <c r="D79" i="66"/>
  <c r="D79" i="51"/>
  <c r="X68" i="58"/>
  <c r="C48" i="51"/>
  <c r="A75" i="45"/>
  <c r="D46" i="58"/>
  <c r="D30" i="51"/>
  <c r="D30" i="66"/>
  <c r="G70" i="66"/>
  <c r="G70" i="51"/>
  <c r="K74" i="66"/>
  <c r="K44" i="66"/>
  <c r="K44" i="69" s="1"/>
  <c r="E48" i="66"/>
  <c r="E36" i="51"/>
  <c r="E36" i="69" s="1"/>
  <c r="K31" i="66"/>
  <c r="O31" i="66" s="1"/>
  <c r="A85" i="45"/>
  <c r="D65" i="58"/>
  <c r="A31" i="45"/>
  <c r="L40" i="51"/>
  <c r="L40" i="69" s="1"/>
  <c r="F80" i="51"/>
  <c r="C39" i="51"/>
  <c r="C39" i="69" s="1"/>
  <c r="K31" i="51"/>
  <c r="F41" i="51"/>
  <c r="L74" i="66"/>
  <c r="L74" i="51"/>
  <c r="F102" i="58"/>
  <c r="D84" i="66"/>
  <c r="D84" i="51"/>
  <c r="D48" i="66"/>
  <c r="O41" i="51"/>
  <c r="E38" i="66"/>
  <c r="E38" i="51"/>
  <c r="K65" i="58"/>
  <c r="K48" i="51"/>
  <c r="A67" i="45"/>
  <c r="K70" i="51"/>
  <c r="G102" i="58"/>
  <c r="E65" i="58"/>
  <c r="P38" i="58"/>
  <c r="K38" i="51"/>
  <c r="C68" i="51"/>
  <c r="L48" i="66"/>
  <c r="G30" i="51"/>
  <c r="G46" i="58"/>
  <c r="G30" i="66"/>
  <c r="F79" i="69"/>
  <c r="A79" i="45"/>
  <c r="G37" i="69"/>
  <c r="E9" i="75"/>
  <c r="C91" i="58"/>
  <c r="C67" i="66"/>
  <c r="K91" i="58"/>
  <c r="P41" i="58"/>
  <c r="K41" i="66"/>
  <c r="O41" i="66" s="1"/>
  <c r="L102" i="58"/>
  <c r="L46" i="58"/>
  <c r="L30" i="51"/>
  <c r="D80" i="51"/>
  <c r="D80" i="69" s="1"/>
  <c r="L70" i="51"/>
  <c r="L70" i="69" s="1"/>
  <c r="F40" i="51"/>
  <c r="F76" i="51"/>
  <c r="K76" i="51"/>
  <c r="K76" i="66"/>
  <c r="O76" i="66" s="1"/>
  <c r="L91" i="58"/>
  <c r="L67" i="66"/>
  <c r="O67" i="66" s="1"/>
  <c r="B65" i="58"/>
  <c r="B48" i="66"/>
  <c r="K69" i="51"/>
  <c r="L36" i="51"/>
  <c r="L36" i="69" s="1"/>
  <c r="K72" i="66"/>
  <c r="G80" i="66"/>
  <c r="G80" i="51"/>
  <c r="D76" i="66"/>
  <c r="D76" i="51"/>
  <c r="D91" i="58"/>
  <c r="D67" i="66"/>
  <c r="D67" i="69" s="1"/>
  <c r="K67" i="51"/>
  <c r="F37" i="69"/>
  <c r="A37" i="45"/>
  <c r="F83" i="66"/>
  <c r="F83" i="51"/>
  <c r="D40" i="66"/>
  <c r="D40" i="51"/>
  <c r="K79" i="51"/>
  <c r="D78" i="51"/>
  <c r="D78" i="69" s="1"/>
  <c r="C46" i="58"/>
  <c r="C30" i="66"/>
  <c r="C30" i="69" s="1"/>
  <c r="G68" i="51"/>
  <c r="G68" i="69" s="1"/>
  <c r="A68" i="45"/>
  <c r="B46" i="58"/>
  <c r="B30" i="51"/>
  <c r="F69" i="66"/>
  <c r="F69" i="51"/>
  <c r="L37" i="66"/>
  <c r="L37" i="51"/>
  <c r="O37" i="51" s="1"/>
  <c r="C36" i="51"/>
  <c r="C36" i="66"/>
  <c r="N36" i="66" s="1"/>
  <c r="C38" i="66"/>
  <c r="C38" i="51"/>
  <c r="D85" i="66"/>
  <c r="D85" i="51"/>
  <c r="D39" i="51"/>
  <c r="D39" i="69" s="1"/>
  <c r="D36" i="51"/>
  <c r="D36" i="69" s="1"/>
  <c r="G41" i="51"/>
  <c r="G41" i="69" s="1"/>
  <c r="B31" i="66"/>
  <c r="B31" i="51"/>
  <c r="B30" i="66"/>
  <c r="V7" i="58"/>
  <c r="O36" i="66"/>
  <c r="G31" i="66"/>
  <c r="G31" i="51"/>
  <c r="G40" i="69"/>
  <c r="K75" i="69"/>
  <c r="O75" i="51"/>
  <c r="F84" i="51"/>
  <c r="G74" i="51"/>
  <c r="G74" i="69" s="1"/>
  <c r="K36" i="51"/>
  <c r="B44" i="51"/>
  <c r="B44" i="69" s="1"/>
  <c r="G72" i="66"/>
  <c r="G72" i="69" s="1"/>
  <c r="D38" i="66"/>
  <c r="D38" i="69" s="1"/>
  <c r="L44" i="66"/>
  <c r="L44" i="51"/>
  <c r="O44" i="51" s="1"/>
  <c r="E31" i="66"/>
  <c r="E31" i="51"/>
  <c r="D69" i="51"/>
  <c r="D69" i="66"/>
  <c r="L79" i="66"/>
  <c r="O79" i="66" s="1"/>
  <c r="F39" i="69" l="1"/>
  <c r="F35" i="69"/>
  <c r="N37" i="51"/>
  <c r="M37" i="54" s="1"/>
  <c r="T37" i="54" s="1"/>
  <c r="U37" i="54" s="1"/>
  <c r="O75" i="69"/>
  <c r="P75" i="66"/>
  <c r="R75" i="66" s="1"/>
  <c r="O72" i="66"/>
  <c r="R68" i="58"/>
  <c r="V68" i="58"/>
  <c r="J35" i="45"/>
  <c r="H35" i="45"/>
  <c r="I35" i="45" s="1"/>
  <c r="V39" i="58"/>
  <c r="B39" i="69"/>
  <c r="F36" i="69"/>
  <c r="E46" i="66"/>
  <c r="P68" i="66"/>
  <c r="R68" i="66" s="1"/>
  <c r="B46" i="66"/>
  <c r="F46" i="51"/>
  <c r="P41" i="66"/>
  <c r="R41" i="66" s="1"/>
  <c r="D84" i="69"/>
  <c r="G84" i="69"/>
  <c r="D76" i="69"/>
  <c r="E84" i="69"/>
  <c r="P39" i="66"/>
  <c r="R39" i="66" s="1"/>
  <c r="G31" i="69"/>
  <c r="C38" i="69"/>
  <c r="D40" i="69"/>
  <c r="D79" i="69"/>
  <c r="K72" i="69"/>
  <c r="P35" i="66"/>
  <c r="R35" i="66" s="1"/>
  <c r="P36" i="66"/>
  <c r="R36" i="66" s="1"/>
  <c r="N69" i="66"/>
  <c r="P69" i="66" s="1"/>
  <c r="R69" i="66" s="1"/>
  <c r="L79" i="69"/>
  <c r="C36" i="69"/>
  <c r="L46" i="66"/>
  <c r="E31" i="69"/>
  <c r="B37" i="69"/>
  <c r="R86" i="58"/>
  <c r="V86" i="58"/>
  <c r="R38" i="58"/>
  <c r="V38" i="58"/>
  <c r="R41" i="58"/>
  <c r="V41" i="58"/>
  <c r="F84" i="69"/>
  <c r="A84" i="45"/>
  <c r="D85" i="69"/>
  <c r="F69" i="69"/>
  <c r="A69" i="45"/>
  <c r="G80" i="69"/>
  <c r="L46" i="51"/>
  <c r="L30" i="69"/>
  <c r="J79" i="45"/>
  <c r="H79" i="45"/>
  <c r="I79" i="45" s="1"/>
  <c r="K38" i="69"/>
  <c r="O38" i="51"/>
  <c r="O38" i="69" s="1"/>
  <c r="L74" i="69"/>
  <c r="P97" i="58"/>
  <c r="X97" i="58"/>
  <c r="L67" i="69"/>
  <c r="B48" i="69"/>
  <c r="A72" i="45"/>
  <c r="F72" i="69"/>
  <c r="C46" i="51"/>
  <c r="C35" i="69"/>
  <c r="C69" i="69"/>
  <c r="N69" i="51"/>
  <c r="X76" i="58"/>
  <c r="P76" i="58"/>
  <c r="J74" i="45"/>
  <c r="H74" i="45"/>
  <c r="I74" i="45" s="1"/>
  <c r="X87" i="58"/>
  <c r="P87" i="58"/>
  <c r="N48" i="66"/>
  <c r="P75" i="58"/>
  <c r="X75" i="58"/>
  <c r="L72" i="69"/>
  <c r="B41" i="69"/>
  <c r="N41" i="51"/>
  <c r="N85" i="66"/>
  <c r="P85" i="66" s="1"/>
  <c r="R85" i="66" s="1"/>
  <c r="F70" i="69"/>
  <c r="A70" i="45"/>
  <c r="P77" i="58"/>
  <c r="X77" i="58"/>
  <c r="P62" i="58"/>
  <c r="X65" i="58" s="1"/>
  <c r="A31" i="69"/>
  <c r="A31" i="54"/>
  <c r="N31" i="51"/>
  <c r="B40" i="69"/>
  <c r="N40" i="51"/>
  <c r="A91" i="66"/>
  <c r="N67" i="66"/>
  <c r="P79" i="58"/>
  <c r="X79" i="58"/>
  <c r="A44" i="69"/>
  <c r="N44" i="51"/>
  <c r="A44" i="54"/>
  <c r="N83" i="66"/>
  <c r="O30" i="51"/>
  <c r="K46" i="51"/>
  <c r="K30" i="69"/>
  <c r="P59" i="58"/>
  <c r="X59" i="58"/>
  <c r="N70" i="66"/>
  <c r="P70" i="66" s="1"/>
  <c r="R70" i="66" s="1"/>
  <c r="X73" i="58"/>
  <c r="P73" i="58"/>
  <c r="X37" i="58"/>
  <c r="P37" i="58"/>
  <c r="C85" i="69"/>
  <c r="N85" i="51"/>
  <c r="P99" i="58"/>
  <c r="X99" i="58"/>
  <c r="X30" i="58"/>
  <c r="X46" i="58"/>
  <c r="P30" i="58"/>
  <c r="V37" i="54"/>
  <c r="C75" i="69"/>
  <c r="J37" i="45"/>
  <c r="H37" i="45"/>
  <c r="I37" i="45" s="1"/>
  <c r="O67" i="51"/>
  <c r="K67" i="69"/>
  <c r="G46" i="66"/>
  <c r="H31" i="45"/>
  <c r="I31" i="45" s="1"/>
  <c r="J31" i="45"/>
  <c r="J36" i="45"/>
  <c r="H36" i="45"/>
  <c r="I36" i="45" s="1"/>
  <c r="O74" i="66"/>
  <c r="P74" i="66" s="1"/>
  <c r="R74" i="66" s="1"/>
  <c r="C67" i="69"/>
  <c r="J75" i="45"/>
  <c r="H75" i="45"/>
  <c r="I75" i="45" s="1"/>
  <c r="O35" i="51"/>
  <c r="O35" i="69" s="1"/>
  <c r="K35" i="69"/>
  <c r="K68" i="69"/>
  <c r="O68" i="51"/>
  <c r="O68" i="69" s="1"/>
  <c r="K40" i="69"/>
  <c r="O40" i="51"/>
  <c r="O40" i="69" s="1"/>
  <c r="J38" i="45"/>
  <c r="H38" i="45"/>
  <c r="I38" i="45" s="1"/>
  <c r="X69" i="58"/>
  <c r="P69" i="58"/>
  <c r="N80" i="66"/>
  <c r="X48" i="58"/>
  <c r="P48" i="58"/>
  <c r="N84" i="66"/>
  <c r="B35" i="69"/>
  <c r="N35" i="51"/>
  <c r="J7" i="54"/>
  <c r="H7" i="54"/>
  <c r="I7" i="54" s="1"/>
  <c r="X67" i="58"/>
  <c r="P67" i="58"/>
  <c r="X91" i="58"/>
  <c r="P100" i="58"/>
  <c r="X100" i="58"/>
  <c r="A46" i="66"/>
  <c r="N30" i="66"/>
  <c r="N31" i="66"/>
  <c r="P31" i="66" s="1"/>
  <c r="R31" i="66" s="1"/>
  <c r="N79" i="66"/>
  <c r="P79" i="66" s="1"/>
  <c r="R79" i="66" s="1"/>
  <c r="C74" i="69"/>
  <c r="N74" i="51"/>
  <c r="L48" i="69"/>
  <c r="N40" i="66"/>
  <c r="P40" i="66" s="1"/>
  <c r="R40" i="66" s="1"/>
  <c r="P89" i="58"/>
  <c r="X89" i="58"/>
  <c r="X63" i="58"/>
  <c r="P63" i="58"/>
  <c r="O37" i="66"/>
  <c r="O37" i="69" s="1"/>
  <c r="K85" i="69"/>
  <c r="O85" i="51"/>
  <c r="O85" i="69" s="1"/>
  <c r="D48" i="69"/>
  <c r="X95" i="58"/>
  <c r="P95" i="58"/>
  <c r="X83" i="58"/>
  <c r="P83" i="58"/>
  <c r="B38" i="69"/>
  <c r="N38" i="51"/>
  <c r="P70" i="58"/>
  <c r="X70" i="58"/>
  <c r="X44" i="58"/>
  <c r="P44" i="58"/>
  <c r="P85" i="58"/>
  <c r="X85" i="58"/>
  <c r="P31" i="58"/>
  <c r="X31" i="58"/>
  <c r="A7" i="69"/>
  <c r="N72" i="66"/>
  <c r="O36" i="51"/>
  <c r="O36" i="69" s="1"/>
  <c r="K36" i="69"/>
  <c r="D69" i="69"/>
  <c r="L44" i="69"/>
  <c r="B31" i="69"/>
  <c r="L37" i="69"/>
  <c r="C46" i="66"/>
  <c r="F76" i="69"/>
  <c r="A76" i="45"/>
  <c r="C68" i="69"/>
  <c r="N68" i="51"/>
  <c r="O48" i="51"/>
  <c r="K48" i="69"/>
  <c r="O72" i="69"/>
  <c r="E38" i="69"/>
  <c r="O41" i="69"/>
  <c r="A41" i="45"/>
  <c r="F41" i="69"/>
  <c r="F80" i="69"/>
  <c r="A80" i="45"/>
  <c r="G70" i="69"/>
  <c r="J39" i="45"/>
  <c r="H39" i="45"/>
  <c r="I39" i="45" s="1"/>
  <c r="D46" i="66"/>
  <c r="C48" i="69"/>
  <c r="J44" i="45"/>
  <c r="H44" i="45"/>
  <c r="I44" i="45" s="1"/>
  <c r="N76" i="66"/>
  <c r="P76" i="66" s="1"/>
  <c r="R76" i="66" s="1"/>
  <c r="E48" i="69"/>
  <c r="O48" i="66"/>
  <c r="C80" i="69"/>
  <c r="N80" i="51"/>
  <c r="C78" i="69"/>
  <c r="X84" i="58"/>
  <c r="P84" i="58"/>
  <c r="N38" i="66"/>
  <c r="P38" i="66" s="1"/>
  <c r="R38" i="66" s="1"/>
  <c r="X35" i="58"/>
  <c r="P35" i="58"/>
  <c r="N39" i="51"/>
  <c r="P78" i="58"/>
  <c r="X78" i="58"/>
  <c r="X74" i="58"/>
  <c r="P74" i="58"/>
  <c r="E46" i="51"/>
  <c r="E30" i="69"/>
  <c r="G69" i="69"/>
  <c r="E80" i="69"/>
  <c r="K39" i="69"/>
  <c r="O39" i="51"/>
  <c r="O39" i="69" s="1"/>
  <c r="X40" i="58"/>
  <c r="P40" i="58"/>
  <c r="F48" i="69"/>
  <c r="B36" i="69"/>
  <c r="N36" i="51"/>
  <c r="A91" i="51"/>
  <c r="A67" i="69"/>
  <c r="A91" i="69" s="1"/>
  <c r="A67" i="54"/>
  <c r="N67" i="51"/>
  <c r="G76" i="69"/>
  <c r="J44" i="69"/>
  <c r="J46" i="69" s="1"/>
  <c r="J46" i="51"/>
  <c r="N72" i="51"/>
  <c r="C72" i="69"/>
  <c r="P61" i="58"/>
  <c r="X61" i="58"/>
  <c r="X56" i="58"/>
  <c r="P56" i="58"/>
  <c r="H30" i="45"/>
  <c r="I30" i="45" s="1"/>
  <c r="J30" i="45"/>
  <c r="K37" i="69"/>
  <c r="B46" i="51"/>
  <c r="B30" i="69"/>
  <c r="J68" i="45"/>
  <c r="H68" i="45"/>
  <c r="I68" i="45" s="1"/>
  <c r="K79" i="69"/>
  <c r="O79" i="51"/>
  <c r="O79" i="69" s="1"/>
  <c r="F83" i="69"/>
  <c r="A83" i="45"/>
  <c r="K69" i="69"/>
  <c r="O69" i="51"/>
  <c r="O69" i="69" s="1"/>
  <c r="K76" i="69"/>
  <c r="O76" i="51"/>
  <c r="O76" i="69" s="1"/>
  <c r="A40" i="45"/>
  <c r="F40" i="69"/>
  <c r="E35" i="75"/>
  <c r="G46" i="51"/>
  <c r="G30" i="69"/>
  <c r="K70" i="69"/>
  <c r="O70" i="51"/>
  <c r="O70" i="69" s="1"/>
  <c r="J67" i="45"/>
  <c r="H67" i="45"/>
  <c r="I67" i="45" s="1"/>
  <c r="K41" i="69"/>
  <c r="K31" i="69"/>
  <c r="O31" i="51"/>
  <c r="O31" i="69" s="1"/>
  <c r="J85" i="45"/>
  <c r="H85" i="45"/>
  <c r="I85" i="45" s="1"/>
  <c r="P54" i="58"/>
  <c r="X54" i="58"/>
  <c r="D46" i="51"/>
  <c r="D30" i="69"/>
  <c r="K74" i="69"/>
  <c r="O74" i="51"/>
  <c r="C76" i="69"/>
  <c r="N76" i="51"/>
  <c r="X80" i="58"/>
  <c r="P80" i="58"/>
  <c r="A48" i="54"/>
  <c r="N48" i="51"/>
  <c r="A48" i="69"/>
  <c r="C83" i="69"/>
  <c r="N83" i="51"/>
  <c r="P98" i="58"/>
  <c r="X98" i="58"/>
  <c r="A46" i="51"/>
  <c r="A30" i="54"/>
  <c r="A30" i="69"/>
  <c r="N30" i="51"/>
  <c r="O44" i="66"/>
  <c r="O44" i="69" s="1"/>
  <c r="J46" i="66"/>
  <c r="P60" i="58"/>
  <c r="X60" i="58"/>
  <c r="P36" i="58"/>
  <c r="X36" i="58"/>
  <c r="N79" i="51"/>
  <c r="C79" i="69"/>
  <c r="X88" i="58"/>
  <c r="P88" i="58"/>
  <c r="O30" i="66"/>
  <c r="K46" i="66"/>
  <c r="X94" i="58"/>
  <c r="X102" i="58"/>
  <c r="P94" i="58"/>
  <c r="X72" i="58"/>
  <c r="P72" i="58"/>
  <c r="N70" i="51"/>
  <c r="F30" i="69"/>
  <c r="P75" i="51"/>
  <c r="M75" i="45"/>
  <c r="M75" i="54"/>
  <c r="N84" i="51"/>
  <c r="P37" i="51" l="1"/>
  <c r="X62" i="58"/>
  <c r="M37" i="45"/>
  <c r="P72" i="66"/>
  <c r="R72" i="66" s="1"/>
  <c r="G46" i="69"/>
  <c r="C46" i="69"/>
  <c r="P37" i="66"/>
  <c r="R37" i="66" s="1"/>
  <c r="D46" i="69"/>
  <c r="O74" i="69"/>
  <c r="A46" i="45"/>
  <c r="H46" i="45" s="1"/>
  <c r="I46" i="45" s="1"/>
  <c r="E46" i="69"/>
  <c r="P44" i="66"/>
  <c r="R44" i="66" s="1"/>
  <c r="O46" i="66"/>
  <c r="A46" i="69"/>
  <c r="B46" i="69"/>
  <c r="N46" i="51"/>
  <c r="M30" i="54"/>
  <c r="P30" i="51"/>
  <c r="M30" i="45"/>
  <c r="R72" i="58"/>
  <c r="V72" i="58"/>
  <c r="P79" i="51"/>
  <c r="M79" i="54"/>
  <c r="M79" i="45"/>
  <c r="V75" i="54"/>
  <c r="T75" i="54"/>
  <c r="U75" i="54" s="1"/>
  <c r="F46" i="69"/>
  <c r="J30" i="54"/>
  <c r="A46" i="54"/>
  <c r="H30" i="54"/>
  <c r="I30" i="54" s="1"/>
  <c r="R98" i="58"/>
  <c r="V98" i="58"/>
  <c r="M83" i="45"/>
  <c r="M83" i="54"/>
  <c r="P76" i="51"/>
  <c r="M76" i="45"/>
  <c r="M76" i="54"/>
  <c r="M67" i="45"/>
  <c r="M67" i="54"/>
  <c r="P67" i="51"/>
  <c r="M36" i="54"/>
  <c r="P36" i="51"/>
  <c r="M36" i="45"/>
  <c r="R40" i="58"/>
  <c r="V40" i="58"/>
  <c r="R74" i="58"/>
  <c r="V74" i="58"/>
  <c r="M80" i="54"/>
  <c r="M80" i="45"/>
  <c r="R31" i="58"/>
  <c r="V31" i="58"/>
  <c r="R85" i="58"/>
  <c r="V85" i="58"/>
  <c r="P38" i="51"/>
  <c r="M38" i="54"/>
  <c r="M38" i="45"/>
  <c r="R89" i="58"/>
  <c r="V89" i="58"/>
  <c r="N46" i="66"/>
  <c r="P30" i="66"/>
  <c r="R30" i="66" s="1"/>
  <c r="M35" i="54"/>
  <c r="P35" i="51"/>
  <c r="M35" i="45"/>
  <c r="R69" i="58"/>
  <c r="V69" i="58"/>
  <c r="R37" i="58"/>
  <c r="V37" i="58"/>
  <c r="R59" i="58"/>
  <c r="V59" i="58"/>
  <c r="M44" i="54"/>
  <c r="P44" i="51"/>
  <c r="M44" i="45"/>
  <c r="P40" i="51"/>
  <c r="M40" i="45"/>
  <c r="M40" i="54"/>
  <c r="J31" i="54"/>
  <c r="H31" i="54"/>
  <c r="I31" i="54" s="1"/>
  <c r="M41" i="45"/>
  <c r="P41" i="51"/>
  <c r="M41" i="54"/>
  <c r="M84" i="54"/>
  <c r="M84" i="45"/>
  <c r="V75" i="45"/>
  <c r="N75" i="69"/>
  <c r="T75" i="45"/>
  <c r="U75" i="45" s="1"/>
  <c r="R94" i="58"/>
  <c r="P102" i="58"/>
  <c r="V102" i="58" s="1"/>
  <c r="V94" i="58"/>
  <c r="R88" i="58"/>
  <c r="V88" i="58"/>
  <c r="R36" i="58"/>
  <c r="V36" i="58"/>
  <c r="R60" i="58"/>
  <c r="V60" i="58"/>
  <c r="M48" i="45"/>
  <c r="M48" i="54"/>
  <c r="P48" i="51"/>
  <c r="J83" i="45"/>
  <c r="H83" i="45"/>
  <c r="I83" i="45" s="1"/>
  <c r="R56" i="58"/>
  <c r="V56" i="58"/>
  <c r="R61" i="58"/>
  <c r="V61" i="58"/>
  <c r="J67" i="54"/>
  <c r="H67" i="54"/>
  <c r="I67" i="54" s="1"/>
  <c r="A91" i="54"/>
  <c r="R78" i="58"/>
  <c r="V78" i="58"/>
  <c r="R84" i="58"/>
  <c r="V84" i="58"/>
  <c r="J76" i="45"/>
  <c r="H76" i="45"/>
  <c r="I76" i="45" s="1"/>
  <c r="R95" i="58"/>
  <c r="V95" i="58"/>
  <c r="R63" i="58"/>
  <c r="V63" i="58"/>
  <c r="R100" i="58"/>
  <c r="V100" i="58"/>
  <c r="R99" i="58"/>
  <c r="V99" i="58"/>
  <c r="O30" i="69"/>
  <c r="O46" i="51"/>
  <c r="R62" i="58"/>
  <c r="V62" i="58"/>
  <c r="R77" i="58"/>
  <c r="V77" i="58"/>
  <c r="R87" i="58"/>
  <c r="V87" i="58"/>
  <c r="R76" i="58"/>
  <c r="V76" i="58"/>
  <c r="J72" i="45"/>
  <c r="H72" i="45"/>
  <c r="I72" i="45" s="1"/>
  <c r="R97" i="58"/>
  <c r="V97" i="58"/>
  <c r="J84" i="45"/>
  <c r="H84" i="45"/>
  <c r="I84" i="45" s="1"/>
  <c r="V37" i="51"/>
  <c r="R37" i="51"/>
  <c r="P75" i="69"/>
  <c r="R75" i="51"/>
  <c r="V75" i="51"/>
  <c r="R80" i="58"/>
  <c r="V80" i="58"/>
  <c r="R54" i="58"/>
  <c r="V54" i="58"/>
  <c r="P39" i="51"/>
  <c r="M39" i="45"/>
  <c r="M39" i="54"/>
  <c r="R35" i="58"/>
  <c r="V35" i="58"/>
  <c r="J41" i="45"/>
  <c r="H41" i="45"/>
  <c r="I41" i="45" s="1"/>
  <c r="R70" i="58"/>
  <c r="V70" i="58"/>
  <c r="R83" i="58"/>
  <c r="V83" i="58"/>
  <c r="R48" i="58"/>
  <c r="P65" i="58"/>
  <c r="V65" i="58" s="1"/>
  <c r="V48" i="58"/>
  <c r="R30" i="58"/>
  <c r="P46" i="58"/>
  <c r="V46" i="58" s="1"/>
  <c r="V30" i="58"/>
  <c r="P85" i="51"/>
  <c r="M85" i="45"/>
  <c r="M85" i="54"/>
  <c r="R73" i="58"/>
  <c r="V73" i="58"/>
  <c r="R79" i="58"/>
  <c r="V79" i="58"/>
  <c r="J70" i="45"/>
  <c r="H70" i="45"/>
  <c r="I70" i="45" s="1"/>
  <c r="R75" i="58"/>
  <c r="V75" i="58"/>
  <c r="L46" i="69"/>
  <c r="H69" i="45"/>
  <c r="I69" i="45" s="1"/>
  <c r="J69" i="45"/>
  <c r="J48" i="54"/>
  <c r="H48" i="54"/>
  <c r="I48" i="54" s="1"/>
  <c r="P70" i="51"/>
  <c r="M70" i="54"/>
  <c r="M70" i="45"/>
  <c r="J40" i="45"/>
  <c r="H40" i="45"/>
  <c r="I40" i="45" s="1"/>
  <c r="M72" i="45"/>
  <c r="P72" i="51"/>
  <c r="M72" i="54"/>
  <c r="J80" i="45"/>
  <c r="H80" i="45"/>
  <c r="I80" i="45" s="1"/>
  <c r="O48" i="69"/>
  <c r="P68" i="51"/>
  <c r="M68" i="45"/>
  <c r="M68" i="54"/>
  <c r="R44" i="58"/>
  <c r="V44" i="58"/>
  <c r="P74" i="51"/>
  <c r="M74" i="54"/>
  <c r="M74" i="45"/>
  <c r="R67" i="58"/>
  <c r="P91" i="58"/>
  <c r="V91" i="58" s="1"/>
  <c r="V67" i="58"/>
  <c r="O67" i="69"/>
  <c r="K46" i="69"/>
  <c r="J44" i="54"/>
  <c r="H44" i="54"/>
  <c r="I44" i="54" s="1"/>
  <c r="P67" i="66"/>
  <c r="R67" i="66" s="1"/>
  <c r="P31" i="51"/>
  <c r="M31" i="54"/>
  <c r="M31" i="45"/>
  <c r="P48" i="66"/>
  <c r="R48" i="66" s="1"/>
  <c r="P69" i="51"/>
  <c r="M69" i="45"/>
  <c r="M69" i="54"/>
  <c r="V37" i="45" l="1"/>
  <c r="N37" i="69"/>
  <c r="T37" i="45"/>
  <c r="U37" i="45" s="1"/>
  <c r="P37" i="69"/>
  <c r="R91" i="58"/>
  <c r="P46" i="66"/>
  <c r="R46" i="66" s="1"/>
  <c r="J46" i="45"/>
  <c r="R65" i="58"/>
  <c r="V74" i="45"/>
  <c r="N74" i="69"/>
  <c r="T74" i="45"/>
  <c r="U74" i="45" s="1"/>
  <c r="V68" i="54"/>
  <c r="T68" i="54"/>
  <c r="U68" i="54" s="1"/>
  <c r="N72" i="69"/>
  <c r="V72" i="45"/>
  <c r="T72" i="45"/>
  <c r="U72" i="45" s="1"/>
  <c r="N70" i="69"/>
  <c r="V70" i="45"/>
  <c r="T70" i="45"/>
  <c r="U70" i="45" s="1"/>
  <c r="V39" i="51"/>
  <c r="P39" i="69"/>
  <c r="R39" i="51"/>
  <c r="V48" i="54"/>
  <c r="T48" i="54"/>
  <c r="U48" i="54" s="1"/>
  <c r="N84" i="69"/>
  <c r="V84" i="45"/>
  <c r="T84" i="45"/>
  <c r="U84" i="45" s="1"/>
  <c r="V40" i="51"/>
  <c r="P40" i="69"/>
  <c r="R40" i="51"/>
  <c r="P44" i="69"/>
  <c r="V44" i="51"/>
  <c r="R44" i="51"/>
  <c r="N35" i="69"/>
  <c r="V35" i="45"/>
  <c r="T35" i="45"/>
  <c r="U35" i="45" s="1"/>
  <c r="V38" i="45"/>
  <c r="N38" i="69"/>
  <c r="T38" i="45"/>
  <c r="U38" i="45" s="1"/>
  <c r="V80" i="54"/>
  <c r="T80" i="54"/>
  <c r="U80" i="54" s="1"/>
  <c r="V36" i="51"/>
  <c r="R36" i="51"/>
  <c r="P36" i="69"/>
  <c r="N67" i="69"/>
  <c r="V67" i="45"/>
  <c r="T67" i="45"/>
  <c r="U67" i="45" s="1"/>
  <c r="V76" i="54"/>
  <c r="T76" i="54"/>
  <c r="U76" i="54" s="1"/>
  <c r="V83" i="54"/>
  <c r="T83" i="54"/>
  <c r="U83" i="54" s="1"/>
  <c r="P30" i="69"/>
  <c r="V30" i="51"/>
  <c r="R30" i="51"/>
  <c r="P46" i="51"/>
  <c r="V46" i="51" s="1"/>
  <c r="V69" i="45"/>
  <c r="N69" i="69"/>
  <c r="T69" i="45"/>
  <c r="U69" i="45" s="1"/>
  <c r="V31" i="45"/>
  <c r="N31" i="69"/>
  <c r="T31" i="45"/>
  <c r="U31" i="45" s="1"/>
  <c r="P69" i="69"/>
  <c r="R69" i="51"/>
  <c r="V69" i="51"/>
  <c r="V31" i="54"/>
  <c r="T31" i="54"/>
  <c r="U31" i="54" s="1"/>
  <c r="V74" i="54"/>
  <c r="T74" i="54"/>
  <c r="U74" i="54" s="1"/>
  <c r="N68" i="69"/>
  <c r="V68" i="45"/>
  <c r="T68" i="45"/>
  <c r="U68" i="45" s="1"/>
  <c r="V70" i="54"/>
  <c r="T70" i="54"/>
  <c r="U70" i="54" s="1"/>
  <c r="V85" i="54"/>
  <c r="T85" i="54"/>
  <c r="U85" i="54" s="1"/>
  <c r="R46" i="58"/>
  <c r="V48" i="45"/>
  <c r="T48" i="45"/>
  <c r="U48" i="45" s="1"/>
  <c r="N48" i="69"/>
  <c r="V84" i="54"/>
  <c r="T84" i="54"/>
  <c r="U84" i="54" s="1"/>
  <c r="V41" i="54"/>
  <c r="T41" i="54"/>
  <c r="U41" i="54" s="1"/>
  <c r="V44" i="54"/>
  <c r="T44" i="54"/>
  <c r="U44" i="54" s="1"/>
  <c r="V35" i="51"/>
  <c r="R35" i="51"/>
  <c r="P35" i="69"/>
  <c r="V38" i="54"/>
  <c r="T38" i="54"/>
  <c r="U38" i="54" s="1"/>
  <c r="V36" i="54"/>
  <c r="T36" i="54"/>
  <c r="U36" i="54" s="1"/>
  <c r="N76" i="69"/>
  <c r="V76" i="45"/>
  <c r="T76" i="45"/>
  <c r="U76" i="45" s="1"/>
  <c r="V83" i="45"/>
  <c r="N83" i="69"/>
  <c r="T83" i="45"/>
  <c r="U83" i="45" s="1"/>
  <c r="N79" i="69"/>
  <c r="V79" i="45"/>
  <c r="T79" i="45"/>
  <c r="U79" i="45" s="1"/>
  <c r="M46" i="54"/>
  <c r="V30" i="54"/>
  <c r="T30" i="54"/>
  <c r="U30" i="54" s="1"/>
  <c r="R31" i="51"/>
  <c r="V31" i="51"/>
  <c r="P31" i="69"/>
  <c r="R74" i="51"/>
  <c r="P74" i="69"/>
  <c r="V74" i="51"/>
  <c r="P68" i="69"/>
  <c r="R68" i="51"/>
  <c r="V68" i="51"/>
  <c r="T72" i="54"/>
  <c r="U72" i="54" s="1"/>
  <c r="V72" i="54"/>
  <c r="R70" i="51"/>
  <c r="P70" i="69"/>
  <c r="V70" i="51"/>
  <c r="N85" i="69"/>
  <c r="V85" i="45"/>
  <c r="T85" i="45"/>
  <c r="U85" i="45" s="1"/>
  <c r="V39" i="54"/>
  <c r="T39" i="54"/>
  <c r="U39" i="54" s="1"/>
  <c r="J91" i="54"/>
  <c r="H91" i="54"/>
  <c r="I91" i="54" s="1"/>
  <c r="R102" i="58"/>
  <c r="P41" i="69"/>
  <c r="V41" i="51"/>
  <c r="R41" i="51"/>
  <c r="V40" i="54"/>
  <c r="T40" i="54"/>
  <c r="U40" i="54" s="1"/>
  <c r="V35" i="54"/>
  <c r="T35" i="54"/>
  <c r="U35" i="54" s="1"/>
  <c r="R38" i="51"/>
  <c r="P38" i="69"/>
  <c r="V38" i="51"/>
  <c r="P67" i="69"/>
  <c r="V67" i="51"/>
  <c r="R67" i="51"/>
  <c r="V76" i="51"/>
  <c r="P76" i="69"/>
  <c r="R76" i="51"/>
  <c r="J46" i="54"/>
  <c r="H46" i="54"/>
  <c r="I46" i="54" s="1"/>
  <c r="V79" i="54"/>
  <c r="T79" i="54"/>
  <c r="U79" i="54" s="1"/>
  <c r="V69" i="54"/>
  <c r="T69" i="54"/>
  <c r="U69" i="54" s="1"/>
  <c r="R72" i="51"/>
  <c r="V72" i="51"/>
  <c r="P72" i="69"/>
  <c r="R85" i="51"/>
  <c r="P85" i="69"/>
  <c r="V85" i="51"/>
  <c r="V39" i="45"/>
  <c r="N39" i="69"/>
  <c r="T39" i="45"/>
  <c r="U39" i="45" s="1"/>
  <c r="V48" i="51"/>
  <c r="P48" i="69"/>
  <c r="R48" i="51"/>
  <c r="V41" i="45"/>
  <c r="N41" i="69"/>
  <c r="T41" i="45"/>
  <c r="U41" i="45" s="1"/>
  <c r="N40" i="69"/>
  <c r="V40" i="45"/>
  <c r="T40" i="45"/>
  <c r="U40" i="45" s="1"/>
  <c r="V44" i="45"/>
  <c r="N44" i="69"/>
  <c r="T44" i="45"/>
  <c r="U44" i="45" s="1"/>
  <c r="V80" i="45"/>
  <c r="N80" i="69"/>
  <c r="T80" i="45"/>
  <c r="U80" i="45" s="1"/>
  <c r="V36" i="45"/>
  <c r="N36" i="69"/>
  <c r="T36" i="45"/>
  <c r="U36" i="45" s="1"/>
  <c r="V67" i="54"/>
  <c r="T67" i="54"/>
  <c r="U67" i="54" s="1"/>
  <c r="P79" i="69"/>
  <c r="V79" i="51"/>
  <c r="R79" i="51"/>
  <c r="V30" i="45"/>
  <c r="M46" i="45"/>
  <c r="N30" i="69"/>
  <c r="T30" i="45"/>
  <c r="U30" i="45" s="1"/>
  <c r="V46" i="45" l="1"/>
  <c r="T46" i="45"/>
  <c r="U46" i="45" s="1"/>
  <c r="T46" i="54"/>
  <c r="U46" i="54" s="1"/>
  <c r="V46" i="54"/>
  <c r="R46" i="51"/>
  <c r="N46" i="69"/>
  <c r="U5" i="76" l="1"/>
  <c r="N102" i="57" l="1"/>
  <c r="X22" i="51" l="1"/>
  <c r="X26" i="51"/>
  <c r="Y26" i="51" s="1"/>
  <c r="B22" i="66"/>
  <c r="L24" i="66"/>
  <c r="L24" i="51"/>
  <c r="C22" i="66"/>
  <c r="C22" i="51"/>
  <c r="B23" i="66"/>
  <c r="G23" i="51"/>
  <c r="E23" i="66"/>
  <c r="F23" i="66"/>
  <c r="X23" i="51"/>
  <c r="Y23" i="51" s="1"/>
  <c r="D24" i="66"/>
  <c r="E22" i="51"/>
  <c r="E22" i="66"/>
  <c r="C26" i="51"/>
  <c r="C23" i="66"/>
  <c r="G22" i="51"/>
  <c r="G22" i="66"/>
  <c r="L22" i="66"/>
  <c r="E26" i="66"/>
  <c r="E26" i="51"/>
  <c r="E24" i="66"/>
  <c r="B24" i="66"/>
  <c r="X24" i="51"/>
  <c r="Y24" i="51" s="1"/>
  <c r="G24" i="66"/>
  <c r="D26" i="66"/>
  <c r="D22" i="51"/>
  <c r="L26" i="66"/>
  <c r="B26" i="51"/>
  <c r="G26" i="66"/>
  <c r="D23" i="66"/>
  <c r="L23" i="66"/>
  <c r="L23" i="51"/>
  <c r="F22" i="66"/>
  <c r="C24" i="66"/>
  <c r="F24" i="66"/>
  <c r="L28" i="58"/>
  <c r="L110" i="58" s="1"/>
  <c r="L21" i="51"/>
  <c r="A24" i="51"/>
  <c r="A23" i="51"/>
  <c r="A26" i="51"/>
  <c r="C21" i="51"/>
  <c r="D21" i="66"/>
  <c r="E21" i="51"/>
  <c r="G22" i="69" l="1"/>
  <c r="L23" i="69"/>
  <c r="D26" i="51"/>
  <c r="B24" i="51"/>
  <c r="B24" i="69" s="1"/>
  <c r="F23" i="51"/>
  <c r="B23" i="51"/>
  <c r="B23" i="69" s="1"/>
  <c r="K28" i="58"/>
  <c r="K110" i="58" s="1"/>
  <c r="L26" i="51"/>
  <c r="L26" i="69" s="1"/>
  <c r="C26" i="66"/>
  <c r="C26" i="69" s="1"/>
  <c r="D21" i="51"/>
  <c r="D21" i="69" s="1"/>
  <c r="F24" i="51"/>
  <c r="F24" i="69" s="1"/>
  <c r="F22" i="51"/>
  <c r="F22" i="69" s="1"/>
  <c r="C23" i="51"/>
  <c r="C23" i="69" s="1"/>
  <c r="E22" i="69"/>
  <c r="D28" i="58"/>
  <c r="D110" i="58" s="1"/>
  <c r="G26" i="51"/>
  <c r="G26" i="69" s="1"/>
  <c r="E24" i="51"/>
  <c r="E24" i="69" s="1"/>
  <c r="D24" i="51"/>
  <c r="E23" i="51"/>
  <c r="E23" i="69" s="1"/>
  <c r="A21" i="56"/>
  <c r="A28" i="58"/>
  <c r="K21" i="51"/>
  <c r="G21" i="66"/>
  <c r="G28" i="58"/>
  <c r="G110" i="58" s="1"/>
  <c r="G21" i="51"/>
  <c r="K21" i="66"/>
  <c r="F28" i="58"/>
  <c r="F110" i="58" s="1"/>
  <c r="E28" i="58"/>
  <c r="E110" i="58" s="1"/>
  <c r="E21" i="66"/>
  <c r="A21" i="66"/>
  <c r="A21" i="51"/>
  <c r="A24" i="54"/>
  <c r="A26" i="54"/>
  <c r="A23" i="54"/>
  <c r="A22" i="66"/>
  <c r="A22" i="56"/>
  <c r="A24" i="45"/>
  <c r="L21" i="66"/>
  <c r="L28" i="66" s="1"/>
  <c r="F26" i="51"/>
  <c r="F26" i="66"/>
  <c r="C22" i="69"/>
  <c r="A26" i="66"/>
  <c r="A26" i="69" s="1"/>
  <c r="A26" i="56"/>
  <c r="A23" i="56"/>
  <c r="A23" i="66"/>
  <c r="K24" i="66"/>
  <c r="O24" i="66" s="1"/>
  <c r="K24" i="51"/>
  <c r="D26" i="69"/>
  <c r="E26" i="69"/>
  <c r="C28" i="58"/>
  <c r="C110" i="58" s="1"/>
  <c r="C21" i="66"/>
  <c r="K23" i="66"/>
  <c r="O23" i="66" s="1"/>
  <c r="K23" i="51"/>
  <c r="K22" i="66"/>
  <c r="O22" i="66" s="1"/>
  <c r="K22" i="51"/>
  <c r="L24" i="69"/>
  <c r="K26" i="66"/>
  <c r="O26" i="66" s="1"/>
  <c r="K26" i="51"/>
  <c r="A24" i="66"/>
  <c r="N24" i="66" s="1"/>
  <c r="A24" i="56"/>
  <c r="A22" i="51"/>
  <c r="D24" i="69"/>
  <c r="B26" i="66"/>
  <c r="B26" i="69" s="1"/>
  <c r="C24" i="51"/>
  <c r="D23" i="51"/>
  <c r="D23" i="69" s="1"/>
  <c r="G24" i="51"/>
  <c r="G24" i="69" s="1"/>
  <c r="L22" i="51"/>
  <c r="L22" i="69" s="1"/>
  <c r="D22" i="66"/>
  <c r="B22" i="51"/>
  <c r="B22" i="69" s="1"/>
  <c r="G23" i="66"/>
  <c r="G23" i="69" s="1"/>
  <c r="A22" i="45" l="1"/>
  <c r="C28" i="66"/>
  <c r="P24" i="66"/>
  <c r="R24" i="66" s="1"/>
  <c r="N26" i="51"/>
  <c r="M26" i="54" s="1"/>
  <c r="F23" i="69"/>
  <c r="A23" i="45"/>
  <c r="N23" i="51"/>
  <c r="M23" i="45" s="1"/>
  <c r="L28" i="51"/>
  <c r="P23" i="58"/>
  <c r="X23" i="58"/>
  <c r="N26" i="66"/>
  <c r="P26" i="66" s="1"/>
  <c r="R26" i="66" s="1"/>
  <c r="F26" i="69"/>
  <c r="A26" i="45"/>
  <c r="H26" i="54"/>
  <c r="I26" i="54" s="1"/>
  <c r="J26" i="54"/>
  <c r="J24" i="54"/>
  <c r="H24" i="54"/>
  <c r="I24" i="54" s="1"/>
  <c r="A21" i="54"/>
  <c r="A21" i="69"/>
  <c r="G21" i="69"/>
  <c r="G28" i="69" s="1"/>
  <c r="G28" i="51"/>
  <c r="O21" i="51"/>
  <c r="K21" i="69"/>
  <c r="E21" i="69"/>
  <c r="A22" i="54"/>
  <c r="A22" i="69"/>
  <c r="N22" i="51"/>
  <c r="K22" i="69"/>
  <c r="O22" i="51"/>
  <c r="O22" i="69" s="1"/>
  <c r="K24" i="69"/>
  <c r="O24" i="51"/>
  <c r="O24" i="69" s="1"/>
  <c r="N22" i="66"/>
  <c r="P22" i="66" s="1"/>
  <c r="R22" i="66" s="1"/>
  <c r="L21" i="69"/>
  <c r="L28" i="69" s="1"/>
  <c r="X21" i="58"/>
  <c r="P21" i="58"/>
  <c r="H22" i="45"/>
  <c r="I22" i="45" s="1"/>
  <c r="J22" i="45"/>
  <c r="C24" i="69"/>
  <c r="C28" i="51"/>
  <c r="X24" i="58"/>
  <c r="P24" i="58"/>
  <c r="O26" i="51"/>
  <c r="O26" i="69" s="1"/>
  <c r="K26" i="69"/>
  <c r="X26" i="58"/>
  <c r="P26" i="58"/>
  <c r="D22" i="69"/>
  <c r="H24" i="45"/>
  <c r="I24" i="45" s="1"/>
  <c r="J24" i="45"/>
  <c r="J23" i="54"/>
  <c r="H23" i="54"/>
  <c r="I23" i="54" s="1"/>
  <c r="N24" i="51"/>
  <c r="C21" i="69"/>
  <c r="G28" i="66"/>
  <c r="A110" i="58"/>
  <c r="K23" i="69"/>
  <c r="O23" i="51"/>
  <c r="O23" i="69" s="1"/>
  <c r="N23" i="66"/>
  <c r="P23" i="66" s="1"/>
  <c r="R23" i="66" s="1"/>
  <c r="X22" i="58"/>
  <c r="P22" i="58"/>
  <c r="A23" i="69"/>
  <c r="A24" i="69"/>
  <c r="O21" i="66"/>
  <c r="C28" i="69" l="1"/>
  <c r="M23" i="54"/>
  <c r="V23" i="54" s="1"/>
  <c r="M26" i="45"/>
  <c r="V26" i="45" s="1"/>
  <c r="H23" i="45"/>
  <c r="I23" i="45" s="1"/>
  <c r="J23" i="45"/>
  <c r="M24" i="54"/>
  <c r="P24" i="51"/>
  <c r="M24" i="45"/>
  <c r="R21" i="58"/>
  <c r="V21" i="58"/>
  <c r="T23" i="54"/>
  <c r="U23" i="54" s="1"/>
  <c r="P22" i="51"/>
  <c r="M22" i="54"/>
  <c r="M22" i="45"/>
  <c r="H21" i="54"/>
  <c r="I21" i="54" s="1"/>
  <c r="J21" i="54"/>
  <c r="P26" i="51"/>
  <c r="R26" i="58"/>
  <c r="V26" i="58"/>
  <c r="R24" i="58"/>
  <c r="V24" i="58"/>
  <c r="P23" i="51"/>
  <c r="T26" i="54"/>
  <c r="U26" i="54" s="1"/>
  <c r="V26" i="54"/>
  <c r="R22" i="58"/>
  <c r="V22" i="58"/>
  <c r="N23" i="69"/>
  <c r="V23" i="45"/>
  <c r="T23" i="45"/>
  <c r="U23" i="45" s="1"/>
  <c r="J22" i="54"/>
  <c r="H22" i="54"/>
  <c r="I22" i="54" s="1"/>
  <c r="O21" i="69"/>
  <c r="J26" i="45"/>
  <c r="H26" i="45"/>
  <c r="I26" i="45" s="1"/>
  <c r="R23" i="58"/>
  <c r="V23" i="58"/>
  <c r="T26" i="45" l="1"/>
  <c r="U26" i="45" s="1"/>
  <c r="N26" i="69"/>
  <c r="V26" i="51"/>
  <c r="P26" i="69"/>
  <c r="R26" i="51"/>
  <c r="V22" i="45"/>
  <c r="N22" i="69"/>
  <c r="T22" i="45"/>
  <c r="U22" i="45" s="1"/>
  <c r="N24" i="69"/>
  <c r="T24" i="45"/>
  <c r="U24" i="45" s="1"/>
  <c r="V24" i="45"/>
  <c r="R23" i="51"/>
  <c r="V23" i="51"/>
  <c r="P23" i="69"/>
  <c r="V22" i="54"/>
  <c r="T22" i="54"/>
  <c r="U22" i="54" s="1"/>
  <c r="V24" i="51"/>
  <c r="R24" i="51"/>
  <c r="P24" i="69"/>
  <c r="V22" i="51"/>
  <c r="P22" i="69"/>
  <c r="R22" i="51"/>
  <c r="V24" i="54"/>
  <c r="T24" i="54"/>
  <c r="U24" i="54" s="1"/>
  <c r="X7" i="51" l="1"/>
  <c r="Y7" i="51" s="1"/>
  <c r="U7" i="51"/>
  <c r="U8" i="76"/>
  <c r="E10" i="75"/>
  <c r="G7" i="51"/>
  <c r="D7" i="51"/>
  <c r="F7" i="51"/>
  <c r="B7" i="66" l="1"/>
  <c r="B7" i="51"/>
  <c r="G7" i="66"/>
  <c r="G7" i="69" s="1"/>
  <c r="L7" i="51"/>
  <c r="E7" i="66"/>
  <c r="E36" i="75"/>
  <c r="K7" i="66"/>
  <c r="A7" i="45"/>
  <c r="C7" i="51"/>
  <c r="D7" i="66"/>
  <c r="F7" i="66"/>
  <c r="F7" i="69" s="1"/>
  <c r="L7" i="66"/>
  <c r="E7" i="51"/>
  <c r="K7" i="51"/>
  <c r="C7" i="66"/>
  <c r="B7" i="69" l="1"/>
  <c r="N7" i="51"/>
  <c r="M7" i="54" s="1"/>
  <c r="P7" i="60"/>
  <c r="L7" i="69"/>
  <c r="O7" i="51"/>
  <c r="K7" i="69"/>
  <c r="N7" i="66"/>
  <c r="E7" i="69"/>
  <c r="C7" i="69"/>
  <c r="J7" i="45"/>
  <c r="H7" i="45"/>
  <c r="I7" i="45" s="1"/>
  <c r="O7" i="66"/>
  <c r="D7" i="69"/>
  <c r="M7" i="45" l="1"/>
  <c r="T7" i="45" s="1"/>
  <c r="U7" i="45" s="1"/>
  <c r="O7" i="69"/>
  <c r="R7" i="60"/>
  <c r="V7" i="60"/>
  <c r="P7" i="51"/>
  <c r="V7" i="54"/>
  <c r="T7" i="54"/>
  <c r="U7" i="54" s="1"/>
  <c r="P7" i="66"/>
  <c r="R7" i="66" s="1"/>
  <c r="V7" i="45" l="1"/>
  <c r="N7" i="69"/>
  <c r="P7" i="69"/>
  <c r="V7" i="51"/>
  <c r="R7" i="51"/>
  <c r="X84" i="63" l="1"/>
  <c r="X80" i="63"/>
  <c r="X83" i="63"/>
  <c r="X82" i="63"/>
  <c r="G88" i="66"/>
  <c r="L88" i="66"/>
  <c r="X86" i="51"/>
  <c r="L86" i="66"/>
  <c r="X88" i="51"/>
  <c r="X84" i="51"/>
  <c r="X80" i="51"/>
  <c r="X81" i="51"/>
  <c r="X81" i="63"/>
  <c r="X78" i="51"/>
  <c r="Q81" i="51"/>
  <c r="E87" i="66"/>
  <c r="L89" i="66"/>
  <c r="L89" i="51"/>
  <c r="E89" i="66"/>
  <c r="L88" i="51"/>
  <c r="L77" i="66"/>
  <c r="L86" i="51"/>
  <c r="L84" i="66"/>
  <c r="L84" i="51"/>
  <c r="X87" i="51"/>
  <c r="X83" i="51"/>
  <c r="X82" i="51"/>
  <c r="X89" i="51"/>
  <c r="K81" i="51"/>
  <c r="L82" i="66"/>
  <c r="Q82" i="51"/>
  <c r="Z82" i="51" s="1"/>
  <c r="AA82" i="51" s="1"/>
  <c r="AB82" i="51" s="1"/>
  <c r="E87" i="51"/>
  <c r="G88" i="51"/>
  <c r="G86" i="66"/>
  <c r="G86" i="51"/>
  <c r="E86" i="66"/>
  <c r="F89" i="66"/>
  <c r="C89" i="66"/>
  <c r="L77" i="51"/>
  <c r="X77" i="51"/>
  <c r="X73" i="51"/>
  <c r="K81" i="66"/>
  <c r="C88" i="66"/>
  <c r="C88" i="51"/>
  <c r="Q87" i="51"/>
  <c r="Z87" i="51" s="1"/>
  <c r="AA87" i="51" s="1"/>
  <c r="AB87" i="51" s="1"/>
  <c r="F78" i="66"/>
  <c r="G87" i="66"/>
  <c r="G87" i="51"/>
  <c r="F87" i="66"/>
  <c r="F87" i="51"/>
  <c r="A87" i="45" s="1"/>
  <c r="F88" i="66"/>
  <c r="F78" i="51"/>
  <c r="K82" i="66"/>
  <c r="P82" i="63"/>
  <c r="R82" i="63" s="1"/>
  <c r="L83" i="66"/>
  <c r="L83" i="51"/>
  <c r="G78" i="51"/>
  <c r="G78" i="66"/>
  <c r="L87" i="51"/>
  <c r="L87" i="66"/>
  <c r="Q78" i="51"/>
  <c r="Z78" i="51" s="1"/>
  <c r="AA78" i="51" s="1"/>
  <c r="AB78" i="51" s="1"/>
  <c r="Q86" i="51"/>
  <c r="F86" i="66"/>
  <c r="F86" i="51"/>
  <c r="F77" i="66"/>
  <c r="Q83" i="51"/>
  <c r="B89" i="51"/>
  <c r="K77" i="51"/>
  <c r="P83" i="63"/>
  <c r="K83" i="66"/>
  <c r="K83" i="51"/>
  <c r="Q80" i="51"/>
  <c r="U80" i="51" s="1"/>
  <c r="Q88" i="51"/>
  <c r="U88" i="51" s="1"/>
  <c r="K84" i="51"/>
  <c r="P84" i="63"/>
  <c r="Q84" i="51"/>
  <c r="Z84" i="51" s="1"/>
  <c r="AA84" i="51" s="1"/>
  <c r="AB84" i="51" s="1"/>
  <c r="Q89" i="51"/>
  <c r="Z89" i="51" s="1"/>
  <c r="AA89" i="51" s="1"/>
  <c r="AB89" i="51" s="1"/>
  <c r="K87" i="66"/>
  <c r="B87" i="51"/>
  <c r="E88" i="66"/>
  <c r="E88" i="51"/>
  <c r="C73" i="51"/>
  <c r="C91" i="63"/>
  <c r="C110" i="63" s="1"/>
  <c r="C112" i="63" s="1"/>
  <c r="C129" i="63" s="1"/>
  <c r="C73" i="66"/>
  <c r="K77" i="66"/>
  <c r="Q77" i="51"/>
  <c r="Z77" i="51" s="1"/>
  <c r="AA77" i="51" s="1"/>
  <c r="AB77" i="51" s="1"/>
  <c r="G91" i="63"/>
  <c r="G110" i="63" s="1"/>
  <c r="G112" i="63" s="1"/>
  <c r="G129" i="63" s="1"/>
  <c r="G73" i="66"/>
  <c r="D91" i="63"/>
  <c r="D110" i="63" s="1"/>
  <c r="D112" i="63" s="1"/>
  <c r="D129" i="63" s="1"/>
  <c r="D73" i="51"/>
  <c r="L73" i="66"/>
  <c r="F73" i="51"/>
  <c r="A73" i="45" s="1"/>
  <c r="K80" i="51"/>
  <c r="P80" i="63"/>
  <c r="F91" i="63"/>
  <c r="F110" i="63" s="1"/>
  <c r="F112" i="63" s="1"/>
  <c r="F129" i="63" s="1"/>
  <c r="K73" i="66"/>
  <c r="Y91" i="77"/>
  <c r="Q73" i="51"/>
  <c r="Z73" i="51" s="1"/>
  <c r="AA73" i="51" s="1"/>
  <c r="AB73" i="51" s="1"/>
  <c r="L84" i="69" l="1"/>
  <c r="U86" i="51"/>
  <c r="Z86" i="51"/>
  <c r="AA86" i="51" s="1"/>
  <c r="AB86" i="51" s="1"/>
  <c r="Q87" i="69"/>
  <c r="Y88" i="51"/>
  <c r="Z88" i="51"/>
  <c r="AA88" i="51" s="1"/>
  <c r="AB88" i="51" s="1"/>
  <c r="Q83" i="69"/>
  <c r="Z83" i="51"/>
  <c r="AA83" i="51" s="1"/>
  <c r="AB83" i="51" s="1"/>
  <c r="Y87" i="51"/>
  <c r="Y80" i="51"/>
  <c r="Z80" i="51"/>
  <c r="AA80" i="51" s="1"/>
  <c r="AB80" i="51" s="1"/>
  <c r="X91" i="51"/>
  <c r="U77" i="51"/>
  <c r="U84" i="51"/>
  <c r="Y81" i="51"/>
  <c r="E88" i="69"/>
  <c r="O87" i="66"/>
  <c r="O82" i="66"/>
  <c r="P82" i="66" s="1"/>
  <c r="R82" i="66" s="1"/>
  <c r="C73" i="69"/>
  <c r="G87" i="69"/>
  <c r="F78" i="69"/>
  <c r="L87" i="69"/>
  <c r="U81" i="51"/>
  <c r="Z81" i="51"/>
  <c r="Q81" i="69"/>
  <c r="Q91" i="51"/>
  <c r="F86" i="69"/>
  <c r="L89" i="69"/>
  <c r="G78" i="69"/>
  <c r="L86" i="69"/>
  <c r="O83" i="66"/>
  <c r="P83" i="66" s="1"/>
  <c r="R83" i="66" s="1"/>
  <c r="F87" i="69"/>
  <c r="G88" i="69"/>
  <c r="L83" i="69"/>
  <c r="A78" i="45"/>
  <c r="J78" i="45" s="1"/>
  <c r="G86" i="69"/>
  <c r="J73" i="45"/>
  <c r="H73" i="45"/>
  <c r="I73" i="45" s="1"/>
  <c r="X73" i="63"/>
  <c r="P73" i="63"/>
  <c r="E77" i="66"/>
  <c r="E77" i="51"/>
  <c r="K78" i="66"/>
  <c r="K78" i="51"/>
  <c r="L78" i="66"/>
  <c r="L78" i="51"/>
  <c r="U82" i="51"/>
  <c r="Q82" i="69"/>
  <c r="O73" i="66"/>
  <c r="E91" i="63"/>
  <c r="E110" i="63" s="1"/>
  <c r="E112" i="63" s="1"/>
  <c r="E129" i="63" s="1"/>
  <c r="E73" i="66"/>
  <c r="E73" i="51"/>
  <c r="B88" i="66"/>
  <c r="B88" i="51"/>
  <c r="O77" i="51"/>
  <c r="K77" i="69"/>
  <c r="Q78" i="69"/>
  <c r="U78" i="51"/>
  <c r="J87" i="45"/>
  <c r="H87" i="45"/>
  <c r="I87" i="45" s="1"/>
  <c r="K83" i="69"/>
  <c r="O83" i="51"/>
  <c r="L80" i="66"/>
  <c r="L80" i="51"/>
  <c r="K89" i="51"/>
  <c r="K89" i="66"/>
  <c r="O89" i="66" s="1"/>
  <c r="O84" i="51"/>
  <c r="B91" i="63"/>
  <c r="B110" i="63" s="1"/>
  <c r="B112" i="63" s="1"/>
  <c r="B129" i="63" s="1"/>
  <c r="B73" i="66"/>
  <c r="B73" i="51"/>
  <c r="R80" i="63"/>
  <c r="V80" i="63"/>
  <c r="X86" i="63"/>
  <c r="P86" i="63"/>
  <c r="L91" i="63"/>
  <c r="L110" i="63" s="1"/>
  <c r="L112" i="63" s="1"/>
  <c r="L129" i="63" s="1"/>
  <c r="Q77" i="69"/>
  <c r="G73" i="51"/>
  <c r="K86" i="51"/>
  <c r="K86" i="66"/>
  <c r="O86" i="66" s="1"/>
  <c r="K80" i="66"/>
  <c r="C87" i="66"/>
  <c r="C87" i="51"/>
  <c r="Y82" i="51"/>
  <c r="K91" i="63"/>
  <c r="K110" i="63" s="1"/>
  <c r="K112" i="63" s="1"/>
  <c r="K129" i="63" s="1"/>
  <c r="U73" i="51"/>
  <c r="Q73" i="69"/>
  <c r="F73" i="66"/>
  <c r="F91" i="66" s="1"/>
  <c r="L73" i="51"/>
  <c r="K88" i="66"/>
  <c r="O88" i="66" s="1"/>
  <c r="K88" i="51"/>
  <c r="V83" i="63"/>
  <c r="R83" i="63"/>
  <c r="K81" i="69"/>
  <c r="K73" i="51"/>
  <c r="O77" i="66"/>
  <c r="D73" i="66"/>
  <c r="B86" i="66"/>
  <c r="B86" i="51"/>
  <c r="Q89" i="69"/>
  <c r="U89" i="51"/>
  <c r="V84" i="63"/>
  <c r="R84" i="63"/>
  <c r="E78" i="66"/>
  <c r="N78" i="66" s="1"/>
  <c r="E78" i="51"/>
  <c r="D87" i="66"/>
  <c r="D87" i="51"/>
  <c r="L77" i="69"/>
  <c r="B87" i="66"/>
  <c r="B89" i="66"/>
  <c r="B89" i="69" s="1"/>
  <c r="U83" i="51"/>
  <c r="F77" i="51"/>
  <c r="A86" i="45"/>
  <c r="C86" i="51"/>
  <c r="C86" i="66"/>
  <c r="Y83" i="51"/>
  <c r="D88" i="51"/>
  <c r="D88" i="66"/>
  <c r="V82" i="63"/>
  <c r="K84" i="66"/>
  <c r="O84" i="66" s="1"/>
  <c r="P84" i="66" s="1"/>
  <c r="R84" i="66" s="1"/>
  <c r="Q86" i="69"/>
  <c r="K87" i="51"/>
  <c r="Y73" i="51"/>
  <c r="E87" i="69"/>
  <c r="G77" i="51"/>
  <c r="G77" i="66"/>
  <c r="L88" i="69"/>
  <c r="L81" i="51"/>
  <c r="L81" i="66"/>
  <c r="O81" i="66" s="1"/>
  <c r="P81" i="66" s="1"/>
  <c r="R81" i="66" s="1"/>
  <c r="Y84" i="51"/>
  <c r="Q84" i="69"/>
  <c r="Q88" i="69"/>
  <c r="Q80" i="69"/>
  <c r="C88" i="69"/>
  <c r="Y77" i="51"/>
  <c r="D89" i="66"/>
  <c r="D89" i="51"/>
  <c r="Y89" i="51"/>
  <c r="G89" i="51"/>
  <c r="G89" i="66"/>
  <c r="Y78" i="51"/>
  <c r="Y86" i="51"/>
  <c r="P81" i="63"/>
  <c r="C89" i="51"/>
  <c r="C89" i="69" s="1"/>
  <c r="F89" i="51"/>
  <c r="E86" i="51"/>
  <c r="E86" i="69" s="1"/>
  <c r="L82" i="51"/>
  <c r="L82" i="69" s="1"/>
  <c r="E89" i="51"/>
  <c r="E89" i="69" s="1"/>
  <c r="F88" i="51"/>
  <c r="U87" i="51"/>
  <c r="K82" i="51"/>
  <c r="O80" i="66" l="1"/>
  <c r="P80" i="66" s="1"/>
  <c r="R80" i="66" s="1"/>
  <c r="Y91" i="51"/>
  <c r="U91" i="51"/>
  <c r="L80" i="69"/>
  <c r="O11" i="76"/>
  <c r="Z91" i="51"/>
  <c r="AA81" i="51"/>
  <c r="G91" i="66"/>
  <c r="G77" i="69"/>
  <c r="D88" i="69"/>
  <c r="H78" i="45"/>
  <c r="I78" i="45" s="1"/>
  <c r="D87" i="69"/>
  <c r="L81" i="69"/>
  <c r="N87" i="66"/>
  <c r="P87" i="66" s="1"/>
  <c r="R87" i="66" s="1"/>
  <c r="N77" i="66"/>
  <c r="P77" i="66" s="1"/>
  <c r="R77" i="66" s="1"/>
  <c r="C91" i="66"/>
  <c r="F77" i="69"/>
  <c r="A77" i="45"/>
  <c r="N86" i="66"/>
  <c r="P86" i="66" s="1"/>
  <c r="R86" i="66" s="1"/>
  <c r="F91" i="51"/>
  <c r="P88" i="63"/>
  <c r="X88" i="63"/>
  <c r="V81" i="63"/>
  <c r="R81" i="63"/>
  <c r="G89" i="69"/>
  <c r="C86" i="69"/>
  <c r="C91" i="51"/>
  <c r="X87" i="63"/>
  <c r="P87" i="63"/>
  <c r="P78" i="63"/>
  <c r="X78" i="63"/>
  <c r="D91" i="66"/>
  <c r="D73" i="69"/>
  <c r="O81" i="51"/>
  <c r="B87" i="69"/>
  <c r="L91" i="51"/>
  <c r="L73" i="69"/>
  <c r="C87" i="69"/>
  <c r="L91" i="66"/>
  <c r="O80" i="51"/>
  <c r="O77" i="69"/>
  <c r="E91" i="51"/>
  <c r="E73" i="69"/>
  <c r="K91" i="66"/>
  <c r="K78" i="69"/>
  <c r="O78" i="51"/>
  <c r="X77" i="63"/>
  <c r="P77" i="63"/>
  <c r="N89" i="51"/>
  <c r="F88" i="69"/>
  <c r="A88" i="45"/>
  <c r="K87" i="69"/>
  <c r="O87" i="51"/>
  <c r="O87" i="69" s="1"/>
  <c r="N89" i="66"/>
  <c r="P89" i="66" s="1"/>
  <c r="R89" i="66" s="1"/>
  <c r="N87" i="51"/>
  <c r="K86" i="69"/>
  <c r="O86" i="51"/>
  <c r="O86" i="69" s="1"/>
  <c r="B91" i="51"/>
  <c r="N73" i="51"/>
  <c r="B73" i="69"/>
  <c r="O84" i="69"/>
  <c r="P84" i="51"/>
  <c r="K89" i="69"/>
  <c r="O89" i="51"/>
  <c r="O89" i="69" s="1"/>
  <c r="D91" i="51"/>
  <c r="O83" i="69"/>
  <c r="P83" i="51"/>
  <c r="K80" i="69"/>
  <c r="B88" i="69"/>
  <c r="N88" i="51"/>
  <c r="E91" i="66"/>
  <c r="L78" i="69"/>
  <c r="O78" i="66"/>
  <c r="O82" i="51"/>
  <c r="K82" i="69"/>
  <c r="F89" i="69"/>
  <c r="A89" i="45"/>
  <c r="D89" i="69"/>
  <c r="H86" i="45"/>
  <c r="I86" i="45" s="1"/>
  <c r="J86" i="45"/>
  <c r="X89" i="63"/>
  <c r="P89" i="63"/>
  <c r="E78" i="69"/>
  <c r="N78" i="51"/>
  <c r="B86" i="69"/>
  <c r="N86" i="51"/>
  <c r="K91" i="51"/>
  <c r="O73" i="51"/>
  <c r="K73" i="69"/>
  <c r="K88" i="69"/>
  <c r="O88" i="51"/>
  <c r="O88" i="69" s="1"/>
  <c r="G91" i="51"/>
  <c r="G73" i="69"/>
  <c r="R86" i="63"/>
  <c r="V86" i="63"/>
  <c r="B91" i="66"/>
  <c r="N73" i="66"/>
  <c r="K84" i="69"/>
  <c r="F73" i="69"/>
  <c r="N88" i="66"/>
  <c r="P88" i="66" s="1"/>
  <c r="R88" i="66" s="1"/>
  <c r="E77" i="69"/>
  <c r="N77" i="51"/>
  <c r="V73" i="63"/>
  <c r="R73" i="63"/>
  <c r="O91" i="66" l="1"/>
  <c r="AB81" i="51"/>
  <c r="AB91" i="51" s="1"/>
  <c r="AA91" i="51"/>
  <c r="G91" i="69"/>
  <c r="K91" i="69"/>
  <c r="F91" i="69"/>
  <c r="P78" i="66"/>
  <c r="R78" i="66" s="1"/>
  <c r="H89" i="45"/>
  <c r="I89" i="45" s="1"/>
  <c r="J89" i="45"/>
  <c r="X91" i="63"/>
  <c r="P83" i="69"/>
  <c r="R83" i="51"/>
  <c r="N91" i="51"/>
  <c r="P73" i="51"/>
  <c r="M73" i="54"/>
  <c r="M73" i="45"/>
  <c r="E11" i="75"/>
  <c r="E11" i="74"/>
  <c r="O73" i="69"/>
  <c r="O91" i="51"/>
  <c r="M78" i="54"/>
  <c r="P78" i="51"/>
  <c r="M78" i="45"/>
  <c r="M88" i="45"/>
  <c r="M88" i="54"/>
  <c r="P88" i="51"/>
  <c r="P84" i="69"/>
  <c r="R84" i="51"/>
  <c r="V84" i="51"/>
  <c r="E91" i="69"/>
  <c r="P80" i="51"/>
  <c r="O80" i="69"/>
  <c r="L91" i="69"/>
  <c r="D91" i="69"/>
  <c r="R87" i="63"/>
  <c r="V87" i="63"/>
  <c r="C91" i="69"/>
  <c r="M87" i="54"/>
  <c r="M87" i="45"/>
  <c r="P87" i="51"/>
  <c r="J88" i="45"/>
  <c r="H88" i="45"/>
  <c r="I88" i="45" s="1"/>
  <c r="R77" i="63"/>
  <c r="V77" i="63"/>
  <c r="O81" i="69"/>
  <c r="P81" i="51"/>
  <c r="R78" i="63"/>
  <c r="V78" i="63"/>
  <c r="R88" i="63"/>
  <c r="V88" i="63"/>
  <c r="M89" i="54"/>
  <c r="M89" i="45"/>
  <c r="P89" i="51"/>
  <c r="O78" i="69"/>
  <c r="J77" i="45"/>
  <c r="H77" i="45"/>
  <c r="I77" i="45" s="1"/>
  <c r="A91" i="45"/>
  <c r="P73" i="66"/>
  <c r="R73" i="66" s="1"/>
  <c r="N91" i="66"/>
  <c r="P91" i="63"/>
  <c r="M77" i="45"/>
  <c r="M77" i="54"/>
  <c r="P77" i="51"/>
  <c r="M86" i="54"/>
  <c r="P86" i="51"/>
  <c r="M86" i="45"/>
  <c r="R89" i="63"/>
  <c r="V89" i="63"/>
  <c r="O82" i="69"/>
  <c r="P82" i="51"/>
  <c r="B91" i="69"/>
  <c r="V83" i="51"/>
  <c r="R91" i="63" l="1"/>
  <c r="R110" i="63" s="1"/>
  <c r="R112" i="63" s="1"/>
  <c r="R129" i="63" s="1"/>
  <c r="R11" i="76" s="1"/>
  <c r="P77" i="69"/>
  <c r="V77" i="51"/>
  <c r="R77" i="51"/>
  <c r="V88" i="45"/>
  <c r="T88" i="45"/>
  <c r="U88" i="45" s="1"/>
  <c r="N88" i="69"/>
  <c r="P73" i="69"/>
  <c r="P91" i="51"/>
  <c r="R73" i="51"/>
  <c r="V73" i="51"/>
  <c r="P82" i="69"/>
  <c r="R82" i="51"/>
  <c r="V82" i="51"/>
  <c r="P87" i="69"/>
  <c r="R87" i="51"/>
  <c r="V87" i="51"/>
  <c r="V78" i="45"/>
  <c r="N78" i="69"/>
  <c r="T78" i="45"/>
  <c r="U78" i="45" s="1"/>
  <c r="P91" i="66"/>
  <c r="R91" i="66" s="1"/>
  <c r="P89" i="69"/>
  <c r="R89" i="51"/>
  <c r="V89" i="51"/>
  <c r="X110" i="63"/>
  <c r="V86" i="45"/>
  <c r="N86" i="69"/>
  <c r="T86" i="45"/>
  <c r="U86" i="45" s="1"/>
  <c r="V77" i="54"/>
  <c r="T77" i="54"/>
  <c r="U77" i="54" s="1"/>
  <c r="N89" i="69"/>
  <c r="V89" i="45"/>
  <c r="T89" i="45"/>
  <c r="U89" i="45" s="1"/>
  <c r="P86" i="69"/>
  <c r="V86" i="51"/>
  <c r="R86" i="51"/>
  <c r="T77" i="45"/>
  <c r="U77" i="45" s="1"/>
  <c r="V77" i="45"/>
  <c r="N77" i="69"/>
  <c r="V89" i="54"/>
  <c r="T89" i="54"/>
  <c r="U89" i="54" s="1"/>
  <c r="V87" i="45"/>
  <c r="T87" i="45"/>
  <c r="U87" i="45" s="1"/>
  <c r="N87" i="69"/>
  <c r="P80" i="69"/>
  <c r="V80" i="51"/>
  <c r="R80" i="51"/>
  <c r="P88" i="69"/>
  <c r="V88" i="51"/>
  <c r="R88" i="51"/>
  <c r="P78" i="69"/>
  <c r="R78" i="51"/>
  <c r="V78" i="51"/>
  <c r="E37" i="74"/>
  <c r="M91" i="45"/>
  <c r="N73" i="69"/>
  <c r="V73" i="45"/>
  <c r="T73" i="45"/>
  <c r="U73" i="45" s="1"/>
  <c r="E37" i="75"/>
  <c r="T86" i="54"/>
  <c r="U86" i="54" s="1"/>
  <c r="V86" i="54"/>
  <c r="V91" i="63"/>
  <c r="P110" i="63"/>
  <c r="H91" i="45"/>
  <c r="I91" i="45" s="1"/>
  <c r="J91" i="45"/>
  <c r="P81" i="69"/>
  <c r="R81" i="51"/>
  <c r="V81" i="51"/>
  <c r="V87" i="54"/>
  <c r="T87" i="54"/>
  <c r="U87" i="54" s="1"/>
  <c r="V88" i="54"/>
  <c r="T88" i="54"/>
  <c r="U88" i="54" s="1"/>
  <c r="T78" i="54"/>
  <c r="U78" i="54" s="1"/>
  <c r="V78" i="54"/>
  <c r="Q11" i="76"/>
  <c r="V73" i="54"/>
  <c r="T73" i="54"/>
  <c r="U73" i="54" s="1"/>
  <c r="M91" i="54"/>
  <c r="V91" i="54" l="1"/>
  <c r="T91" i="54"/>
  <c r="U91" i="54" s="1"/>
  <c r="X112" i="63"/>
  <c r="G11" i="74"/>
  <c r="G11" i="75"/>
  <c r="V91" i="45"/>
  <c r="T91" i="45"/>
  <c r="U91" i="45" s="1"/>
  <c r="V91" i="51"/>
  <c r="V110" i="63"/>
  <c r="P112" i="63"/>
  <c r="N91" i="69"/>
  <c r="R91" i="51"/>
  <c r="G37" i="75" l="1"/>
  <c r="I11" i="75"/>
  <c r="X129" i="63"/>
  <c r="N11" i="76"/>
  <c r="V112" i="63"/>
  <c r="P129" i="63"/>
  <c r="G37" i="74"/>
  <c r="I11" i="74"/>
  <c r="I37" i="74" l="1"/>
  <c r="I37" i="75"/>
  <c r="P11" i="76"/>
  <c r="V129" i="63"/>
  <c r="V11" i="76" s="1"/>
  <c r="B28" i="58" l="1"/>
  <c r="B110" i="58" s="1"/>
  <c r="B20" i="66"/>
  <c r="B20" i="51"/>
  <c r="P20" i="58" l="1"/>
  <c r="B20" i="69"/>
  <c r="Q20" i="77" l="1"/>
  <c r="X20" i="77" s="1"/>
  <c r="Q20" i="51"/>
  <c r="X20" i="51"/>
  <c r="Q28" i="58"/>
  <c r="X20" i="58"/>
  <c r="P28" i="58"/>
  <c r="V20" i="58"/>
  <c r="R20" i="58"/>
  <c r="R28" i="58" s="1"/>
  <c r="R110" i="58" s="1"/>
  <c r="X110" i="58" l="1"/>
  <c r="X28" i="58"/>
  <c r="Z20" i="51"/>
  <c r="U20" i="51"/>
  <c r="Q20" i="69"/>
  <c r="AC20" i="77"/>
  <c r="U20" i="77"/>
  <c r="V20" i="77" s="1"/>
  <c r="R20" i="77"/>
  <c r="V28" i="58"/>
  <c r="P110" i="58"/>
  <c r="AA20" i="51" l="1"/>
  <c r="V110" i="58"/>
  <c r="AB20" i="51" l="1"/>
  <c r="A20" i="56"/>
  <c r="A28" i="56"/>
  <c r="J28" i="60"/>
  <c r="J110" i="60" s="1"/>
  <c r="J112" i="60" s="1"/>
  <c r="J129" i="60" s="1"/>
  <c r="E20" i="66"/>
  <c r="E28" i="66" s="1"/>
  <c r="K28" i="60"/>
  <c r="K110" i="60" s="1"/>
  <c r="I20" i="66"/>
  <c r="I28" i="66" s="1"/>
  <c r="D20" i="66"/>
  <c r="D28" i="66" s="1"/>
  <c r="D28" i="60"/>
  <c r="D110" i="60" s="1"/>
  <c r="E28" i="60"/>
  <c r="E110" i="60" s="1"/>
  <c r="I20" i="51"/>
  <c r="J20" i="51"/>
  <c r="D20" i="51"/>
  <c r="A20" i="66"/>
  <c r="A28" i="66" s="1"/>
  <c r="K20" i="51"/>
  <c r="F20" i="51"/>
  <c r="A20" i="45" s="1"/>
  <c r="K20" i="66"/>
  <c r="K28" i="66" s="1"/>
  <c r="I28" i="60"/>
  <c r="I110" i="60" s="1"/>
  <c r="I112" i="60" s="1"/>
  <c r="I129" i="60" s="1"/>
  <c r="E20" i="51"/>
  <c r="E28" i="51" s="1"/>
  <c r="O8" i="76"/>
  <c r="J20" i="66"/>
  <c r="A20" i="51"/>
  <c r="X20" i="60"/>
  <c r="F20" i="66"/>
  <c r="I20" i="69" l="1"/>
  <c r="I28" i="69" s="1"/>
  <c r="N20" i="51"/>
  <c r="O20" i="66"/>
  <c r="O28" i="66" s="1"/>
  <c r="P20" i="60"/>
  <c r="V20" i="60" s="1"/>
  <c r="A110" i="60"/>
  <c r="A112" i="60" s="1"/>
  <c r="J20" i="45"/>
  <c r="H20" i="45"/>
  <c r="I20" i="45" s="1"/>
  <c r="E20" i="69"/>
  <c r="E28" i="69" s="1"/>
  <c r="K20" i="69"/>
  <c r="K28" i="69" s="1"/>
  <c r="K28" i="51"/>
  <c r="F20" i="69"/>
  <c r="D20" i="69"/>
  <c r="D28" i="69" s="1"/>
  <c r="D28" i="51"/>
  <c r="N20" i="66"/>
  <c r="A28" i="51"/>
  <c r="A20" i="69"/>
  <c r="A28" i="69" s="1"/>
  <c r="A20" i="54"/>
  <c r="J28" i="66"/>
  <c r="O20" i="51"/>
  <c r="J20" i="69"/>
  <c r="J28" i="69" s="1"/>
  <c r="J28" i="51"/>
  <c r="I28" i="51"/>
  <c r="R20" i="60" l="1"/>
  <c r="P20" i="51"/>
  <c r="V20" i="51" s="1"/>
  <c r="M20" i="54"/>
  <c r="V20" i="54" s="1"/>
  <c r="M20" i="45"/>
  <c r="T20" i="45" s="1"/>
  <c r="U20" i="45" s="1"/>
  <c r="A129" i="60"/>
  <c r="R20" i="51"/>
  <c r="J20" i="54"/>
  <c r="H20" i="54"/>
  <c r="I20" i="54" s="1"/>
  <c r="A28" i="54"/>
  <c r="P20" i="66"/>
  <c r="R20" i="66" s="1"/>
  <c r="O20" i="69"/>
  <c r="O28" i="51"/>
  <c r="T20" i="54"/>
  <c r="U20" i="54" s="1"/>
  <c r="N20" i="69" l="1"/>
  <c r="V20" i="45"/>
  <c r="P20" i="69"/>
  <c r="J28" i="54"/>
  <c r="H28" i="54"/>
  <c r="I28" i="54" s="1"/>
  <c r="H170" i="51" l="1"/>
  <c r="H165" i="69"/>
  <c r="H170" i="69" s="1"/>
  <c r="N165" i="51"/>
  <c r="M170" i="54" s="1"/>
  <c r="P165" i="51" l="1"/>
  <c r="V165" i="51" s="1"/>
  <c r="N170" i="69"/>
  <c r="T170" i="54"/>
  <c r="U170" i="54" s="1"/>
  <c r="V170" i="54" s="1"/>
  <c r="M175" i="54"/>
  <c r="M165" i="45"/>
  <c r="N170" i="51"/>
  <c r="P165" i="69"/>
  <c r="P170" i="51" l="1"/>
  <c r="R165" i="51"/>
  <c r="R170" i="51" s="1"/>
  <c r="V170" i="51"/>
  <c r="T175" i="54"/>
  <c r="U175" i="54" s="1"/>
  <c r="V175" i="54" s="1"/>
  <c r="N165" i="69"/>
  <c r="M170" i="45"/>
  <c r="T165" i="45"/>
  <c r="V165" i="45"/>
  <c r="U165" i="45" l="1"/>
  <c r="T170" i="45"/>
  <c r="V170" i="45"/>
  <c r="B4" i="72"/>
  <c r="U170" i="45" l="1"/>
  <c r="AA11" i="77"/>
  <c r="AA18" i="77" s="1"/>
  <c r="AA112" i="77" s="1"/>
  <c r="AA129" i="77" s="1"/>
  <c r="AA172" i="77" s="1"/>
  <c r="O7" i="76" l="1"/>
  <c r="C18" i="59"/>
  <c r="C112" i="59" s="1"/>
  <c r="C129" i="59" s="1"/>
  <c r="E18" i="59"/>
  <c r="E112" i="59" s="1"/>
  <c r="E129" i="59" s="1"/>
  <c r="D18" i="59"/>
  <c r="D112" i="59" s="1"/>
  <c r="D129" i="59" s="1"/>
  <c r="K18" i="59"/>
  <c r="K112" i="59" s="1"/>
  <c r="K129" i="59" s="1"/>
  <c r="L18" i="59"/>
  <c r="L112" i="59" s="1"/>
  <c r="L129" i="59" s="1"/>
  <c r="B18" i="59"/>
  <c r="B112" i="59" s="1"/>
  <c r="B129" i="59" s="1"/>
  <c r="G18" i="59"/>
  <c r="G112" i="59" s="1"/>
  <c r="G129" i="59" s="1"/>
  <c r="A18" i="59"/>
  <c r="F18" i="59"/>
  <c r="F112" i="59" s="1"/>
  <c r="F129" i="59" s="1"/>
  <c r="AA18" i="59" l="1"/>
  <c r="A112" i="59"/>
  <c r="A129" i="59" s="1"/>
  <c r="G6" i="74" l="1"/>
  <c r="G32" i="74" s="1"/>
  <c r="G6" i="75"/>
  <c r="G32" i="75" s="1"/>
  <c r="P7" i="76"/>
  <c r="N7" i="76"/>
  <c r="R7" i="76"/>
  <c r="N5" i="74" l="1"/>
  <c r="E6" i="74"/>
  <c r="E6" i="75" l="1"/>
  <c r="E32" i="74"/>
  <c r="M5" i="74"/>
  <c r="I6" i="74"/>
  <c r="Q7" i="76"/>
  <c r="U7" i="76" l="1"/>
  <c r="U13" i="76" s="1"/>
  <c r="V7" i="76"/>
  <c r="I32" i="74"/>
  <c r="I6" i="75"/>
  <c r="E32" i="75"/>
  <c r="I32" i="75" l="1"/>
  <c r="F10" i="66" l="1"/>
  <c r="D10" i="66"/>
  <c r="G10" i="66"/>
  <c r="E10" i="66"/>
  <c r="L10" i="66"/>
  <c r="B10" i="66"/>
  <c r="C10" i="66"/>
  <c r="E10" i="51"/>
  <c r="B10" i="77"/>
  <c r="D10" i="77"/>
  <c r="A11" i="51"/>
  <c r="A11" i="54" s="1"/>
  <c r="A11" i="66"/>
  <c r="A11" i="77"/>
  <c r="G10" i="51"/>
  <c r="G10" i="69" s="1"/>
  <c r="K10" i="51"/>
  <c r="C10" i="51"/>
  <c r="F10" i="51"/>
  <c r="A10" i="45" s="1"/>
  <c r="D10" i="51"/>
  <c r="D10" i="69" s="1"/>
  <c r="G10" i="77"/>
  <c r="L10" i="77"/>
  <c r="B10" i="51"/>
  <c r="K10" i="77"/>
  <c r="A10" i="51"/>
  <c r="A10" i="69" s="1"/>
  <c r="K10" i="66"/>
  <c r="A10" i="66"/>
  <c r="L10" i="51"/>
  <c r="A10" i="77"/>
  <c r="F10" i="77"/>
  <c r="E10" i="77"/>
  <c r="C10" i="77"/>
  <c r="A11" i="56"/>
  <c r="A10" i="56"/>
  <c r="O10" i="77" l="1"/>
  <c r="AC10" i="77"/>
  <c r="N10" i="66"/>
  <c r="B10" i="69"/>
  <c r="L10" i="69"/>
  <c r="C10" i="69"/>
  <c r="K10" i="69"/>
  <c r="E10" i="69"/>
  <c r="U10" i="77"/>
  <c r="Y10" i="77"/>
  <c r="X10" i="58"/>
  <c r="X11" i="58"/>
  <c r="J10" i="45"/>
  <c r="H10" i="45"/>
  <c r="I10" i="45" s="1"/>
  <c r="H11" i="54"/>
  <c r="I11" i="54" s="1"/>
  <c r="J11" i="54"/>
  <c r="X10" i="51"/>
  <c r="Q10" i="51"/>
  <c r="P10" i="58"/>
  <c r="R10" i="58" s="1"/>
  <c r="N10" i="51"/>
  <c r="A10" i="54"/>
  <c r="A11" i="69"/>
  <c r="O10" i="51"/>
  <c r="F10" i="69"/>
  <c r="P11" i="58"/>
  <c r="V11" i="58" s="1"/>
  <c r="O10" i="66"/>
  <c r="P10" i="66" s="1"/>
  <c r="R10" i="66" s="1"/>
  <c r="Y10" i="51" l="1"/>
  <c r="J10" i="54"/>
  <c r="H10" i="54"/>
  <c r="I10" i="54" s="1"/>
  <c r="U10" i="51"/>
  <c r="Q10" i="69"/>
  <c r="Z10" i="51"/>
  <c r="M10" i="45"/>
  <c r="M10" i="54"/>
  <c r="P10" i="51"/>
  <c r="R10" i="51" s="1"/>
  <c r="R11" i="58"/>
  <c r="P10" i="77"/>
  <c r="V10" i="58"/>
  <c r="O10" i="69"/>
  <c r="V10" i="51" l="1"/>
  <c r="R10" i="77"/>
  <c r="V10" i="54"/>
  <c r="T10" i="54"/>
  <c r="U10" i="54" s="1"/>
  <c r="P10" i="69"/>
  <c r="V10" i="77"/>
  <c r="V10" i="45"/>
  <c r="N10" i="69"/>
  <c r="T10" i="45"/>
  <c r="U10" i="45" s="1"/>
  <c r="AA10" i="51"/>
  <c r="AB10" i="51" l="1"/>
  <c r="A13" i="66"/>
  <c r="A13" i="56"/>
  <c r="A13" i="51"/>
  <c r="A13" i="54" s="1"/>
  <c r="H13" i="54" l="1"/>
  <c r="I13" i="54" s="1"/>
  <c r="A18" i="54"/>
  <c r="J13" i="54"/>
  <c r="A18" i="77"/>
  <c r="A18" i="51"/>
  <c r="A13" i="69"/>
  <c r="H18" i="54" l="1"/>
  <c r="I18" i="54" s="1"/>
  <c r="J18" i="54"/>
  <c r="L13" i="66" l="1"/>
  <c r="C18" i="58"/>
  <c r="C112" i="58" s="1"/>
  <c r="E16" i="66"/>
  <c r="E16" i="69" s="1"/>
  <c r="K18" i="58"/>
  <c r="K112" i="58" s="1"/>
  <c r="C13" i="66"/>
  <c r="L18" i="58"/>
  <c r="L112" i="58" s="1"/>
  <c r="F16" i="66"/>
  <c r="F16" i="69" s="1"/>
  <c r="B18" i="58"/>
  <c r="B112" i="58" s="1"/>
  <c r="D13" i="66"/>
  <c r="G13" i="51"/>
  <c r="P16" i="58"/>
  <c r="D16" i="66"/>
  <c r="D16" i="69" s="1"/>
  <c r="F13" i="66"/>
  <c r="G16" i="66"/>
  <c r="G16" i="69" s="1"/>
  <c r="F18" i="58"/>
  <c r="F112" i="58" s="1"/>
  <c r="E13" i="66"/>
  <c r="L16" i="66"/>
  <c r="K13" i="66"/>
  <c r="A16" i="56"/>
  <c r="D18" i="58"/>
  <c r="D112" i="58" s="1"/>
  <c r="G18" i="58"/>
  <c r="G112" i="58" s="1"/>
  <c r="C13" i="51"/>
  <c r="B16" i="66"/>
  <c r="B16" i="69" s="1"/>
  <c r="E18" i="58"/>
  <c r="E112" i="58" s="1"/>
  <c r="K16" i="66"/>
  <c r="O16" i="66" s="1"/>
  <c r="O16" i="69" s="1"/>
  <c r="B13" i="66"/>
  <c r="D13" i="51"/>
  <c r="A18" i="58"/>
  <c r="A18" i="56" s="1"/>
  <c r="AC13" i="77"/>
  <c r="G13" i="66"/>
  <c r="C16" i="66"/>
  <c r="C16" i="69" s="1"/>
  <c r="F13" i="51"/>
  <c r="K13" i="51"/>
  <c r="E13" i="51"/>
  <c r="A16" i="66"/>
  <c r="Q13" i="51"/>
  <c r="Z13" i="51" s="1"/>
  <c r="X13" i="58"/>
  <c r="Q18" i="58"/>
  <c r="L13" i="51"/>
  <c r="X13" i="51"/>
  <c r="B13" i="51"/>
  <c r="X16" i="51"/>
  <c r="E13" i="69" l="1"/>
  <c r="B13" i="69"/>
  <c r="F13" i="69"/>
  <c r="K13" i="69"/>
  <c r="Y13" i="51"/>
  <c r="A112" i="58"/>
  <c r="K16" i="69"/>
  <c r="N13" i="66"/>
  <c r="G13" i="69"/>
  <c r="N13" i="51"/>
  <c r="M13" i="54" s="1"/>
  <c r="V13" i="54" s="1"/>
  <c r="C13" i="69"/>
  <c r="L13" i="69"/>
  <c r="O13" i="51"/>
  <c r="D13" i="69"/>
  <c r="L16" i="69"/>
  <c r="A18" i="66"/>
  <c r="N16" i="66"/>
  <c r="A16" i="69"/>
  <c r="A18" i="69" s="1"/>
  <c r="R16" i="58"/>
  <c r="V16" i="58"/>
  <c r="AA18" i="58"/>
  <c r="AA13" i="51"/>
  <c r="O13" i="66"/>
  <c r="Y13" i="77"/>
  <c r="Q16" i="51"/>
  <c r="X16" i="58"/>
  <c r="A13" i="45"/>
  <c r="AC16" i="77"/>
  <c r="U13" i="77"/>
  <c r="Q13" i="69"/>
  <c r="U13" i="51"/>
  <c r="P13" i="58"/>
  <c r="M13" i="45" l="1"/>
  <c r="N13" i="69" s="1"/>
  <c r="T13" i="54"/>
  <c r="U13" i="54" s="1"/>
  <c r="P13" i="51"/>
  <c r="V13" i="51" s="1"/>
  <c r="X18" i="58"/>
  <c r="O13" i="69"/>
  <c r="E9" i="74"/>
  <c r="Y16" i="77"/>
  <c r="P18" i="58"/>
  <c r="V13" i="58"/>
  <c r="J13" i="45"/>
  <c r="H13" i="45"/>
  <c r="I13" i="45" s="1"/>
  <c r="R13" i="58"/>
  <c r="R18" i="58" s="1"/>
  <c r="R112" i="58" s="1"/>
  <c r="AB13" i="51"/>
  <c r="P16" i="66"/>
  <c r="U16" i="77"/>
  <c r="V16" i="77" s="1"/>
  <c r="R16" i="77"/>
  <c r="Q16" i="69"/>
  <c r="R16" i="51"/>
  <c r="U16" i="51"/>
  <c r="V16" i="51" s="1"/>
  <c r="Y16" i="51"/>
  <c r="Z16" i="51"/>
  <c r="P13" i="66"/>
  <c r="P13" i="77"/>
  <c r="T13" i="45" l="1"/>
  <c r="U13" i="45" s="1"/>
  <c r="R13" i="51"/>
  <c r="V13" i="45"/>
  <c r="P16" i="69"/>
  <c r="R16" i="66"/>
  <c r="P112" i="58"/>
  <c r="V18" i="58"/>
  <c r="R13" i="77"/>
  <c r="V13" i="77"/>
  <c r="R13" i="66"/>
  <c r="P13" i="69"/>
  <c r="AA16" i="51"/>
  <c r="M8" i="74"/>
  <c r="X112" i="58"/>
  <c r="G9" i="75"/>
  <c r="G9" i="74"/>
  <c r="I9" i="74" s="1"/>
  <c r="I9" i="75" l="1"/>
  <c r="G35" i="74"/>
  <c r="N8" i="74"/>
  <c r="V112" i="58"/>
  <c r="N6" i="76"/>
  <c r="AB16" i="51"/>
  <c r="K11" i="66" l="1"/>
  <c r="C11" i="66"/>
  <c r="C18" i="66" s="1"/>
  <c r="D11" i="77"/>
  <c r="D18" i="77" s="1"/>
  <c r="G11" i="77"/>
  <c r="G18" i="77" s="1"/>
  <c r="F11" i="77"/>
  <c r="F18" i="77" s="1"/>
  <c r="E11" i="77"/>
  <c r="E18" i="77" s="1"/>
  <c r="F11" i="66"/>
  <c r="F18" i="66" s="1"/>
  <c r="G11" i="66"/>
  <c r="G18" i="66" s="1"/>
  <c r="L11" i="66"/>
  <c r="L18" i="66" s="1"/>
  <c r="C11" i="77"/>
  <c r="C18" i="77" s="1"/>
  <c r="D11" i="66"/>
  <c r="D18" i="66" s="1"/>
  <c r="E11" i="66"/>
  <c r="E18" i="66" s="1"/>
  <c r="L11" i="77"/>
  <c r="L18" i="77" s="1"/>
  <c r="K11" i="77"/>
  <c r="B11" i="51"/>
  <c r="B11" i="77"/>
  <c r="D11" i="51"/>
  <c r="L11" i="51"/>
  <c r="L18" i="51" s="1"/>
  <c r="G11" i="51"/>
  <c r="B11" i="66"/>
  <c r="B18" i="66" s="1"/>
  <c r="F11" i="51"/>
  <c r="A11" i="45" s="1"/>
  <c r="K11" i="51"/>
  <c r="K11" i="69" s="1"/>
  <c r="K18" i="69" s="1"/>
  <c r="C11" i="51"/>
  <c r="C11" i="69" s="1"/>
  <c r="C18" i="69" s="1"/>
  <c r="E11" i="51"/>
  <c r="F18" i="60"/>
  <c r="D18" i="60"/>
  <c r="D112" i="60" s="1"/>
  <c r="D129" i="60" s="1"/>
  <c r="E18" i="60"/>
  <c r="E112" i="60" s="1"/>
  <c r="E129" i="60" s="1"/>
  <c r="K18" i="60"/>
  <c r="K112" i="60" s="1"/>
  <c r="K129" i="60" s="1"/>
  <c r="L18" i="60"/>
  <c r="L112" i="60" s="1"/>
  <c r="L129" i="60" s="1"/>
  <c r="G18" i="60"/>
  <c r="G112" i="60" s="1"/>
  <c r="G129" i="60" s="1"/>
  <c r="C18" i="60"/>
  <c r="C112" i="60" s="1"/>
  <c r="C129" i="60" s="1"/>
  <c r="B18" i="60"/>
  <c r="P11" i="60"/>
  <c r="G11" i="69" l="1"/>
  <c r="G18" i="69" s="1"/>
  <c r="O11" i="77"/>
  <c r="O18" i="77" s="1"/>
  <c r="E11" i="69"/>
  <c r="E18" i="69" s="1"/>
  <c r="K18" i="51"/>
  <c r="K18" i="77"/>
  <c r="D11" i="69"/>
  <c r="D18" i="69" s="1"/>
  <c r="N11" i="51"/>
  <c r="M11" i="45" s="1"/>
  <c r="G18" i="51"/>
  <c r="O11" i="66"/>
  <c r="O18" i="66" s="1"/>
  <c r="L11" i="69"/>
  <c r="L18" i="69" s="1"/>
  <c r="V11" i="60"/>
  <c r="P18" i="60"/>
  <c r="A18" i="45"/>
  <c r="H11" i="45"/>
  <c r="I11" i="45" s="1"/>
  <c r="J11" i="45"/>
  <c r="E18" i="51"/>
  <c r="B18" i="77"/>
  <c r="F11" i="69"/>
  <c r="F18" i="69" s="1"/>
  <c r="O11" i="51"/>
  <c r="K18" i="66"/>
  <c r="B11" i="69"/>
  <c r="B18" i="69" s="1"/>
  <c r="N11" i="66"/>
  <c r="D18" i="51"/>
  <c r="F18" i="51"/>
  <c r="C18" i="51"/>
  <c r="B18" i="51"/>
  <c r="X11" i="79" l="1"/>
  <c r="Y11" i="79" s="1"/>
  <c r="X11" i="78"/>
  <c r="Y11" i="78" s="1"/>
  <c r="P11" i="51"/>
  <c r="N18" i="51"/>
  <c r="M11" i="54"/>
  <c r="V11" i="54" s="1"/>
  <c r="P11" i="77"/>
  <c r="P18" i="77" s="1"/>
  <c r="P18" i="51"/>
  <c r="M18" i="54"/>
  <c r="O11" i="69"/>
  <c r="O18" i="51"/>
  <c r="V11" i="45"/>
  <c r="M18" i="45"/>
  <c r="N11" i="69"/>
  <c r="N18" i="69" s="1"/>
  <c r="T11" i="45"/>
  <c r="U11" i="45" s="1"/>
  <c r="V18" i="60"/>
  <c r="P11" i="66"/>
  <c r="R11" i="66" s="1"/>
  <c r="N18" i="66"/>
  <c r="Q11" i="51"/>
  <c r="R11" i="60"/>
  <c r="R18" i="60" s="1"/>
  <c r="X11" i="60"/>
  <c r="X11" i="51"/>
  <c r="H18" i="45"/>
  <c r="I18" i="45" s="1"/>
  <c r="J18" i="45"/>
  <c r="X18" i="60" l="1"/>
  <c r="X18" i="79"/>
  <c r="Y18" i="79" s="1"/>
  <c r="X18" i="78"/>
  <c r="Y18" i="78" s="1"/>
  <c r="T11" i="54"/>
  <c r="U11" i="54" s="1"/>
  <c r="Z11" i="51"/>
  <c r="Q11" i="69"/>
  <c r="R11" i="51"/>
  <c r="R18" i="51" s="1"/>
  <c r="U11" i="51"/>
  <c r="V11" i="51" s="1"/>
  <c r="Q18" i="51"/>
  <c r="U11" i="77"/>
  <c r="V11" i="77" s="1"/>
  <c r="R11" i="77"/>
  <c r="R18" i="77" s="1"/>
  <c r="AC11" i="77"/>
  <c r="Q18" i="77"/>
  <c r="X18" i="77" s="1"/>
  <c r="P18" i="66"/>
  <c r="R18" i="66" s="1"/>
  <c r="Y11" i="51"/>
  <c r="Y11" i="77"/>
  <c r="T18" i="54"/>
  <c r="U18" i="54" s="1"/>
  <c r="V18" i="54"/>
  <c r="X18" i="51"/>
  <c r="V18" i="45"/>
  <c r="T18" i="45"/>
  <c r="U18" i="45" s="1"/>
  <c r="P11" i="69"/>
  <c r="U18" i="51" l="1"/>
  <c r="V18" i="51" s="1"/>
  <c r="Y18" i="51"/>
  <c r="U18" i="77"/>
  <c r="V18" i="77" s="1"/>
  <c r="AC18" i="77"/>
  <c r="Y18" i="77"/>
  <c r="Z18" i="51"/>
  <c r="AA11" i="51"/>
  <c r="AB11" i="51" l="1"/>
  <c r="AB18" i="51" s="1"/>
  <c r="AA18" i="51"/>
  <c r="F21" i="66" l="1"/>
  <c r="F28" i="66" s="1"/>
  <c r="B28" i="60"/>
  <c r="B110" i="60" s="1"/>
  <c r="B112" i="60" s="1"/>
  <c r="B129" i="60" s="1"/>
  <c r="F28" i="60"/>
  <c r="F110" i="60" s="1"/>
  <c r="F112" i="60" s="1"/>
  <c r="F129" i="60" s="1"/>
  <c r="F21" i="77"/>
  <c r="F28" i="77" s="1"/>
  <c r="H21" i="51"/>
  <c r="H28" i="51" s="1"/>
  <c r="B21" i="51"/>
  <c r="B21" i="66"/>
  <c r="B28" i="66" s="1"/>
  <c r="F21" i="51"/>
  <c r="H21" i="66"/>
  <c r="H28" i="66" s="1"/>
  <c r="H28" i="60"/>
  <c r="H110" i="60" s="1"/>
  <c r="H112" i="60" s="1"/>
  <c r="H129" i="60" s="1"/>
  <c r="H21" i="77"/>
  <c r="H28" i="77" s="1"/>
  <c r="B21" i="77"/>
  <c r="O21" i="77" l="1"/>
  <c r="O28" i="77" s="1"/>
  <c r="F21" i="69"/>
  <c r="F28" i="69" s="1"/>
  <c r="N21" i="51"/>
  <c r="M21" i="54" s="1"/>
  <c r="A21" i="45"/>
  <c r="J21" i="45" s="1"/>
  <c r="P21" i="60"/>
  <c r="F28" i="51"/>
  <c r="B28" i="51"/>
  <c r="B28" i="77"/>
  <c r="B21" i="69"/>
  <c r="B28" i="69" s="1"/>
  <c r="A28" i="45"/>
  <c r="H21" i="69"/>
  <c r="H28" i="69" s="1"/>
  <c r="N21" i="66"/>
  <c r="M21" i="45" l="1"/>
  <c r="M28" i="45" s="1"/>
  <c r="P21" i="51"/>
  <c r="P28" i="51" s="1"/>
  <c r="N28" i="51"/>
  <c r="P21" i="77"/>
  <c r="P28" i="77" s="1"/>
  <c r="H21" i="45"/>
  <c r="I21" i="45" s="1"/>
  <c r="V21" i="60"/>
  <c r="P28" i="60"/>
  <c r="V28" i="60" s="1"/>
  <c r="J28" i="45"/>
  <c r="H28" i="45"/>
  <c r="I28" i="45" s="1"/>
  <c r="V21" i="54"/>
  <c r="M28" i="54"/>
  <c r="T21" i="54"/>
  <c r="U21" i="54" s="1"/>
  <c r="N28" i="66"/>
  <c r="P21" i="66"/>
  <c r="R21" i="66" s="1"/>
  <c r="V21" i="45" l="1"/>
  <c r="N21" i="69"/>
  <c r="N28" i="69" s="1"/>
  <c r="T21" i="45"/>
  <c r="U21" i="45" s="1"/>
  <c r="X21" i="79"/>
  <c r="Q21" i="79"/>
  <c r="X21" i="78"/>
  <c r="Q21" i="78"/>
  <c r="P21" i="69"/>
  <c r="P110" i="60"/>
  <c r="P112" i="60" s="1"/>
  <c r="Q21" i="77"/>
  <c r="X21" i="77" s="1"/>
  <c r="Q21" i="51"/>
  <c r="X21" i="51"/>
  <c r="R21" i="60"/>
  <c r="R28" i="60" s="1"/>
  <c r="X21" i="60"/>
  <c r="T28" i="45"/>
  <c r="U28" i="45" s="1"/>
  <c r="V28" i="45"/>
  <c r="G10" i="75"/>
  <c r="G10" i="74"/>
  <c r="P28" i="66"/>
  <c r="R28" i="66" s="1"/>
  <c r="V28" i="54"/>
  <c r="T28" i="54"/>
  <c r="U28" i="54" s="1"/>
  <c r="U21" i="78" l="1"/>
  <c r="V21" i="78" s="1"/>
  <c r="AC21" i="78"/>
  <c r="Q28" i="78"/>
  <c r="R21" i="78"/>
  <c r="R28" i="78" s="1"/>
  <c r="AC21" i="79"/>
  <c r="U21" i="79"/>
  <c r="V21" i="79" s="1"/>
  <c r="Q28" i="79"/>
  <c r="R21" i="79"/>
  <c r="R28" i="79" s="1"/>
  <c r="X28" i="79"/>
  <c r="X28" i="78"/>
  <c r="V110" i="60"/>
  <c r="Z21" i="51"/>
  <c r="U21" i="51"/>
  <c r="V21" i="51" s="1"/>
  <c r="Q21" i="69"/>
  <c r="Q28" i="51"/>
  <c r="R21" i="51"/>
  <c r="R28" i="51" s="1"/>
  <c r="X28" i="51"/>
  <c r="X28" i="60"/>
  <c r="R110" i="60"/>
  <c r="R112" i="60"/>
  <c r="R129" i="60" s="1"/>
  <c r="R8" i="76" s="1"/>
  <c r="AC21" i="77"/>
  <c r="U21" i="77"/>
  <c r="V21" i="77" s="1"/>
  <c r="Q28" i="77"/>
  <c r="X28" i="77" s="1"/>
  <c r="R21" i="77"/>
  <c r="R28" i="77" s="1"/>
  <c r="I10" i="75"/>
  <c r="G36" i="75"/>
  <c r="N8" i="76"/>
  <c r="G36" i="74"/>
  <c r="N9" i="74"/>
  <c r="P129" i="60"/>
  <c r="V112" i="60"/>
  <c r="U28" i="79" l="1"/>
  <c r="V28" i="79" s="1"/>
  <c r="AC28" i="79"/>
  <c r="Y28" i="79"/>
  <c r="Q110" i="79"/>
  <c r="AC28" i="78"/>
  <c r="Y28" i="78"/>
  <c r="U28" i="78"/>
  <c r="V28" i="78" s="1"/>
  <c r="Q110" i="78"/>
  <c r="X110" i="60"/>
  <c r="AC28" i="77"/>
  <c r="Y28" i="77"/>
  <c r="U28" i="77"/>
  <c r="V28" i="77" s="1"/>
  <c r="U28" i="51"/>
  <c r="V28" i="51" s="1"/>
  <c r="Y28" i="51"/>
  <c r="AA21" i="51"/>
  <c r="Z28" i="51"/>
  <c r="V129" i="60"/>
  <c r="V8" i="76" s="1"/>
  <c r="P8" i="76"/>
  <c r="I36" i="75"/>
  <c r="Q52" i="51"/>
  <c r="Q63" i="51"/>
  <c r="Z63" i="51" s="1"/>
  <c r="AA63" i="51" s="1"/>
  <c r="AB63" i="51" s="1"/>
  <c r="I63" i="66"/>
  <c r="I63" i="51"/>
  <c r="B63" i="51"/>
  <c r="H63" i="51"/>
  <c r="H63" i="77"/>
  <c r="G63" i="51"/>
  <c r="F63" i="51"/>
  <c r="F63" i="66"/>
  <c r="F63" i="77"/>
  <c r="C63" i="51"/>
  <c r="C63" i="66"/>
  <c r="C63" i="77"/>
  <c r="D63" i="66"/>
  <c r="D63" i="51"/>
  <c r="D63" i="77"/>
  <c r="K63" i="51"/>
  <c r="J63" i="51"/>
  <c r="F52" i="77"/>
  <c r="H52" i="51"/>
  <c r="H52" i="77"/>
  <c r="B52" i="51"/>
  <c r="C52" i="51"/>
  <c r="C52" i="66"/>
  <c r="C52" i="77"/>
  <c r="K52" i="66"/>
  <c r="K52" i="51"/>
  <c r="D52" i="51"/>
  <c r="D52" i="77"/>
  <c r="L52" i="51"/>
  <c r="E52" i="66"/>
  <c r="E52" i="51"/>
  <c r="E52" i="77"/>
  <c r="Q63" i="77"/>
  <c r="X63" i="77" s="1"/>
  <c r="Q52" i="77"/>
  <c r="X63" i="51"/>
  <c r="A56" i="57"/>
  <c r="X52" i="51"/>
  <c r="A52" i="51"/>
  <c r="Y52" i="51" l="1"/>
  <c r="O56" i="57"/>
  <c r="AC52" i="77"/>
  <c r="X52" i="77"/>
  <c r="Y52" i="77" s="1"/>
  <c r="U110" i="78"/>
  <c r="AC110" i="78"/>
  <c r="Q112" i="78"/>
  <c r="Q112" i="79"/>
  <c r="AC110" i="79"/>
  <c r="U110" i="79"/>
  <c r="D63" i="69"/>
  <c r="Y63" i="51"/>
  <c r="C52" i="69"/>
  <c r="I63" i="69"/>
  <c r="Y63" i="77"/>
  <c r="AB21" i="51"/>
  <c r="AB28" i="51" s="1"/>
  <c r="AA28" i="51"/>
  <c r="E10" i="74"/>
  <c r="X112" i="60"/>
  <c r="E52" i="69"/>
  <c r="A65" i="57"/>
  <c r="G52" i="51"/>
  <c r="G52" i="66"/>
  <c r="G52" i="77"/>
  <c r="C65" i="57"/>
  <c r="B65" i="57"/>
  <c r="U63" i="77"/>
  <c r="AC63" i="77"/>
  <c r="U52" i="77"/>
  <c r="I52" i="51"/>
  <c r="I52" i="66"/>
  <c r="I52" i="77"/>
  <c r="J52" i="51"/>
  <c r="J52" i="66"/>
  <c r="J52" i="77"/>
  <c r="C63" i="69"/>
  <c r="A63" i="45"/>
  <c r="F63" i="69"/>
  <c r="X54" i="57"/>
  <c r="P54" i="57"/>
  <c r="A52" i="54"/>
  <c r="L63" i="51"/>
  <c r="L63" i="66"/>
  <c r="L63" i="77"/>
  <c r="E63" i="51"/>
  <c r="E63" i="66"/>
  <c r="E63" i="77"/>
  <c r="X59" i="57"/>
  <c r="P57" i="57"/>
  <c r="X57" i="57"/>
  <c r="P63" i="57"/>
  <c r="A63" i="51"/>
  <c r="A63" i="66"/>
  <c r="A63" i="77"/>
  <c r="A63" i="56"/>
  <c r="X63" i="57"/>
  <c r="L65" i="57"/>
  <c r="L52" i="77"/>
  <c r="B52" i="77"/>
  <c r="J63" i="77"/>
  <c r="K63" i="77"/>
  <c r="G63" i="77"/>
  <c r="K63" i="66"/>
  <c r="K63" i="69" s="1"/>
  <c r="K52" i="77"/>
  <c r="K65" i="57"/>
  <c r="A52" i="56"/>
  <c r="J63" i="66"/>
  <c r="G65" i="57"/>
  <c r="A52" i="66"/>
  <c r="H65" i="57"/>
  <c r="L52" i="66"/>
  <c r="L52" i="69" s="1"/>
  <c r="B52" i="66"/>
  <c r="B52" i="69" s="1"/>
  <c r="G63" i="66"/>
  <c r="G63" i="69" s="1"/>
  <c r="P59" i="57"/>
  <c r="B63" i="77"/>
  <c r="A52" i="77"/>
  <c r="E65" i="57"/>
  <c r="D65" i="57"/>
  <c r="F65" i="57"/>
  <c r="F52" i="51"/>
  <c r="B63" i="66"/>
  <c r="B63" i="69" s="1"/>
  <c r="Q52" i="69"/>
  <c r="Z52" i="51"/>
  <c r="AA52" i="51" s="1"/>
  <c r="AB52" i="51" s="1"/>
  <c r="U52" i="51"/>
  <c r="D52" i="66"/>
  <c r="D52" i="69" s="1"/>
  <c r="O52" i="51"/>
  <c r="K52" i="69"/>
  <c r="H52" i="66"/>
  <c r="H52" i="69" s="1"/>
  <c r="F52" i="66"/>
  <c r="H63" i="66"/>
  <c r="H63" i="69" s="1"/>
  <c r="I63" i="77"/>
  <c r="U63" i="51"/>
  <c r="Q63" i="69"/>
  <c r="J65" i="57"/>
  <c r="I65" i="57"/>
  <c r="Q129" i="79" l="1"/>
  <c r="AC112" i="79"/>
  <c r="U112" i="79"/>
  <c r="O52" i="77"/>
  <c r="P52" i="77" s="1"/>
  <c r="R52" i="77" s="1"/>
  <c r="U112" i="78"/>
  <c r="AC112" i="78"/>
  <c r="Q129" i="78"/>
  <c r="O63" i="77"/>
  <c r="J52" i="69"/>
  <c r="E63" i="69"/>
  <c r="O63" i="66"/>
  <c r="Q8" i="76"/>
  <c r="X129" i="60"/>
  <c r="E36" i="74"/>
  <c r="I36" i="74" s="1"/>
  <c r="M9" i="74"/>
  <c r="I10" i="74"/>
  <c r="R59" i="57"/>
  <c r="V59" i="57"/>
  <c r="A52" i="45"/>
  <c r="F52" i="69"/>
  <c r="L63" i="69"/>
  <c r="H63" i="45"/>
  <c r="I63" i="45" s="1"/>
  <c r="J63" i="45"/>
  <c r="G52" i="69"/>
  <c r="V54" i="57"/>
  <c r="R54" i="57"/>
  <c r="N52" i="66"/>
  <c r="I52" i="69"/>
  <c r="X51" i="57"/>
  <c r="N65" i="57"/>
  <c r="P51" i="57"/>
  <c r="J63" i="69"/>
  <c r="P61" i="57"/>
  <c r="X61" i="57"/>
  <c r="N52" i="51"/>
  <c r="X60" i="57"/>
  <c r="P60" i="57"/>
  <c r="R57" i="57"/>
  <c r="V57" i="57"/>
  <c r="N63" i="66"/>
  <c r="X52" i="57"/>
  <c r="P52" i="57"/>
  <c r="A52" i="69"/>
  <c r="O52" i="66"/>
  <c r="O52" i="69" s="1"/>
  <c r="X62" i="57"/>
  <c r="P62" i="57"/>
  <c r="O63" i="51"/>
  <c r="X56" i="57"/>
  <c r="P56" i="57"/>
  <c r="O65" i="57"/>
  <c r="N63" i="51"/>
  <c r="A63" i="54"/>
  <c r="A63" i="69"/>
  <c r="V63" i="57"/>
  <c r="R63" i="57"/>
  <c r="H52" i="54"/>
  <c r="I52" i="54" s="1"/>
  <c r="J52" i="54"/>
  <c r="AC129" i="78" l="1"/>
  <c r="U129" i="78"/>
  <c r="Q172" i="78"/>
  <c r="AC172" i="78" s="1"/>
  <c r="Q172" i="79"/>
  <c r="AC172" i="79" s="1"/>
  <c r="U129" i="79"/>
  <c r="AC129" i="79"/>
  <c r="P63" i="66"/>
  <c r="R63" i="66" s="1"/>
  <c r="O63" i="69"/>
  <c r="V52" i="77"/>
  <c r="P63" i="77"/>
  <c r="R63" i="77" s="1"/>
  <c r="P52" i="66"/>
  <c r="R52" i="66" s="1"/>
  <c r="P63" i="51"/>
  <c r="M63" i="45"/>
  <c r="M63" i="54"/>
  <c r="R56" i="57"/>
  <c r="V56" i="57"/>
  <c r="V60" i="57"/>
  <c r="R60" i="57"/>
  <c r="N110" i="57"/>
  <c r="X65" i="57"/>
  <c r="H52" i="45"/>
  <c r="I52" i="45" s="1"/>
  <c r="J52" i="45"/>
  <c r="R62" i="57"/>
  <c r="V62" i="57"/>
  <c r="V52" i="57"/>
  <c r="R52" i="57"/>
  <c r="J63" i="54"/>
  <c r="H63" i="54"/>
  <c r="I63" i="54" s="1"/>
  <c r="M52" i="54"/>
  <c r="M52" i="45"/>
  <c r="P52" i="51"/>
  <c r="V61" i="57"/>
  <c r="R61" i="57"/>
  <c r="P65" i="57"/>
  <c r="R51" i="57"/>
  <c r="V51" i="57"/>
  <c r="U172" i="78" l="1"/>
  <c r="U172" i="79"/>
  <c r="V63" i="77"/>
  <c r="R65" i="57"/>
  <c r="V65" i="57"/>
  <c r="P52" i="69"/>
  <c r="R52" i="51"/>
  <c r="V52" i="51"/>
  <c r="V52" i="45"/>
  <c r="N52" i="69"/>
  <c r="T52" i="45"/>
  <c r="U52" i="45" s="1"/>
  <c r="N112" i="57"/>
  <c r="V63" i="54"/>
  <c r="T63" i="54"/>
  <c r="U63" i="54" s="1"/>
  <c r="T52" i="54"/>
  <c r="U52" i="54" s="1"/>
  <c r="V52" i="54"/>
  <c r="N63" i="69"/>
  <c r="T63" i="45"/>
  <c r="U63" i="45" s="1"/>
  <c r="V63" i="45"/>
  <c r="P63" i="69"/>
  <c r="R63" i="51"/>
  <c r="V63" i="51"/>
  <c r="G5" i="74" l="1"/>
  <c r="G5" i="75"/>
  <c r="N129" i="57"/>
  <c r="N5" i="76" l="1"/>
  <c r="G31" i="75"/>
  <c r="G31" i="74"/>
  <c r="N4" i="74"/>
  <c r="N8" i="75" l="1"/>
  <c r="T4" i="75" s="1"/>
  <c r="N6" i="75"/>
  <c r="T7" i="75" s="1"/>
  <c r="N4" i="75"/>
  <c r="N9" i="75"/>
  <c r="T5" i="75" s="1"/>
  <c r="T8" i="75" l="1"/>
  <c r="Q59" i="77"/>
  <c r="Q62" i="77"/>
  <c r="C57" i="62"/>
  <c r="Q56" i="77"/>
  <c r="C60" i="51"/>
  <c r="C60" i="69" s="1"/>
  <c r="C60" i="62"/>
  <c r="C60" i="66"/>
  <c r="Q60" i="51"/>
  <c r="U60" i="51" s="1"/>
  <c r="H60" i="62"/>
  <c r="I57" i="77"/>
  <c r="I57" i="62"/>
  <c r="I59" i="62"/>
  <c r="Q60" i="77"/>
  <c r="Q59" i="51"/>
  <c r="U59" i="51" s="1"/>
  <c r="J57" i="62"/>
  <c r="J57" i="77"/>
  <c r="F54" i="62"/>
  <c r="L59" i="62"/>
  <c r="Q62" i="51"/>
  <c r="U62" i="51" s="1"/>
  <c r="J56" i="62"/>
  <c r="J56" i="77" s="1"/>
  <c r="Q57" i="77"/>
  <c r="H54" i="62"/>
  <c r="Q51" i="77"/>
  <c r="X51" i="77" s="1"/>
  <c r="G59" i="62"/>
  <c r="H62" i="62"/>
  <c r="Q51" i="51"/>
  <c r="Z51" i="51" s="1"/>
  <c r="I56" i="66"/>
  <c r="I56" i="62"/>
  <c r="G54" i="62"/>
  <c r="G54" i="77"/>
  <c r="J60" i="62"/>
  <c r="J60" i="66"/>
  <c r="Q57" i="51"/>
  <c r="U57" i="51" s="1"/>
  <c r="L54" i="77"/>
  <c r="L54" i="51"/>
  <c r="L54" i="62"/>
  <c r="L54" i="66"/>
  <c r="E57" i="62"/>
  <c r="E57" i="66" s="1"/>
  <c r="D56" i="62"/>
  <c r="D57" i="62"/>
  <c r="D57" i="66" s="1"/>
  <c r="G57" i="51"/>
  <c r="G57" i="62"/>
  <c r="G56" i="62"/>
  <c r="I54" i="62"/>
  <c r="G60" i="62"/>
  <c r="J62" i="62"/>
  <c r="H59" i="62"/>
  <c r="Q54" i="51"/>
  <c r="U54" i="51" s="1"/>
  <c r="Q56" i="51"/>
  <c r="U56" i="51" s="1"/>
  <c r="H56" i="62"/>
  <c r="F56" i="62"/>
  <c r="F56" i="66" s="1"/>
  <c r="D59" i="62"/>
  <c r="X51" i="51"/>
  <c r="E56" i="62"/>
  <c r="E56" i="66" s="1"/>
  <c r="J54" i="62"/>
  <c r="L60" i="77"/>
  <c r="L60" i="66"/>
  <c r="L60" i="62"/>
  <c r="F59" i="62"/>
  <c r="D62" i="51"/>
  <c r="D62" i="77"/>
  <c r="D62" i="62"/>
  <c r="E59" i="62"/>
  <c r="E59" i="66"/>
  <c r="D60" i="77"/>
  <c r="D60" i="62"/>
  <c r="D60" i="66"/>
  <c r="F62" i="62"/>
  <c r="H57" i="51"/>
  <c r="H57" i="62"/>
  <c r="H57" i="66"/>
  <c r="D54" i="51"/>
  <c r="D54" i="62"/>
  <c r="F57" i="62"/>
  <c r="F57" i="77" s="1"/>
  <c r="F57" i="66"/>
  <c r="J59" i="62"/>
  <c r="Q54" i="77"/>
  <c r="C56" i="62"/>
  <c r="C54" i="62"/>
  <c r="I60" i="77"/>
  <c r="I60" i="62"/>
  <c r="C62" i="62"/>
  <c r="C62" i="77"/>
  <c r="G62" i="62"/>
  <c r="E62" i="62"/>
  <c r="E54" i="62"/>
  <c r="L56" i="62"/>
  <c r="L57" i="62"/>
  <c r="C59" i="62"/>
  <c r="E60" i="62"/>
  <c r="E60" i="77" s="1"/>
  <c r="F60" i="62"/>
  <c r="I62" i="62"/>
  <c r="L62" i="62"/>
  <c r="B60" i="62"/>
  <c r="B54" i="62"/>
  <c r="B62" i="62"/>
  <c r="B56" i="62"/>
  <c r="B59" i="62"/>
  <c r="B57" i="62"/>
  <c r="B57" i="66" s="1"/>
  <c r="J51" i="62"/>
  <c r="H51" i="62"/>
  <c r="D51" i="62"/>
  <c r="K51" i="62"/>
  <c r="E51" i="62"/>
  <c r="K62" i="62"/>
  <c r="K54" i="62"/>
  <c r="K56" i="62"/>
  <c r="F51" i="62"/>
  <c r="L51" i="62"/>
  <c r="K59" i="62"/>
  <c r="G51" i="62"/>
  <c r="B51" i="62"/>
  <c r="K60" i="62"/>
  <c r="K57" i="62"/>
  <c r="I51" i="62"/>
  <c r="C51" i="62"/>
  <c r="X54" i="51"/>
  <c r="X56" i="51"/>
  <c r="X57" i="51"/>
  <c r="A51" i="62"/>
  <c r="A57" i="62"/>
  <c r="A56" i="62"/>
  <c r="A54" i="62"/>
  <c r="X62" i="51"/>
  <c r="A62" i="62"/>
  <c r="X60" i="51"/>
  <c r="A60" i="62"/>
  <c r="X59" i="51"/>
  <c r="Y59" i="51" s="1"/>
  <c r="A59" i="62"/>
  <c r="Y60" i="51" l="1"/>
  <c r="O57" i="62"/>
  <c r="A57" i="79"/>
  <c r="A57" i="78"/>
  <c r="K60" i="51"/>
  <c r="K60" i="78"/>
  <c r="K60" i="79"/>
  <c r="K62" i="51"/>
  <c r="K62" i="79"/>
  <c r="K62" i="78"/>
  <c r="B190" i="62"/>
  <c r="C190" i="62" s="1"/>
  <c r="D190" i="62" s="1"/>
  <c r="E190" i="62" s="1"/>
  <c r="F190" i="62" s="1"/>
  <c r="G190" i="62" s="1"/>
  <c r="H190" i="62" s="1"/>
  <c r="I190" i="62" s="1"/>
  <c r="J190" i="62" s="1"/>
  <c r="B60" i="79"/>
  <c r="B60" i="78"/>
  <c r="C62" i="66"/>
  <c r="C62" i="78"/>
  <c r="C62" i="79"/>
  <c r="J59" i="51"/>
  <c r="J59" i="69" s="1"/>
  <c r="J59" i="79"/>
  <c r="J59" i="78"/>
  <c r="H57" i="79"/>
  <c r="H57" i="78"/>
  <c r="E59" i="51"/>
  <c r="E59" i="79"/>
  <c r="E59" i="78"/>
  <c r="J54" i="66"/>
  <c r="J54" i="79"/>
  <c r="J54" i="78"/>
  <c r="F56" i="77"/>
  <c r="G56" i="77"/>
  <c r="G56" i="79"/>
  <c r="G56" i="78"/>
  <c r="G54" i="51"/>
  <c r="G54" i="79"/>
  <c r="G54" i="78"/>
  <c r="J57" i="66"/>
  <c r="J57" i="79"/>
  <c r="J57" i="78"/>
  <c r="O51" i="62"/>
  <c r="A51" i="79"/>
  <c r="A51" i="78"/>
  <c r="B51" i="79"/>
  <c r="B51" i="78"/>
  <c r="K62" i="66"/>
  <c r="B189" i="62"/>
  <c r="C189" i="62" s="1"/>
  <c r="D189" i="62" s="1"/>
  <c r="E189" i="62" s="1"/>
  <c r="F189" i="62" s="1"/>
  <c r="G189" i="62" s="1"/>
  <c r="H189" i="62" s="1"/>
  <c r="I189" i="62" s="1"/>
  <c r="J189" i="62" s="1"/>
  <c r="K189" i="62" s="1"/>
  <c r="L189" i="62" s="1"/>
  <c r="B59" i="79"/>
  <c r="B59" i="78"/>
  <c r="B60" i="51"/>
  <c r="C59" i="51"/>
  <c r="C59" i="79"/>
  <c r="C59" i="78"/>
  <c r="I60" i="66"/>
  <c r="I60" i="78"/>
  <c r="I60" i="79"/>
  <c r="J59" i="66"/>
  <c r="H57" i="77"/>
  <c r="D62" i="66"/>
  <c r="D62" i="79"/>
  <c r="D62" i="78"/>
  <c r="H56" i="66"/>
  <c r="H56" i="78"/>
  <c r="H56" i="79"/>
  <c r="G57" i="77"/>
  <c r="G57" i="79"/>
  <c r="G57" i="78"/>
  <c r="L54" i="79"/>
  <c r="L54" i="78"/>
  <c r="I56" i="51"/>
  <c r="I56" i="78"/>
  <c r="I56" i="79"/>
  <c r="C60" i="77"/>
  <c r="C60" i="79"/>
  <c r="C60" i="78"/>
  <c r="O60" i="62"/>
  <c r="P60" i="62" s="1"/>
  <c r="A60" i="79"/>
  <c r="A60" i="78"/>
  <c r="B56" i="51"/>
  <c r="B56" i="78"/>
  <c r="B56" i="79"/>
  <c r="F62" i="77"/>
  <c r="F62" i="79"/>
  <c r="F62" i="78"/>
  <c r="K57" i="77"/>
  <c r="K57" i="78"/>
  <c r="K57" i="79"/>
  <c r="L62" i="66"/>
  <c r="L62" i="78"/>
  <c r="L62" i="79"/>
  <c r="E56" i="51"/>
  <c r="E56" i="79"/>
  <c r="E56" i="78"/>
  <c r="J56" i="66"/>
  <c r="J56" i="79"/>
  <c r="J56" i="78"/>
  <c r="B56" i="66"/>
  <c r="C54" i="77"/>
  <c r="C54" i="79"/>
  <c r="C54" i="78"/>
  <c r="E56" i="77"/>
  <c r="Y54" i="51"/>
  <c r="L51" i="51"/>
  <c r="L51" i="79"/>
  <c r="L51" i="78"/>
  <c r="D51" i="78"/>
  <c r="D51" i="79"/>
  <c r="B62" i="78"/>
  <c r="B62" i="79"/>
  <c r="F60" i="51"/>
  <c r="F60" i="79"/>
  <c r="F60" i="78"/>
  <c r="E54" i="51"/>
  <c r="E54" i="79"/>
  <c r="E54" i="78"/>
  <c r="C54" i="66"/>
  <c r="F59" i="77"/>
  <c r="F59" i="78"/>
  <c r="F59" i="79"/>
  <c r="Y51" i="51"/>
  <c r="H59" i="51"/>
  <c r="H59" i="79"/>
  <c r="H59" i="78"/>
  <c r="H62" i="51"/>
  <c r="H62" i="79"/>
  <c r="H62" i="78"/>
  <c r="I57" i="51"/>
  <c r="I57" i="79"/>
  <c r="I57" i="78"/>
  <c r="C57" i="51"/>
  <c r="C57" i="79"/>
  <c r="C57" i="78"/>
  <c r="O56" i="62"/>
  <c r="A56" i="78"/>
  <c r="A56" i="79"/>
  <c r="K54" i="51"/>
  <c r="K54" i="79"/>
  <c r="K54" i="78"/>
  <c r="E60" i="51"/>
  <c r="E60" i="79"/>
  <c r="E60" i="78"/>
  <c r="G51" i="79"/>
  <c r="G51" i="78"/>
  <c r="L57" i="77"/>
  <c r="L57" i="79"/>
  <c r="L57" i="78"/>
  <c r="I62" i="51"/>
  <c r="I62" i="78"/>
  <c r="I62" i="79"/>
  <c r="I59" i="51"/>
  <c r="I59" i="78"/>
  <c r="I59" i="79"/>
  <c r="O62" i="62"/>
  <c r="A62" i="79"/>
  <c r="A62" i="78"/>
  <c r="C51" i="66"/>
  <c r="C51" i="79"/>
  <c r="C51" i="78"/>
  <c r="F51" i="51"/>
  <c r="F51" i="78"/>
  <c r="F51" i="79"/>
  <c r="H51" i="79"/>
  <c r="H51" i="78"/>
  <c r="B62" i="77"/>
  <c r="F60" i="77"/>
  <c r="E62" i="51"/>
  <c r="E62" i="78"/>
  <c r="E62" i="79"/>
  <c r="C54" i="51"/>
  <c r="D54" i="66"/>
  <c r="D54" i="69" s="1"/>
  <c r="D54" i="79"/>
  <c r="D54" i="78"/>
  <c r="D60" i="51"/>
  <c r="D60" i="79"/>
  <c r="D60" i="78"/>
  <c r="L60" i="51"/>
  <c r="L60" i="79"/>
  <c r="L60" i="78"/>
  <c r="D59" i="51"/>
  <c r="D59" i="79"/>
  <c r="D59" i="78"/>
  <c r="J62" i="66"/>
  <c r="J62" i="79"/>
  <c r="J62" i="78"/>
  <c r="D56" i="51"/>
  <c r="D56" i="79"/>
  <c r="D56" i="78"/>
  <c r="G59" i="51"/>
  <c r="G59" i="78"/>
  <c r="G59" i="79"/>
  <c r="L59" i="51"/>
  <c r="L59" i="79"/>
  <c r="L59" i="78"/>
  <c r="O59" i="62"/>
  <c r="A59" i="78"/>
  <c r="A59" i="79"/>
  <c r="E51" i="51"/>
  <c r="E51" i="79"/>
  <c r="E51" i="78"/>
  <c r="K59" i="77"/>
  <c r="K59" i="78"/>
  <c r="K59" i="79"/>
  <c r="K51" i="79"/>
  <c r="K51" i="78"/>
  <c r="L56" i="51"/>
  <c r="L56" i="78"/>
  <c r="L56" i="79"/>
  <c r="F57" i="51"/>
  <c r="F57" i="79"/>
  <c r="F57" i="78"/>
  <c r="D57" i="51"/>
  <c r="D57" i="79"/>
  <c r="D57" i="78"/>
  <c r="J56" i="51"/>
  <c r="O54" i="62"/>
  <c r="A54" i="78"/>
  <c r="A54" i="79"/>
  <c r="I51" i="66"/>
  <c r="I51" i="79"/>
  <c r="I51" i="78"/>
  <c r="I65" i="78" s="1"/>
  <c r="I110" i="78" s="1"/>
  <c r="I112" i="78" s="1"/>
  <c r="K56" i="79"/>
  <c r="K56" i="78"/>
  <c r="J51" i="79"/>
  <c r="J51" i="78"/>
  <c r="B54" i="51"/>
  <c r="B54" i="79"/>
  <c r="B54" i="78"/>
  <c r="E60" i="66"/>
  <c r="E60" i="69" s="1"/>
  <c r="G62" i="51"/>
  <c r="G62" i="79"/>
  <c r="G62" i="78"/>
  <c r="C56" i="77"/>
  <c r="C56" i="79"/>
  <c r="C56" i="78"/>
  <c r="G60" i="51"/>
  <c r="G60" i="78"/>
  <c r="G60" i="79"/>
  <c r="J60" i="77"/>
  <c r="J60" i="79"/>
  <c r="J60" i="78"/>
  <c r="F54" i="51"/>
  <c r="F54" i="79"/>
  <c r="F54" i="78"/>
  <c r="H60" i="51"/>
  <c r="H60" i="79"/>
  <c r="H60" i="78"/>
  <c r="B57" i="51"/>
  <c r="B57" i="78"/>
  <c r="B57" i="79"/>
  <c r="F56" i="51"/>
  <c r="A56" i="45" s="1"/>
  <c r="F56" i="79"/>
  <c r="F56" i="78"/>
  <c r="I54" i="77"/>
  <c r="I54" i="78"/>
  <c r="I54" i="79"/>
  <c r="E57" i="77"/>
  <c r="E57" i="79"/>
  <c r="E57" i="78"/>
  <c r="H54" i="51"/>
  <c r="H54" i="79"/>
  <c r="H54" i="78"/>
  <c r="Y56" i="51"/>
  <c r="U60" i="77"/>
  <c r="X60" i="77"/>
  <c r="Y60" i="77" s="1"/>
  <c r="U56" i="77"/>
  <c r="X56" i="77"/>
  <c r="Y56" i="77" s="1"/>
  <c r="AC62" i="77"/>
  <c r="X62" i="77"/>
  <c r="Y62" i="77" s="1"/>
  <c r="U54" i="77"/>
  <c r="X54" i="77"/>
  <c r="Y54" i="77" s="1"/>
  <c r="U59" i="77"/>
  <c r="X59" i="77"/>
  <c r="Y59" i="77" s="1"/>
  <c r="U57" i="77"/>
  <c r="X57" i="77"/>
  <c r="Y57" i="77" s="1"/>
  <c r="Y57" i="51"/>
  <c r="Y51" i="77"/>
  <c r="Q57" i="69"/>
  <c r="Y62" i="51"/>
  <c r="P62" i="62"/>
  <c r="B60" i="77"/>
  <c r="E54" i="77"/>
  <c r="C56" i="51"/>
  <c r="Q56" i="69"/>
  <c r="G60" i="77"/>
  <c r="D57" i="69"/>
  <c r="L54" i="69"/>
  <c r="I56" i="69"/>
  <c r="L59" i="77"/>
  <c r="I59" i="66"/>
  <c r="I59" i="69" s="1"/>
  <c r="C57" i="66"/>
  <c r="A59" i="56"/>
  <c r="K60" i="66"/>
  <c r="K60" i="69" s="1"/>
  <c r="F51" i="77"/>
  <c r="K62" i="77"/>
  <c r="B187" i="62"/>
  <c r="C187" i="62" s="1"/>
  <c r="D187" i="62" s="1"/>
  <c r="E187" i="62" s="1"/>
  <c r="F187" i="62" s="1"/>
  <c r="G187" i="62" s="1"/>
  <c r="H187" i="62" s="1"/>
  <c r="I187" i="62" s="1"/>
  <c r="J187" i="62" s="1"/>
  <c r="K187" i="62" s="1"/>
  <c r="L187" i="62" s="1"/>
  <c r="L62" i="77"/>
  <c r="E62" i="66"/>
  <c r="E62" i="69" s="1"/>
  <c r="E59" i="69"/>
  <c r="J54" i="77"/>
  <c r="Q54" i="69"/>
  <c r="D56" i="66"/>
  <c r="D56" i="69" s="1"/>
  <c r="Q51" i="69"/>
  <c r="F54" i="66"/>
  <c r="I57" i="66"/>
  <c r="I57" i="69" s="1"/>
  <c r="C57" i="77"/>
  <c r="H57" i="69"/>
  <c r="P56" i="62"/>
  <c r="E51" i="66"/>
  <c r="B57" i="69"/>
  <c r="G62" i="66"/>
  <c r="G62" i="69" s="1"/>
  <c r="G56" i="66"/>
  <c r="A57" i="56"/>
  <c r="K54" i="77"/>
  <c r="E51" i="77"/>
  <c r="B54" i="66"/>
  <c r="B54" i="69" s="1"/>
  <c r="L57" i="51"/>
  <c r="G62" i="77"/>
  <c r="E56" i="69"/>
  <c r="J62" i="77"/>
  <c r="L59" i="66"/>
  <c r="L59" i="69" s="1"/>
  <c r="Q59" i="69"/>
  <c r="K59" i="66"/>
  <c r="C56" i="66"/>
  <c r="D60" i="69"/>
  <c r="L60" i="69"/>
  <c r="J62" i="51"/>
  <c r="J62" i="69" s="1"/>
  <c r="Z56" i="51"/>
  <c r="AA56" i="51" s="1"/>
  <c r="AB56" i="51" s="1"/>
  <c r="Z62" i="51"/>
  <c r="AA62" i="51" s="1"/>
  <c r="AB62" i="51" s="1"/>
  <c r="Q62" i="69"/>
  <c r="Z60" i="51"/>
  <c r="AA60" i="51" s="1"/>
  <c r="AB60" i="51" s="1"/>
  <c r="Q60" i="69"/>
  <c r="Z59" i="51"/>
  <c r="AA59" i="51" s="1"/>
  <c r="AB59" i="51" s="1"/>
  <c r="V62" i="62"/>
  <c r="R62" i="62"/>
  <c r="A56" i="51"/>
  <c r="A56" i="66"/>
  <c r="A56" i="77"/>
  <c r="A51" i="66"/>
  <c r="A51" i="77"/>
  <c r="A51" i="51"/>
  <c r="O60" i="51"/>
  <c r="B181" i="62"/>
  <c r="C181" i="62" s="1"/>
  <c r="D181" i="62" s="1"/>
  <c r="E181" i="62" s="1"/>
  <c r="F181" i="62" s="1"/>
  <c r="G181" i="62" s="1"/>
  <c r="H181" i="62" s="1"/>
  <c r="I181" i="62" s="1"/>
  <c r="J181" i="62" s="1"/>
  <c r="K181" i="62" s="1"/>
  <c r="L181" i="62" s="1"/>
  <c r="G51" i="66"/>
  <c r="G51" i="51"/>
  <c r="C51" i="77"/>
  <c r="C51" i="51"/>
  <c r="I51" i="77"/>
  <c r="I51" i="51"/>
  <c r="B51" i="77"/>
  <c r="B51" i="66"/>
  <c r="B51" i="51"/>
  <c r="K51" i="77"/>
  <c r="K51" i="66"/>
  <c r="K51" i="51"/>
  <c r="B62" i="51"/>
  <c r="B192" i="62"/>
  <c r="C192" i="62" s="1"/>
  <c r="D192" i="62" s="1"/>
  <c r="E192" i="62" s="1"/>
  <c r="F192" i="62" s="1"/>
  <c r="G192" i="62" s="1"/>
  <c r="H192" i="62" s="1"/>
  <c r="I192" i="62" s="1"/>
  <c r="J192" i="62" s="1"/>
  <c r="K192" i="62" s="1"/>
  <c r="L192" i="62" s="1"/>
  <c r="A51" i="56"/>
  <c r="K60" i="77"/>
  <c r="F51" i="66"/>
  <c r="E51" i="69"/>
  <c r="B62" i="66"/>
  <c r="O62" i="66"/>
  <c r="A51" i="45"/>
  <c r="K56" i="51"/>
  <c r="K56" i="77"/>
  <c r="J51" i="77"/>
  <c r="J51" i="66"/>
  <c r="J51" i="51"/>
  <c r="A54" i="77"/>
  <c r="A54" i="66"/>
  <c r="A54" i="51"/>
  <c r="A60" i="66"/>
  <c r="A60" i="51"/>
  <c r="A60" i="77"/>
  <c r="A62" i="66"/>
  <c r="A62" i="51"/>
  <c r="A62" i="77"/>
  <c r="A57" i="77"/>
  <c r="A57" i="51"/>
  <c r="A57" i="66"/>
  <c r="K57" i="66"/>
  <c r="A60" i="56"/>
  <c r="L51" i="77"/>
  <c r="K56" i="66"/>
  <c r="H51" i="51"/>
  <c r="H51" i="77"/>
  <c r="H51" i="66"/>
  <c r="B57" i="77"/>
  <c r="B59" i="51"/>
  <c r="B59" i="77"/>
  <c r="J56" i="69"/>
  <c r="P59" i="62"/>
  <c r="K59" i="51"/>
  <c r="L51" i="66"/>
  <c r="L51" i="69" s="1"/>
  <c r="P54" i="62"/>
  <c r="A56" i="56"/>
  <c r="B59" i="66"/>
  <c r="A60" i="45"/>
  <c r="AA51" i="51"/>
  <c r="A54" i="45"/>
  <c r="F54" i="69"/>
  <c r="A59" i="66"/>
  <c r="A59" i="51"/>
  <c r="A59" i="77"/>
  <c r="K57" i="51"/>
  <c r="A54" i="56"/>
  <c r="O54" i="51"/>
  <c r="D51" i="77"/>
  <c r="D51" i="66"/>
  <c r="D51" i="51"/>
  <c r="K190" i="62"/>
  <c r="L190" i="62" s="1"/>
  <c r="F57" i="69"/>
  <c r="A57" i="45"/>
  <c r="G51" i="77"/>
  <c r="A62" i="56"/>
  <c r="K54" i="66"/>
  <c r="K54" i="69" s="1"/>
  <c r="K62" i="69"/>
  <c r="D62" i="69"/>
  <c r="B186" i="62"/>
  <c r="C186" i="62" s="1"/>
  <c r="D186" i="62" s="1"/>
  <c r="E186" i="62" s="1"/>
  <c r="F186" i="62" s="1"/>
  <c r="G186" i="62" s="1"/>
  <c r="H186" i="62" s="1"/>
  <c r="I186" i="62" s="1"/>
  <c r="J186" i="62" s="1"/>
  <c r="K186" i="62" s="1"/>
  <c r="L186" i="62" s="1"/>
  <c r="I62" i="77"/>
  <c r="C59" i="66"/>
  <c r="L56" i="66"/>
  <c r="L56" i="69" s="1"/>
  <c r="I56" i="77"/>
  <c r="G56" i="51"/>
  <c r="J57" i="51"/>
  <c r="J57" i="69" s="1"/>
  <c r="D54" i="77"/>
  <c r="D59" i="66"/>
  <c r="D59" i="69" s="1"/>
  <c r="H56" i="77"/>
  <c r="Z54" i="51"/>
  <c r="AA54" i="51" s="1"/>
  <c r="AB54" i="51" s="1"/>
  <c r="I54" i="66"/>
  <c r="G57" i="66"/>
  <c r="G57" i="69" s="1"/>
  <c r="G59" i="66"/>
  <c r="C62" i="51"/>
  <c r="C62" i="69" s="1"/>
  <c r="U62" i="77"/>
  <c r="B56" i="77"/>
  <c r="B60" i="66"/>
  <c r="I62" i="66"/>
  <c r="I62" i="69" s="1"/>
  <c r="C59" i="77"/>
  <c r="L56" i="77"/>
  <c r="F62" i="51"/>
  <c r="B184" i="62"/>
  <c r="C184" i="62" s="1"/>
  <c r="D184" i="62" s="1"/>
  <c r="E184" i="62" s="1"/>
  <c r="F184" i="62" s="1"/>
  <c r="G184" i="62" s="1"/>
  <c r="H184" i="62" s="1"/>
  <c r="I184" i="62" s="1"/>
  <c r="J184" i="62" s="1"/>
  <c r="K184" i="62" s="1"/>
  <c r="L184" i="62" s="1"/>
  <c r="F60" i="66"/>
  <c r="F60" i="69" s="1"/>
  <c r="L57" i="66"/>
  <c r="E54" i="66"/>
  <c r="E54" i="69" s="1"/>
  <c r="E62" i="77"/>
  <c r="F62" i="66"/>
  <c r="D59" i="77"/>
  <c r="H59" i="66"/>
  <c r="H59" i="69" s="1"/>
  <c r="I54" i="51"/>
  <c r="D57" i="77"/>
  <c r="Z57" i="51"/>
  <c r="AA57" i="51" s="1"/>
  <c r="AB57" i="51" s="1"/>
  <c r="U51" i="51"/>
  <c r="G59" i="77"/>
  <c r="F54" i="77"/>
  <c r="I59" i="77"/>
  <c r="H60" i="66"/>
  <c r="AC56" i="77"/>
  <c r="AC54" i="77"/>
  <c r="F59" i="66"/>
  <c r="H62" i="77"/>
  <c r="AC51" i="77"/>
  <c r="H54" i="77"/>
  <c r="E57" i="51"/>
  <c r="E57" i="69" s="1"/>
  <c r="H56" i="51"/>
  <c r="H56" i="69" s="1"/>
  <c r="I60" i="51"/>
  <c r="I60" i="69" s="1"/>
  <c r="J54" i="51"/>
  <c r="H59" i="77"/>
  <c r="L62" i="51"/>
  <c r="L62" i="69" s="1"/>
  <c r="U51" i="77"/>
  <c r="AC60" i="77"/>
  <c r="J60" i="51"/>
  <c r="J60" i="69" s="1"/>
  <c r="H60" i="77"/>
  <c r="F59" i="51"/>
  <c r="B54" i="77"/>
  <c r="E59" i="77"/>
  <c r="G60" i="66"/>
  <c r="G60" i="69" s="1"/>
  <c r="D56" i="77"/>
  <c r="H62" i="66"/>
  <c r="H54" i="66"/>
  <c r="H54" i="69" s="1"/>
  <c r="AC59" i="77"/>
  <c r="J59" i="77"/>
  <c r="G54" i="66"/>
  <c r="G54" i="69" s="1"/>
  <c r="AC57" i="77"/>
  <c r="C57" i="69" l="1"/>
  <c r="F56" i="69"/>
  <c r="B60" i="69"/>
  <c r="K65" i="78"/>
  <c r="K110" i="78" s="1"/>
  <c r="K112" i="78" s="1"/>
  <c r="O59" i="79"/>
  <c r="P59" i="79" s="1"/>
  <c r="R59" i="79" s="1"/>
  <c r="C54" i="69"/>
  <c r="B65" i="79"/>
  <c r="B110" i="79" s="1"/>
  <c r="B112" i="79" s="1"/>
  <c r="I65" i="79"/>
  <c r="I110" i="79" s="1"/>
  <c r="I112" i="79" s="1"/>
  <c r="K65" i="79"/>
  <c r="K110" i="79" s="1"/>
  <c r="K112" i="79" s="1"/>
  <c r="O59" i="78"/>
  <c r="P59" i="78" s="1"/>
  <c r="H65" i="78"/>
  <c r="H110" i="78" s="1"/>
  <c r="H112" i="78" s="1"/>
  <c r="O62" i="78"/>
  <c r="P62" i="78" s="1"/>
  <c r="D65" i="79"/>
  <c r="D110" i="79" s="1"/>
  <c r="D112" i="79" s="1"/>
  <c r="O51" i="78"/>
  <c r="A65" i="78"/>
  <c r="A110" i="78" s="1"/>
  <c r="A112" i="78" s="1"/>
  <c r="V59" i="79"/>
  <c r="H65" i="79"/>
  <c r="H110" i="79" s="1"/>
  <c r="H112" i="79" s="1"/>
  <c r="O62" i="79"/>
  <c r="P62" i="79" s="1"/>
  <c r="D65" i="78"/>
  <c r="D110" i="78" s="1"/>
  <c r="D112" i="78" s="1"/>
  <c r="O51" i="79"/>
  <c r="A65" i="79"/>
  <c r="A110" i="79" s="1"/>
  <c r="A112" i="79" s="1"/>
  <c r="J54" i="69"/>
  <c r="O54" i="79"/>
  <c r="P54" i="79" s="1"/>
  <c r="F65" i="79"/>
  <c r="F110" i="79" s="1"/>
  <c r="F112" i="79" s="1"/>
  <c r="L65" i="78"/>
  <c r="L110" i="78" s="1"/>
  <c r="L112" i="78" s="1"/>
  <c r="L129" i="78" s="1"/>
  <c r="L172" i="78" s="1"/>
  <c r="O65" i="62"/>
  <c r="J65" i="78"/>
  <c r="J110" i="78" s="1"/>
  <c r="J112" i="78" s="1"/>
  <c r="O54" i="78"/>
  <c r="P54" i="78" s="1"/>
  <c r="F65" i="78"/>
  <c r="F110" i="78" s="1"/>
  <c r="F112" i="78" s="1"/>
  <c r="L65" i="79"/>
  <c r="L110" i="79" s="1"/>
  <c r="L112" i="79" s="1"/>
  <c r="L129" i="79" s="1"/>
  <c r="L172" i="79" s="1"/>
  <c r="H62" i="69"/>
  <c r="H60" i="69"/>
  <c r="G59" i="69"/>
  <c r="J65" i="79"/>
  <c r="J110" i="79" s="1"/>
  <c r="J112" i="79" s="1"/>
  <c r="E65" i="78"/>
  <c r="E110" i="78" s="1"/>
  <c r="E112" i="78" s="1"/>
  <c r="G65" i="78"/>
  <c r="G110" i="78" s="1"/>
  <c r="G112" i="78" s="1"/>
  <c r="O56" i="79"/>
  <c r="P56" i="79" s="1"/>
  <c r="B56" i="69"/>
  <c r="O57" i="78"/>
  <c r="P57" i="78" s="1"/>
  <c r="E65" i="79"/>
  <c r="E110" i="79" s="1"/>
  <c r="E112" i="79" s="1"/>
  <c r="C65" i="78"/>
  <c r="C110" i="78" s="1"/>
  <c r="C112" i="78" s="1"/>
  <c r="G65" i="79"/>
  <c r="G110" i="79" s="1"/>
  <c r="G112" i="79" s="1"/>
  <c r="O56" i="78"/>
  <c r="P56" i="78" s="1"/>
  <c r="O60" i="78"/>
  <c r="P60" i="78" s="1"/>
  <c r="O57" i="79"/>
  <c r="P57" i="79" s="1"/>
  <c r="C65" i="79"/>
  <c r="C110" i="79" s="1"/>
  <c r="C112" i="79" s="1"/>
  <c r="O60" i="79"/>
  <c r="P60" i="79" s="1"/>
  <c r="B65" i="78"/>
  <c r="B110" i="78" s="1"/>
  <c r="B112" i="78" s="1"/>
  <c r="G56" i="69"/>
  <c r="O51" i="77"/>
  <c r="O54" i="77"/>
  <c r="P54" i="77" s="1"/>
  <c r="O56" i="77"/>
  <c r="O54" i="66"/>
  <c r="O54" i="69" s="1"/>
  <c r="O59" i="77"/>
  <c r="O62" i="77"/>
  <c r="O60" i="77"/>
  <c r="P60" i="77" s="1"/>
  <c r="L57" i="69"/>
  <c r="O57" i="77"/>
  <c r="P57" i="77" s="1"/>
  <c r="O59" i="66"/>
  <c r="O56" i="66"/>
  <c r="C56" i="69"/>
  <c r="P57" i="62"/>
  <c r="R57" i="62" s="1"/>
  <c r="O60" i="66"/>
  <c r="O60" i="69" s="1"/>
  <c r="N56" i="66"/>
  <c r="V60" i="62"/>
  <c r="R60" i="62"/>
  <c r="R54" i="62"/>
  <c r="V54" i="62"/>
  <c r="O62" i="51"/>
  <c r="O62" i="69" s="1"/>
  <c r="N59" i="66"/>
  <c r="H51" i="69"/>
  <c r="N54" i="66"/>
  <c r="B51" i="69"/>
  <c r="N51" i="66"/>
  <c r="J57" i="45"/>
  <c r="H57" i="45"/>
  <c r="I57" i="45" s="1"/>
  <c r="A59" i="45"/>
  <c r="F59" i="69"/>
  <c r="A62" i="45"/>
  <c r="F62" i="69"/>
  <c r="H54" i="45"/>
  <c r="I54" i="45" s="1"/>
  <c r="J54" i="45"/>
  <c r="N62" i="51"/>
  <c r="A62" i="69"/>
  <c r="A62" i="54"/>
  <c r="O57" i="66"/>
  <c r="O56" i="51"/>
  <c r="K56" i="69"/>
  <c r="C59" i="69"/>
  <c r="N62" i="66"/>
  <c r="P62" i="66" s="1"/>
  <c r="R62" i="66" s="1"/>
  <c r="B62" i="69"/>
  <c r="I51" i="69"/>
  <c r="N56" i="51"/>
  <c r="A56" i="54"/>
  <c r="A56" i="69"/>
  <c r="AB51" i="51"/>
  <c r="B59" i="69"/>
  <c r="H51" i="45"/>
  <c r="I51" i="45" s="1"/>
  <c r="J51" i="45"/>
  <c r="O51" i="51"/>
  <c r="K51" i="69"/>
  <c r="H56" i="45"/>
  <c r="I56" i="45" s="1"/>
  <c r="J56" i="45"/>
  <c r="D51" i="69"/>
  <c r="O57" i="51"/>
  <c r="K57" i="69"/>
  <c r="A60" i="54"/>
  <c r="N60" i="51"/>
  <c r="A60" i="69"/>
  <c r="J51" i="69"/>
  <c r="F51" i="69"/>
  <c r="C51" i="69"/>
  <c r="I54" i="69"/>
  <c r="P51" i="62"/>
  <c r="P59" i="77"/>
  <c r="O59" i="51"/>
  <c r="K59" i="69"/>
  <c r="N57" i="66"/>
  <c r="N60" i="66"/>
  <c r="O51" i="66"/>
  <c r="A51" i="69"/>
  <c r="A51" i="54"/>
  <c r="N51" i="51"/>
  <c r="R56" i="62"/>
  <c r="V56" i="62"/>
  <c r="A59" i="54"/>
  <c r="N59" i="51"/>
  <c r="A59" i="69"/>
  <c r="H60" i="45"/>
  <c r="I60" i="45" s="1"/>
  <c r="J60" i="45"/>
  <c r="V59" i="62"/>
  <c r="R59" i="62"/>
  <c r="N57" i="51"/>
  <c r="A57" i="54"/>
  <c r="A57" i="69"/>
  <c r="N54" i="51"/>
  <c r="A54" i="54"/>
  <c r="A54" i="69"/>
  <c r="G51" i="69"/>
  <c r="V57" i="79" l="1"/>
  <c r="R57" i="79"/>
  <c r="P51" i="78"/>
  <c r="O65" i="78"/>
  <c r="O110" i="78" s="1"/>
  <c r="O112" i="78" s="1"/>
  <c r="V60" i="78"/>
  <c r="R60" i="78"/>
  <c r="V56" i="78"/>
  <c r="R56" i="78"/>
  <c r="R62" i="78"/>
  <c r="V62" i="78"/>
  <c r="R62" i="79"/>
  <c r="V62" i="79"/>
  <c r="R56" i="79"/>
  <c r="V56" i="79"/>
  <c r="R59" i="78"/>
  <c r="V59" i="78"/>
  <c r="P51" i="79"/>
  <c r="O65" i="79"/>
  <c r="O110" i="79" s="1"/>
  <c r="O112" i="79" s="1"/>
  <c r="P56" i="66"/>
  <c r="R56" i="66" s="1"/>
  <c r="R54" i="78"/>
  <c r="V54" i="78"/>
  <c r="O56" i="69"/>
  <c r="R60" i="79"/>
  <c r="V60" i="79"/>
  <c r="V57" i="78"/>
  <c r="R57" i="78"/>
  <c r="V54" i="79"/>
  <c r="R54" i="79"/>
  <c r="P59" i="66"/>
  <c r="R59" i="66" s="1"/>
  <c r="O59" i="69"/>
  <c r="P54" i="66"/>
  <c r="R54" i="66" s="1"/>
  <c r="P60" i="66"/>
  <c r="R60" i="66" s="1"/>
  <c r="O57" i="69"/>
  <c r="P57" i="66"/>
  <c r="R57" i="66" s="1"/>
  <c r="P62" i="77"/>
  <c r="R62" i="77" s="1"/>
  <c r="V57" i="62"/>
  <c r="P56" i="77"/>
  <c r="R56" i="77" s="1"/>
  <c r="P54" i="51"/>
  <c r="M54" i="45"/>
  <c r="M54" i="54"/>
  <c r="M51" i="54"/>
  <c r="P51" i="51"/>
  <c r="M51" i="45"/>
  <c r="M62" i="54"/>
  <c r="P62" i="51"/>
  <c r="M62" i="45"/>
  <c r="J59" i="45"/>
  <c r="H59" i="45"/>
  <c r="I59" i="45" s="1"/>
  <c r="H51" i="54"/>
  <c r="I51" i="54" s="1"/>
  <c r="J51" i="54"/>
  <c r="R59" i="77"/>
  <c r="V59" i="77"/>
  <c r="V54" i="77"/>
  <c r="R54" i="77"/>
  <c r="R57" i="77"/>
  <c r="V57" i="77"/>
  <c r="M60" i="54"/>
  <c r="P60" i="51"/>
  <c r="M60" i="45"/>
  <c r="J56" i="54"/>
  <c r="H56" i="54"/>
  <c r="I56" i="54" s="1"/>
  <c r="P51" i="66"/>
  <c r="R51" i="66" s="1"/>
  <c r="J57" i="54"/>
  <c r="H57" i="54"/>
  <c r="I57" i="54" s="1"/>
  <c r="J59" i="54"/>
  <c r="H59" i="54"/>
  <c r="I59" i="54" s="1"/>
  <c r="J60" i="54"/>
  <c r="H60" i="54"/>
  <c r="I60" i="54" s="1"/>
  <c r="V60" i="77"/>
  <c r="R60" i="77"/>
  <c r="M56" i="54"/>
  <c r="M56" i="45"/>
  <c r="P56" i="51"/>
  <c r="R51" i="62"/>
  <c r="V51" i="62"/>
  <c r="V62" i="77"/>
  <c r="M57" i="54"/>
  <c r="P57" i="51"/>
  <c r="M57" i="45"/>
  <c r="O51" i="69"/>
  <c r="H62" i="54"/>
  <c r="I62" i="54" s="1"/>
  <c r="J62" i="54"/>
  <c r="J62" i="45"/>
  <c r="H62" i="45"/>
  <c r="I62" i="45" s="1"/>
  <c r="M59" i="45"/>
  <c r="P59" i="51"/>
  <c r="M59" i="54"/>
  <c r="P51" i="77"/>
  <c r="H54" i="54"/>
  <c r="I54" i="54" s="1"/>
  <c r="J54" i="54"/>
  <c r="R51" i="78" l="1"/>
  <c r="R65" i="78" s="1"/>
  <c r="R110" i="78" s="1"/>
  <c r="R112" i="78" s="1"/>
  <c r="V51" i="78"/>
  <c r="P65" i="78"/>
  <c r="R51" i="79"/>
  <c r="R65" i="79" s="1"/>
  <c r="R110" i="79" s="1"/>
  <c r="R112" i="79" s="1"/>
  <c r="V51" i="79"/>
  <c r="P65" i="79"/>
  <c r="V56" i="77"/>
  <c r="N59" i="69"/>
  <c r="T59" i="45"/>
  <c r="U59" i="45" s="1"/>
  <c r="V59" i="45"/>
  <c r="N57" i="69"/>
  <c r="V57" i="45"/>
  <c r="T57" i="45"/>
  <c r="U57" i="45" s="1"/>
  <c r="V54" i="54"/>
  <c r="T54" i="54"/>
  <c r="U54" i="54" s="1"/>
  <c r="V60" i="45"/>
  <c r="N60" i="69"/>
  <c r="T60" i="45"/>
  <c r="U60" i="45" s="1"/>
  <c r="T62" i="45"/>
  <c r="U62" i="45" s="1"/>
  <c r="V62" i="45"/>
  <c r="N62" i="69"/>
  <c r="N54" i="69"/>
  <c r="V54" i="45"/>
  <c r="T54" i="45"/>
  <c r="U54" i="45" s="1"/>
  <c r="T57" i="54"/>
  <c r="U57" i="54" s="1"/>
  <c r="V57" i="54"/>
  <c r="P60" i="69"/>
  <c r="V60" i="51"/>
  <c r="R60" i="51"/>
  <c r="P62" i="69"/>
  <c r="R62" i="51"/>
  <c r="V62" i="51"/>
  <c r="P54" i="69"/>
  <c r="R54" i="51"/>
  <c r="V54" i="51"/>
  <c r="V60" i="54"/>
  <c r="T60" i="54"/>
  <c r="U60" i="54" s="1"/>
  <c r="T62" i="54"/>
  <c r="U62" i="54" s="1"/>
  <c r="V62" i="54"/>
  <c r="P57" i="69"/>
  <c r="R57" i="51"/>
  <c r="V57" i="51"/>
  <c r="P56" i="69"/>
  <c r="R56" i="51"/>
  <c r="V56" i="51"/>
  <c r="T51" i="45"/>
  <c r="U51" i="45" s="1"/>
  <c r="N51" i="69"/>
  <c r="V51" i="45"/>
  <c r="R51" i="77"/>
  <c r="V51" i="77"/>
  <c r="V59" i="54"/>
  <c r="T59" i="54"/>
  <c r="U59" i="54" s="1"/>
  <c r="T56" i="45"/>
  <c r="U56" i="45" s="1"/>
  <c r="N56" i="69"/>
  <c r="V56" i="45"/>
  <c r="P51" i="69"/>
  <c r="R51" i="51"/>
  <c r="V51" i="51"/>
  <c r="P59" i="69"/>
  <c r="R59" i="51"/>
  <c r="V59" i="51"/>
  <c r="T56" i="54"/>
  <c r="U56" i="54" s="1"/>
  <c r="V56" i="54"/>
  <c r="T51" i="54"/>
  <c r="U51" i="54" s="1"/>
  <c r="V51" i="54"/>
  <c r="F65" i="62"/>
  <c r="D65" i="62"/>
  <c r="G61" i="66"/>
  <c r="G65" i="66" s="1"/>
  <c r="G65" i="62"/>
  <c r="I61" i="51"/>
  <c r="I65" i="62"/>
  <c r="H61" i="66"/>
  <c r="H65" i="66" s="1"/>
  <c r="H65" i="62"/>
  <c r="J61" i="66"/>
  <c r="J65" i="62"/>
  <c r="L65" i="62"/>
  <c r="E65" i="62"/>
  <c r="A61" i="66"/>
  <c r="V65" i="78" l="1"/>
  <c r="P110" i="78"/>
  <c r="P110" i="79"/>
  <c r="V65" i="79"/>
  <c r="A65" i="66"/>
  <c r="I65" i="51"/>
  <c r="K61" i="66"/>
  <c r="K65" i="66" s="1"/>
  <c r="K61" i="77"/>
  <c r="K61" i="51"/>
  <c r="B65" i="62"/>
  <c r="B61" i="66"/>
  <c r="B65" i="66" s="1"/>
  <c r="B61" i="51"/>
  <c r="B61" i="77"/>
  <c r="B65" i="77" s="1"/>
  <c r="C61" i="51"/>
  <c r="C61" i="66"/>
  <c r="C65" i="66" s="1"/>
  <c r="J61" i="51"/>
  <c r="H61" i="51"/>
  <c r="H61" i="77"/>
  <c r="H65" i="77" s="1"/>
  <c r="F61" i="77"/>
  <c r="F65" i="77" s="1"/>
  <c r="F61" i="66"/>
  <c r="F65" i="66" s="1"/>
  <c r="F61" i="51"/>
  <c r="G61" i="77"/>
  <c r="G65" i="77" s="1"/>
  <c r="E61" i="51"/>
  <c r="E61" i="66"/>
  <c r="E65" i="66" s="1"/>
  <c r="L61" i="77"/>
  <c r="L65" i="77" s="1"/>
  <c r="L61" i="66"/>
  <c r="L65" i="66" s="1"/>
  <c r="L61" i="51"/>
  <c r="A61" i="56"/>
  <c r="A65" i="62"/>
  <c r="J61" i="77"/>
  <c r="J65" i="77" s="1"/>
  <c r="J65" i="66"/>
  <c r="D61" i="51"/>
  <c r="D61" i="66"/>
  <c r="D65" i="66" s="1"/>
  <c r="D61" i="77"/>
  <c r="D65" i="77" s="1"/>
  <c r="G61" i="51"/>
  <c r="E61" i="77"/>
  <c r="E65" i="77" s="1"/>
  <c r="A61" i="51"/>
  <c r="A61" i="77"/>
  <c r="K65" i="62"/>
  <c r="I61" i="66"/>
  <c r="I65" i="66" s="1"/>
  <c r="I61" i="77"/>
  <c r="I65" i="77" s="1"/>
  <c r="B191" i="62"/>
  <c r="C191" i="62" s="1"/>
  <c r="D191" i="62" s="1"/>
  <c r="E191" i="62" s="1"/>
  <c r="F191" i="62" s="1"/>
  <c r="G191" i="62" s="1"/>
  <c r="H191" i="62" s="1"/>
  <c r="I191" i="62" s="1"/>
  <c r="J191" i="62" s="1"/>
  <c r="K191" i="62" s="1"/>
  <c r="L191" i="62" s="1"/>
  <c r="C65" i="62"/>
  <c r="C61" i="77"/>
  <c r="C65" i="77" s="1"/>
  <c r="V110" i="79" l="1"/>
  <c r="P112" i="79"/>
  <c r="V112" i="79" s="1"/>
  <c r="P112" i="78"/>
  <c r="V112" i="78" s="1"/>
  <c r="V110" i="78"/>
  <c r="O61" i="77"/>
  <c r="O65" i="77" s="1"/>
  <c r="O61" i="66"/>
  <c r="O65" i="66" s="1"/>
  <c r="H61" i="69"/>
  <c r="H65" i="69" s="1"/>
  <c r="H65" i="51"/>
  <c r="B195" i="62"/>
  <c r="C195" i="62" s="1"/>
  <c r="D195" i="62" s="1"/>
  <c r="E195" i="62" s="1"/>
  <c r="F195" i="62" s="1"/>
  <c r="G195" i="62" s="1"/>
  <c r="H195" i="62" s="1"/>
  <c r="I195" i="62" s="1"/>
  <c r="J195" i="62" s="1"/>
  <c r="K195" i="62" s="1"/>
  <c r="L195" i="62" s="1"/>
  <c r="L65" i="51"/>
  <c r="L61" i="69"/>
  <c r="L65" i="69" s="1"/>
  <c r="A65" i="77"/>
  <c r="G61" i="69"/>
  <c r="G65" i="69" s="1"/>
  <c r="G65" i="51"/>
  <c r="E65" i="51"/>
  <c r="E61" i="69"/>
  <c r="E65" i="69" s="1"/>
  <c r="K61" i="69"/>
  <c r="K65" i="69" s="1"/>
  <c r="O61" i="51"/>
  <c r="K65" i="51"/>
  <c r="A61" i="54"/>
  <c r="A65" i="51"/>
  <c r="N61" i="51"/>
  <c r="A61" i="69"/>
  <c r="A65" i="69" s="1"/>
  <c r="J61" i="69"/>
  <c r="J65" i="69" s="1"/>
  <c r="J65" i="51"/>
  <c r="K65" i="77"/>
  <c r="N61" i="66"/>
  <c r="P61" i="62"/>
  <c r="A65" i="56"/>
  <c r="F61" i="69"/>
  <c r="F65" i="69" s="1"/>
  <c r="A61" i="45"/>
  <c r="F65" i="51"/>
  <c r="D61" i="69"/>
  <c r="D65" i="69" s="1"/>
  <c r="D65" i="51"/>
  <c r="C61" i="69"/>
  <c r="C65" i="69" s="1"/>
  <c r="C65" i="51"/>
  <c r="B65" i="51"/>
  <c r="B61" i="69"/>
  <c r="B65" i="69" s="1"/>
  <c r="I61" i="69"/>
  <c r="I65" i="69" s="1"/>
  <c r="X61" i="51" l="1"/>
  <c r="Q61" i="77"/>
  <c r="X61" i="77" s="1"/>
  <c r="Q61" i="51"/>
  <c r="P61" i="77"/>
  <c r="A65" i="45"/>
  <c r="J61" i="45"/>
  <c r="H61" i="45"/>
  <c r="I61" i="45" s="1"/>
  <c r="O61" i="69"/>
  <c r="O65" i="51"/>
  <c r="P65" i="62"/>
  <c r="R61" i="62"/>
  <c r="V61" i="62"/>
  <c r="P61" i="51"/>
  <c r="M61" i="45"/>
  <c r="N65" i="51"/>
  <c r="M61" i="54"/>
  <c r="G7" i="75"/>
  <c r="N10" i="76"/>
  <c r="N13" i="76" s="1"/>
  <c r="G7" i="74"/>
  <c r="N65" i="66"/>
  <c r="P61" i="66"/>
  <c r="R61" i="66" s="1"/>
  <c r="H61" i="54"/>
  <c r="I61" i="54" s="1"/>
  <c r="A65" i="54"/>
  <c r="J61" i="54"/>
  <c r="Z61" i="51" l="1"/>
  <c r="U61" i="51"/>
  <c r="Q65" i="51"/>
  <c r="Q61" i="69"/>
  <c r="X65" i="51"/>
  <c r="Y61" i="77"/>
  <c r="Q65" i="77"/>
  <c r="X65" i="77" s="1"/>
  <c r="AC61" i="77"/>
  <c r="U61" i="77"/>
  <c r="Y61" i="51"/>
  <c r="N6" i="74"/>
  <c r="N10" i="74" s="1"/>
  <c r="G12" i="74"/>
  <c r="H7" i="74" s="1"/>
  <c r="G33" i="74"/>
  <c r="R65" i="62"/>
  <c r="V65" i="62"/>
  <c r="J65" i="45"/>
  <c r="H65" i="45"/>
  <c r="I65" i="45" s="1"/>
  <c r="P65" i="66"/>
  <c r="R65" i="66" s="1"/>
  <c r="G33" i="75"/>
  <c r="G12" i="75"/>
  <c r="H7" i="75" s="1"/>
  <c r="T61" i="54"/>
  <c r="U61" i="54" s="1"/>
  <c r="M65" i="54"/>
  <c r="V61" i="54"/>
  <c r="T61" i="45"/>
  <c r="U61" i="45" s="1"/>
  <c r="N61" i="69"/>
  <c r="N65" i="69" s="1"/>
  <c r="M65" i="45"/>
  <c r="V61" i="45"/>
  <c r="P61" i="69"/>
  <c r="P65" i="51"/>
  <c r="R61" i="51"/>
  <c r="R65" i="51" s="1"/>
  <c r="V61" i="51"/>
  <c r="P65" i="77"/>
  <c r="R61" i="77"/>
  <c r="R65" i="77" s="1"/>
  <c r="V61" i="77"/>
  <c r="J65" i="54"/>
  <c r="H65" i="54"/>
  <c r="I65" i="54" s="1"/>
  <c r="Y65" i="77" l="1"/>
  <c r="Y65" i="51"/>
  <c r="U65" i="51"/>
  <c r="V65" i="51" s="1"/>
  <c r="U65" i="77"/>
  <c r="V65" i="77" s="1"/>
  <c r="AC65" i="77"/>
  <c r="Z65" i="51"/>
  <c r="AA61" i="51"/>
  <c r="H5" i="75"/>
  <c r="H4" i="75"/>
  <c r="H8" i="75"/>
  <c r="H9" i="75"/>
  <c r="H6" i="75"/>
  <c r="H11" i="75"/>
  <c r="H10" i="75"/>
  <c r="N5" i="75"/>
  <c r="G38" i="74"/>
  <c r="H33" i="74" s="1"/>
  <c r="V65" i="45"/>
  <c r="T65" i="45"/>
  <c r="U65" i="45" s="1"/>
  <c r="H11" i="74"/>
  <c r="H6" i="74"/>
  <c r="H9" i="74"/>
  <c r="H8" i="74"/>
  <c r="H10" i="74"/>
  <c r="H4" i="74"/>
  <c r="H5" i="74"/>
  <c r="V65" i="54"/>
  <c r="T65" i="54"/>
  <c r="U65" i="54" s="1"/>
  <c r="AA65" i="51" l="1"/>
  <c r="AB61" i="51"/>
  <c r="AB65" i="51" s="1"/>
  <c r="T6" i="75"/>
  <c r="H12" i="75"/>
  <c r="H12" i="74"/>
  <c r="H37" i="74"/>
  <c r="H36" i="74"/>
  <c r="H34" i="74"/>
  <c r="H35" i="74"/>
  <c r="H31" i="74"/>
  <c r="H30" i="74"/>
  <c r="H32" i="74"/>
  <c r="H38" i="74" l="1"/>
  <c r="AA98" i="77" l="1"/>
  <c r="AA100" i="77"/>
  <c r="Q98" i="51"/>
  <c r="U98" i="51" s="1"/>
  <c r="Q96" i="51"/>
  <c r="U96" i="51" s="1"/>
  <c r="Q95" i="51"/>
  <c r="U95" i="51" s="1"/>
  <c r="Q99" i="51"/>
  <c r="Z99" i="51" s="1"/>
  <c r="AA99" i="51" s="1"/>
  <c r="AB99" i="51" s="1"/>
  <c r="Q97" i="51"/>
  <c r="U97" i="51" s="1"/>
  <c r="H98" i="51"/>
  <c r="H98" i="77"/>
  <c r="C99" i="66"/>
  <c r="C99" i="51"/>
  <c r="C99" i="69" s="1"/>
  <c r="C99" i="77"/>
  <c r="J99" i="51"/>
  <c r="J99" i="77"/>
  <c r="I99" i="51"/>
  <c r="I99" i="77"/>
  <c r="H99" i="66"/>
  <c r="H99" i="51"/>
  <c r="H99" i="77"/>
  <c r="G99" i="66"/>
  <c r="F99" i="66"/>
  <c r="F99" i="77"/>
  <c r="L97" i="51"/>
  <c r="L97" i="66"/>
  <c r="L97" i="77"/>
  <c r="B99" i="66"/>
  <c r="B99" i="51"/>
  <c r="B99" i="77"/>
  <c r="L98" i="51"/>
  <c r="K98" i="66"/>
  <c r="J98" i="51"/>
  <c r="J98" i="77"/>
  <c r="K98" i="51"/>
  <c r="K98" i="77"/>
  <c r="I96" i="51"/>
  <c r="I96" i="77"/>
  <c r="D97" i="51"/>
  <c r="D97" i="66"/>
  <c r="K97" i="51"/>
  <c r="K97" i="66"/>
  <c r="F98" i="66"/>
  <c r="F98" i="51"/>
  <c r="F98" i="77"/>
  <c r="E98" i="51"/>
  <c r="D98" i="51"/>
  <c r="D98" i="66"/>
  <c r="D98" i="77"/>
  <c r="C98" i="51"/>
  <c r="B98" i="66"/>
  <c r="B98" i="77"/>
  <c r="K96" i="77"/>
  <c r="H96" i="66"/>
  <c r="C97" i="66"/>
  <c r="C97" i="51"/>
  <c r="C97" i="77"/>
  <c r="J97" i="66"/>
  <c r="O97" i="66" s="1"/>
  <c r="J97" i="77"/>
  <c r="I97" i="66"/>
  <c r="H97" i="51"/>
  <c r="H97" i="66"/>
  <c r="H97" i="77"/>
  <c r="G97" i="66"/>
  <c r="F97" i="66"/>
  <c r="F97" i="51"/>
  <c r="F97" i="77"/>
  <c r="J95" i="66"/>
  <c r="C100" i="66"/>
  <c r="C100" i="51"/>
  <c r="C100" i="77"/>
  <c r="G96" i="51"/>
  <c r="G96" i="66"/>
  <c r="G96" i="77"/>
  <c r="B97" i="66"/>
  <c r="B97" i="51"/>
  <c r="B97" i="77"/>
  <c r="L96" i="51"/>
  <c r="K96" i="51"/>
  <c r="K96" i="66"/>
  <c r="E97" i="66"/>
  <c r="E97" i="51"/>
  <c r="E97" i="77"/>
  <c r="C95" i="66"/>
  <c r="C95" i="51"/>
  <c r="C95" i="77"/>
  <c r="J95" i="51"/>
  <c r="J95" i="77"/>
  <c r="F96" i="51"/>
  <c r="F96" i="77"/>
  <c r="E96" i="66"/>
  <c r="E96" i="51"/>
  <c r="E96" i="69" s="1"/>
  <c r="E96" i="77"/>
  <c r="D96" i="51"/>
  <c r="D96" i="77"/>
  <c r="C96" i="66"/>
  <c r="C96" i="51"/>
  <c r="C96" i="77"/>
  <c r="B96" i="51"/>
  <c r="K95" i="66"/>
  <c r="K95" i="77"/>
  <c r="E99" i="51"/>
  <c r="E99" i="66"/>
  <c r="L99" i="66"/>
  <c r="L99" i="77"/>
  <c r="I95" i="66"/>
  <c r="I95" i="51"/>
  <c r="I95" i="77"/>
  <c r="L95" i="51"/>
  <c r="L95" i="66"/>
  <c r="L95" i="77"/>
  <c r="D99" i="66"/>
  <c r="D99" i="51"/>
  <c r="D99" i="69" s="1"/>
  <c r="D99" i="77"/>
  <c r="K99" i="51"/>
  <c r="G95" i="66"/>
  <c r="G95" i="51"/>
  <c r="G95" i="77"/>
  <c r="F95" i="66"/>
  <c r="E95" i="66"/>
  <c r="E95" i="51"/>
  <c r="E95" i="77"/>
  <c r="D95" i="51"/>
  <c r="D95" i="77"/>
  <c r="X99" i="51"/>
  <c r="X99" i="57"/>
  <c r="X97" i="51"/>
  <c r="X97" i="57"/>
  <c r="F100" i="66"/>
  <c r="G100" i="77"/>
  <c r="X98" i="51"/>
  <c r="X98" i="57"/>
  <c r="I100" i="66"/>
  <c r="I100" i="51"/>
  <c r="I100" i="77"/>
  <c r="X95" i="57"/>
  <c r="X95" i="51"/>
  <c r="Y95" i="51" s="1"/>
  <c r="B100" i="66"/>
  <c r="K100" i="77"/>
  <c r="K100" i="66"/>
  <c r="D100" i="77"/>
  <c r="L100" i="51"/>
  <c r="L100" i="66"/>
  <c r="L100" i="77"/>
  <c r="X94" i="57"/>
  <c r="X96" i="57"/>
  <c r="X96" i="51"/>
  <c r="Y96" i="51" s="1"/>
  <c r="E100" i="51"/>
  <c r="E100" i="77"/>
  <c r="Q95" i="77"/>
  <c r="Q96" i="77"/>
  <c r="A97" i="56"/>
  <c r="Q97" i="77"/>
  <c r="Q98" i="77"/>
  <c r="A98" i="56"/>
  <c r="O98" i="57"/>
  <c r="P98" i="57" s="1"/>
  <c r="O96" i="57"/>
  <c r="P96" i="57" s="1"/>
  <c r="A96" i="56"/>
  <c r="Q99" i="77"/>
  <c r="O95" i="57"/>
  <c r="P95" i="57" s="1"/>
  <c r="A95" i="56"/>
  <c r="A99" i="56"/>
  <c r="D98" i="69" l="1"/>
  <c r="H99" i="69"/>
  <c r="J95" i="69"/>
  <c r="D97" i="69"/>
  <c r="Y98" i="51"/>
  <c r="Y99" i="51"/>
  <c r="U98" i="77"/>
  <c r="X98" i="77"/>
  <c r="E97" i="69"/>
  <c r="U99" i="77"/>
  <c r="X99" i="77"/>
  <c r="Y97" i="51"/>
  <c r="U97" i="77"/>
  <c r="X97" i="77"/>
  <c r="U95" i="77"/>
  <c r="X95" i="77"/>
  <c r="Y95" i="77" s="1"/>
  <c r="L100" i="69"/>
  <c r="U96" i="77"/>
  <c r="X96" i="77"/>
  <c r="Y96" i="77" s="1"/>
  <c r="I100" i="69"/>
  <c r="L95" i="69"/>
  <c r="I95" i="69"/>
  <c r="B99" i="69"/>
  <c r="G95" i="69"/>
  <c r="C100" i="69"/>
  <c r="H97" i="69"/>
  <c r="B97" i="69"/>
  <c r="C97" i="69"/>
  <c r="AC96" i="77"/>
  <c r="AC97" i="77"/>
  <c r="Z97" i="51"/>
  <c r="AA97" i="51" s="1"/>
  <c r="AB97" i="51" s="1"/>
  <c r="R96" i="57"/>
  <c r="V96" i="57"/>
  <c r="V98" i="57"/>
  <c r="R98" i="57"/>
  <c r="R95" i="57"/>
  <c r="V95" i="57"/>
  <c r="A100" i="51"/>
  <c r="A100" i="77"/>
  <c r="A100" i="66"/>
  <c r="G100" i="51"/>
  <c r="G100" i="66"/>
  <c r="Y99" i="77"/>
  <c r="B95" i="51"/>
  <c r="B95" i="66"/>
  <c r="B95" i="77"/>
  <c r="O95" i="66"/>
  <c r="A99" i="66"/>
  <c r="N99" i="66" s="1"/>
  <c r="A99" i="51"/>
  <c r="A99" i="77"/>
  <c r="A100" i="56"/>
  <c r="D100" i="66"/>
  <c r="I98" i="51"/>
  <c r="I98" i="66"/>
  <c r="I98" i="77"/>
  <c r="AC95" i="77"/>
  <c r="E100" i="66"/>
  <c r="E100" i="69" s="1"/>
  <c r="D100" i="51"/>
  <c r="K99" i="77"/>
  <c r="C96" i="69"/>
  <c r="A96" i="45"/>
  <c r="A97" i="45"/>
  <c r="F97" i="69"/>
  <c r="F98" i="69"/>
  <c r="A98" i="45"/>
  <c r="O99" i="57"/>
  <c r="P99" i="57" s="1"/>
  <c r="J100" i="77"/>
  <c r="J100" i="51"/>
  <c r="J100" i="66"/>
  <c r="O100" i="66" s="1"/>
  <c r="H100" i="51"/>
  <c r="H100" i="66"/>
  <c r="H100" i="77"/>
  <c r="H95" i="66"/>
  <c r="H95" i="51"/>
  <c r="H95" i="77"/>
  <c r="J96" i="66"/>
  <c r="J96" i="77"/>
  <c r="J96" i="51"/>
  <c r="K98" i="69"/>
  <c r="O98" i="51"/>
  <c r="A98" i="66"/>
  <c r="A98" i="77"/>
  <c r="A98" i="51"/>
  <c r="AC99" i="77"/>
  <c r="A97" i="66"/>
  <c r="N97" i="66" s="1"/>
  <c r="P97" i="66" s="1"/>
  <c r="R97" i="66" s="1"/>
  <c r="A97" i="77"/>
  <c r="O97" i="57"/>
  <c r="P97" i="57" s="1"/>
  <c r="A97" i="51"/>
  <c r="B100" i="77"/>
  <c r="B100" i="51"/>
  <c r="B100" i="69" s="1"/>
  <c r="F100" i="51"/>
  <c r="F100" i="77"/>
  <c r="E95" i="69"/>
  <c r="K99" i="66"/>
  <c r="K99" i="69" s="1"/>
  <c r="E99" i="69"/>
  <c r="G96" i="69"/>
  <c r="A96" i="51"/>
  <c r="A96" i="66"/>
  <c r="A96" i="77"/>
  <c r="O94" i="57"/>
  <c r="P94" i="57" s="1"/>
  <c r="G98" i="66"/>
  <c r="G98" i="77"/>
  <c r="O96" i="51"/>
  <c r="K96" i="69"/>
  <c r="O97" i="51"/>
  <c r="O97" i="69" s="1"/>
  <c r="K97" i="69"/>
  <c r="L97" i="69"/>
  <c r="A95" i="66"/>
  <c r="A95" i="77"/>
  <c r="A95" i="51"/>
  <c r="O100" i="57"/>
  <c r="P100" i="57" s="1"/>
  <c r="AC98" i="77"/>
  <c r="Y98" i="77"/>
  <c r="Y97" i="77"/>
  <c r="F95" i="77"/>
  <c r="F95" i="51"/>
  <c r="G98" i="51"/>
  <c r="G98" i="69" s="1"/>
  <c r="C95" i="69"/>
  <c r="D95" i="66"/>
  <c r="D95" i="69" s="1"/>
  <c r="E99" i="77"/>
  <c r="B96" i="77"/>
  <c r="D96" i="66"/>
  <c r="D96" i="69" s="1"/>
  <c r="F96" i="66"/>
  <c r="F96" i="69" s="1"/>
  <c r="L96" i="77"/>
  <c r="H96" i="77"/>
  <c r="C98" i="77"/>
  <c r="E98" i="77"/>
  <c r="D97" i="77"/>
  <c r="L98" i="77"/>
  <c r="K97" i="77"/>
  <c r="G99" i="77"/>
  <c r="I99" i="66"/>
  <c r="I99" i="69" s="1"/>
  <c r="H98" i="66"/>
  <c r="H98" i="69" s="1"/>
  <c r="Q99" i="69"/>
  <c r="Z96" i="51"/>
  <c r="AA96" i="51" s="1"/>
  <c r="AB96" i="51" s="1"/>
  <c r="Z98" i="51"/>
  <c r="AA98" i="51" s="1"/>
  <c r="AB98" i="51" s="1"/>
  <c r="J99" i="66"/>
  <c r="K95" i="51"/>
  <c r="J98" i="66"/>
  <c r="U99" i="51"/>
  <c r="H96" i="51"/>
  <c r="H96" i="69" s="1"/>
  <c r="G97" i="51"/>
  <c r="G97" i="69" s="1"/>
  <c r="G99" i="51"/>
  <c r="G99" i="69" s="1"/>
  <c r="K100" i="51"/>
  <c r="B96" i="66"/>
  <c r="B96" i="69" s="1"/>
  <c r="L96" i="66"/>
  <c r="C98" i="66"/>
  <c r="C98" i="69" s="1"/>
  <c r="E98" i="66"/>
  <c r="E98" i="69" s="1"/>
  <c r="L98" i="66"/>
  <c r="L98" i="69" s="1"/>
  <c r="Z95" i="51"/>
  <c r="AA95" i="51" s="1"/>
  <c r="AB95" i="51" s="1"/>
  <c r="Q96" i="69"/>
  <c r="Q98" i="69"/>
  <c r="I97" i="51"/>
  <c r="I97" i="69" s="1"/>
  <c r="G97" i="77"/>
  <c r="I97" i="77"/>
  <c r="Q95" i="69"/>
  <c r="Q97" i="69"/>
  <c r="B98" i="51"/>
  <c r="B98" i="69" s="1"/>
  <c r="J97" i="51"/>
  <c r="J97" i="69" s="1"/>
  <c r="L99" i="51"/>
  <c r="L99" i="69" s="1"/>
  <c r="F99" i="51"/>
  <c r="I96" i="66"/>
  <c r="I96" i="69" s="1"/>
  <c r="O99" i="66" l="1"/>
  <c r="H95" i="69"/>
  <c r="O99" i="77"/>
  <c r="X100" i="51"/>
  <c r="Q100" i="51"/>
  <c r="Q100" i="77"/>
  <c r="X100" i="77" s="1"/>
  <c r="X100" i="57"/>
  <c r="G100" i="69"/>
  <c r="O100" i="77"/>
  <c r="P100" i="77" s="1"/>
  <c r="I98" i="69"/>
  <c r="J96" i="69"/>
  <c r="B95" i="69"/>
  <c r="O95" i="77"/>
  <c r="P95" i="77" s="1"/>
  <c r="D100" i="69"/>
  <c r="J100" i="69"/>
  <c r="O97" i="77"/>
  <c r="P97" i="77" s="1"/>
  <c r="O96" i="77"/>
  <c r="P96" i="77" s="1"/>
  <c r="O98" i="77"/>
  <c r="P98" i="77" s="1"/>
  <c r="R99" i="57"/>
  <c r="V99" i="57"/>
  <c r="J97" i="45"/>
  <c r="H97" i="45"/>
  <c r="I97" i="45" s="1"/>
  <c r="A99" i="45"/>
  <c r="F99" i="69"/>
  <c r="O98" i="66"/>
  <c r="O98" i="69" s="1"/>
  <c r="R100" i="57"/>
  <c r="V100" i="57"/>
  <c r="H100" i="69"/>
  <c r="N100" i="51"/>
  <c r="A100" i="69"/>
  <c r="A100" i="54"/>
  <c r="K95" i="69"/>
  <c r="O95" i="51"/>
  <c r="O95" i="69" s="1"/>
  <c r="N96" i="66"/>
  <c r="A98" i="54"/>
  <c r="N98" i="51"/>
  <c r="A98" i="69"/>
  <c r="H96" i="45"/>
  <c r="I96" i="45" s="1"/>
  <c r="J96" i="45"/>
  <c r="L96" i="69"/>
  <c r="A96" i="69"/>
  <c r="A96" i="54"/>
  <c r="N96" i="51"/>
  <c r="N97" i="51"/>
  <c r="A97" i="54"/>
  <c r="A97" i="69"/>
  <c r="O96" i="66"/>
  <c r="O96" i="69" s="1"/>
  <c r="P99" i="77"/>
  <c r="A95" i="69"/>
  <c r="N95" i="51"/>
  <c r="A95" i="54"/>
  <c r="R97" i="57"/>
  <c r="V97" i="57"/>
  <c r="N98" i="66"/>
  <c r="N99" i="51"/>
  <c r="A99" i="54"/>
  <c r="A99" i="69"/>
  <c r="O100" i="51"/>
  <c r="O100" i="69" s="1"/>
  <c r="K100" i="69"/>
  <c r="J98" i="69"/>
  <c r="O99" i="51"/>
  <c r="O99" i="69" s="1"/>
  <c r="J98" i="45"/>
  <c r="H98" i="45"/>
  <c r="I98" i="45" s="1"/>
  <c r="P99" i="66"/>
  <c r="R99" i="66" s="1"/>
  <c r="A95" i="45"/>
  <c r="F95" i="69"/>
  <c r="N95" i="66"/>
  <c r="P95" i="66" s="1"/>
  <c r="R95" i="66" s="1"/>
  <c r="J99" i="69"/>
  <c r="V94" i="57"/>
  <c r="R94" i="57"/>
  <c r="F100" i="69"/>
  <c r="A100" i="45"/>
  <c r="N100" i="66"/>
  <c r="P100" i="66" s="1"/>
  <c r="R100" i="66" s="1"/>
  <c r="P98" i="66" l="1"/>
  <c r="R98" i="66" s="1"/>
  <c r="U100" i="77"/>
  <c r="V100" i="77" s="1"/>
  <c r="AC100" i="77"/>
  <c r="U100" i="51"/>
  <c r="Z100" i="51"/>
  <c r="AA100" i="51" s="1"/>
  <c r="AB100" i="51" s="1"/>
  <c r="Q100" i="69"/>
  <c r="Y100" i="77"/>
  <c r="Y100" i="51"/>
  <c r="R95" i="77"/>
  <c r="V95" i="77"/>
  <c r="P96" i="66"/>
  <c r="R96" i="66" s="1"/>
  <c r="H95" i="45"/>
  <c r="I95" i="45" s="1"/>
  <c r="J95" i="45"/>
  <c r="R97" i="77"/>
  <c r="V97" i="77"/>
  <c r="V98" i="77"/>
  <c r="R98" i="77"/>
  <c r="M98" i="45"/>
  <c r="M98" i="54"/>
  <c r="P98" i="51"/>
  <c r="H98" i="54"/>
  <c r="I98" i="54" s="1"/>
  <c r="J98" i="54"/>
  <c r="V96" i="77"/>
  <c r="R96" i="77"/>
  <c r="H95" i="54"/>
  <c r="I95" i="54" s="1"/>
  <c r="J95" i="54"/>
  <c r="M95" i="45"/>
  <c r="M95" i="54"/>
  <c r="P95" i="51"/>
  <c r="H97" i="54"/>
  <c r="I97" i="54" s="1"/>
  <c r="J97" i="54"/>
  <c r="J100" i="54"/>
  <c r="H100" i="54"/>
  <c r="I100" i="54" s="1"/>
  <c r="M97" i="54"/>
  <c r="M97" i="45"/>
  <c r="P97" i="51"/>
  <c r="H99" i="45"/>
  <c r="I99" i="45" s="1"/>
  <c r="J99" i="45"/>
  <c r="J100" i="45"/>
  <c r="H100" i="45"/>
  <c r="I100" i="45" s="1"/>
  <c r="H99" i="54"/>
  <c r="I99" i="54" s="1"/>
  <c r="J99" i="54"/>
  <c r="P96" i="51"/>
  <c r="M96" i="54"/>
  <c r="M96" i="45"/>
  <c r="M100" i="54"/>
  <c r="M100" i="45"/>
  <c r="P100" i="51"/>
  <c r="R100" i="77"/>
  <c r="P99" i="51"/>
  <c r="M99" i="45"/>
  <c r="M99" i="54"/>
  <c r="H96" i="54"/>
  <c r="I96" i="54" s="1"/>
  <c r="J96" i="54"/>
  <c r="R99" i="77"/>
  <c r="V99" i="77"/>
  <c r="V95" i="54" l="1"/>
  <c r="T95" i="54"/>
  <c r="U95" i="54" s="1"/>
  <c r="P98" i="69"/>
  <c r="V98" i="51"/>
  <c r="R98" i="51"/>
  <c r="P100" i="69"/>
  <c r="R100" i="51"/>
  <c r="V100" i="51"/>
  <c r="T95" i="45"/>
  <c r="U95" i="45" s="1"/>
  <c r="V95" i="45"/>
  <c r="N95" i="69"/>
  <c r="T98" i="54"/>
  <c r="U98" i="54" s="1"/>
  <c r="V98" i="54"/>
  <c r="T98" i="45"/>
  <c r="U98" i="45" s="1"/>
  <c r="N98" i="69"/>
  <c r="V98" i="45"/>
  <c r="T99" i="45"/>
  <c r="U99" i="45" s="1"/>
  <c r="N99" i="69"/>
  <c r="V99" i="45"/>
  <c r="T100" i="45"/>
  <c r="U100" i="45" s="1"/>
  <c r="N100" i="69"/>
  <c r="V100" i="45"/>
  <c r="P99" i="69"/>
  <c r="R99" i="51"/>
  <c r="V99" i="51"/>
  <c r="T100" i="54"/>
  <c r="U100" i="54" s="1"/>
  <c r="V100" i="54"/>
  <c r="N96" i="69"/>
  <c r="T96" i="45"/>
  <c r="U96" i="45" s="1"/>
  <c r="V96" i="45"/>
  <c r="R97" i="51"/>
  <c r="P97" i="69"/>
  <c r="V97" i="51"/>
  <c r="T96" i="54"/>
  <c r="U96" i="54" s="1"/>
  <c r="V96" i="54"/>
  <c r="V97" i="45"/>
  <c r="T97" i="45"/>
  <c r="U97" i="45" s="1"/>
  <c r="N97" i="69"/>
  <c r="T99" i="54"/>
  <c r="U99" i="54" s="1"/>
  <c r="V99" i="54"/>
  <c r="P96" i="69"/>
  <c r="V96" i="51"/>
  <c r="R96" i="51"/>
  <c r="T97" i="54"/>
  <c r="U97" i="54" s="1"/>
  <c r="V97" i="54"/>
  <c r="P95" i="69"/>
  <c r="R95" i="51"/>
  <c r="V95" i="51"/>
  <c r="E102" i="57"/>
  <c r="E110" i="57" s="1"/>
  <c r="E112" i="57" s="1"/>
  <c r="E129" i="57" s="1"/>
  <c r="Q93" i="77"/>
  <c r="D93" i="51"/>
  <c r="J93" i="66"/>
  <c r="I93" i="66"/>
  <c r="K93" i="51"/>
  <c r="K93" i="66"/>
  <c r="Q93" i="51"/>
  <c r="U93" i="51" s="1"/>
  <c r="D93" i="77"/>
  <c r="D102" i="57"/>
  <c r="D110" i="57" s="1"/>
  <c r="D112" i="57" s="1"/>
  <c r="D129" i="57" s="1"/>
  <c r="D93" i="66"/>
  <c r="L93" i="66"/>
  <c r="L93" i="77"/>
  <c r="B93" i="77"/>
  <c r="B93" i="51"/>
  <c r="B102" i="57"/>
  <c r="B110" i="57" s="1"/>
  <c r="B112" i="57" s="1"/>
  <c r="B129" i="57" s="1"/>
  <c r="C93" i="51"/>
  <c r="G93" i="51"/>
  <c r="F93" i="77"/>
  <c r="A93" i="56"/>
  <c r="X93" i="51"/>
  <c r="X93" i="57"/>
  <c r="O93" i="57"/>
  <c r="U93" i="77" l="1"/>
  <c r="X93" i="77"/>
  <c r="Y93" i="77" s="1"/>
  <c r="Y93" i="51"/>
  <c r="X110" i="57"/>
  <c r="AC93" i="77"/>
  <c r="O102" i="57"/>
  <c r="O110" i="57" s="1"/>
  <c r="O112" i="57" s="1"/>
  <c r="O129" i="57" s="1"/>
  <c r="O5" i="76" s="1"/>
  <c r="P93" i="57"/>
  <c r="C93" i="66"/>
  <c r="C102" i="57"/>
  <c r="C110" i="57" s="1"/>
  <c r="C112" i="57" s="1"/>
  <c r="C129" i="57" s="1"/>
  <c r="I102" i="57"/>
  <c r="I110" i="57" s="1"/>
  <c r="I112" i="57" s="1"/>
  <c r="I129" i="57" s="1"/>
  <c r="I93" i="51"/>
  <c r="I93" i="77"/>
  <c r="F102" i="57"/>
  <c r="F110" i="57" s="1"/>
  <c r="F112" i="57" s="1"/>
  <c r="F129" i="57" s="1"/>
  <c r="G93" i="77"/>
  <c r="X102" i="57"/>
  <c r="L93" i="51"/>
  <c r="A102" i="57"/>
  <c r="A93" i="66"/>
  <c r="A93" i="51"/>
  <c r="G102" i="57"/>
  <c r="G110" i="57" s="1"/>
  <c r="G112" i="57" s="1"/>
  <c r="G129" i="57" s="1"/>
  <c r="D93" i="69"/>
  <c r="O93" i="66"/>
  <c r="C93" i="77"/>
  <c r="K93" i="69"/>
  <c r="B93" i="66"/>
  <c r="A93" i="77"/>
  <c r="F93" i="51"/>
  <c r="F93" i="66"/>
  <c r="L102" i="57"/>
  <c r="L110" i="57" s="1"/>
  <c r="L112" i="57" s="1"/>
  <c r="L129" i="57" s="1"/>
  <c r="E93" i="66"/>
  <c r="E93" i="51"/>
  <c r="E93" i="77"/>
  <c r="G93" i="66"/>
  <c r="H93" i="77"/>
  <c r="H102" i="57"/>
  <c r="H110" i="57" s="1"/>
  <c r="H112" i="57" s="1"/>
  <c r="H129" i="57" s="1"/>
  <c r="H93" i="51"/>
  <c r="H93" i="66"/>
  <c r="J93" i="51"/>
  <c r="Z93" i="51"/>
  <c r="Q93" i="69"/>
  <c r="K102" i="57"/>
  <c r="K110" i="57" s="1"/>
  <c r="K112" i="57" s="1"/>
  <c r="K129" i="57" s="1"/>
  <c r="J102" i="57"/>
  <c r="J110" i="57" s="1"/>
  <c r="J112" i="57" s="1"/>
  <c r="J129" i="57" s="1"/>
  <c r="K93" i="77"/>
  <c r="J93" i="77"/>
  <c r="X110" i="79" l="1"/>
  <c r="Y110" i="79" s="1"/>
  <c r="X112" i="57"/>
  <c r="O93" i="77"/>
  <c r="AA93" i="51"/>
  <c r="J93" i="69"/>
  <c r="G93" i="69"/>
  <c r="F93" i="69"/>
  <c r="A93" i="45"/>
  <c r="B93" i="69"/>
  <c r="A110" i="57"/>
  <c r="I93" i="69"/>
  <c r="L93" i="69"/>
  <c r="H93" i="69"/>
  <c r="E93" i="69"/>
  <c r="O93" i="51"/>
  <c r="P102" i="57"/>
  <c r="R93" i="57"/>
  <c r="R102" i="57" s="1"/>
  <c r="R110" i="57" s="1"/>
  <c r="R112" i="57" s="1"/>
  <c r="R129" i="57" s="1"/>
  <c r="R5" i="76" s="1"/>
  <c r="V93" i="57"/>
  <c r="A93" i="69"/>
  <c r="A93" i="54"/>
  <c r="N93" i="51"/>
  <c r="N93" i="66"/>
  <c r="C93" i="69"/>
  <c r="E5" i="75" l="1"/>
  <c r="E5" i="74"/>
  <c r="H93" i="54"/>
  <c r="I93" i="54" s="1"/>
  <c r="J93" i="54"/>
  <c r="P93" i="66"/>
  <c r="R93" i="66" s="1"/>
  <c r="O93" i="69"/>
  <c r="H93" i="45"/>
  <c r="I93" i="45" s="1"/>
  <c r="J93" i="45"/>
  <c r="P93" i="51"/>
  <c r="M93" i="45"/>
  <c r="M93" i="54"/>
  <c r="A112" i="57"/>
  <c r="P110" i="57"/>
  <c r="V102" i="57"/>
  <c r="N172" i="77"/>
  <c r="P93" i="77"/>
  <c r="AB93" i="51"/>
  <c r="I5" i="74" l="1"/>
  <c r="M4" i="74"/>
  <c r="E31" i="74"/>
  <c r="I31" i="74" s="1"/>
  <c r="X129" i="57"/>
  <c r="Q5" i="76"/>
  <c r="I5" i="75"/>
  <c r="E31" i="75"/>
  <c r="V110" i="57"/>
  <c r="P112" i="57"/>
  <c r="V93" i="54"/>
  <c r="T93" i="54"/>
  <c r="U93" i="54" s="1"/>
  <c r="A129" i="57"/>
  <c r="V93" i="45"/>
  <c r="T93" i="45"/>
  <c r="U93" i="45" s="1"/>
  <c r="N93" i="69"/>
  <c r="P93" i="69"/>
  <c r="R93" i="51"/>
  <c r="V93" i="51"/>
  <c r="R93" i="77"/>
  <c r="V93" i="77"/>
  <c r="M4" i="75" l="1"/>
  <c r="S8" i="75" s="1"/>
  <c r="M6" i="75"/>
  <c r="S7" i="75" s="1"/>
  <c r="M9" i="75"/>
  <c r="S5" i="75" s="1"/>
  <c r="M8" i="75"/>
  <c r="S4" i="75" s="1"/>
  <c r="M7" i="75"/>
  <c r="S9" i="75" s="1"/>
  <c r="I31" i="75"/>
  <c r="P129" i="57"/>
  <c r="V112" i="57"/>
  <c r="P5" i="76" l="1"/>
  <c r="V129" i="57"/>
  <c r="V5" i="76" s="1"/>
  <c r="K102" i="62"/>
  <c r="K110" i="62" s="1"/>
  <c r="K112" i="62" s="1"/>
  <c r="K129" i="62" s="1"/>
  <c r="F102" i="62"/>
  <c r="F110" i="62" s="1"/>
  <c r="F112" i="62" s="1"/>
  <c r="F129" i="62" s="1"/>
  <c r="D102" i="62"/>
  <c r="D110" i="62" s="1"/>
  <c r="D112" i="62" s="1"/>
  <c r="D129" i="62" s="1"/>
  <c r="L102" i="62"/>
  <c r="L110" i="62" s="1"/>
  <c r="L112" i="62" s="1"/>
  <c r="L129" i="62" s="1"/>
  <c r="E102" i="62"/>
  <c r="E110" i="62" s="1"/>
  <c r="E112" i="62" s="1"/>
  <c r="E129" i="62" s="1"/>
  <c r="I102" i="62"/>
  <c r="I110" i="62" s="1"/>
  <c r="I112" i="62" s="1"/>
  <c r="I129" i="62" s="1"/>
  <c r="J102" i="62"/>
  <c r="J110" i="62" s="1"/>
  <c r="J112" i="62" s="1"/>
  <c r="J129" i="62" s="1"/>
  <c r="G102" i="62"/>
  <c r="G110" i="62" s="1"/>
  <c r="G112" i="62" s="1"/>
  <c r="G129" i="62" s="1"/>
  <c r="B102" i="62"/>
  <c r="A94" i="56"/>
  <c r="B232" i="62" l="1"/>
  <c r="B110" i="62"/>
  <c r="O94" i="62"/>
  <c r="B224" i="62"/>
  <c r="C224" i="62" s="1"/>
  <c r="D224" i="62" s="1"/>
  <c r="E224" i="62" s="1"/>
  <c r="F224" i="62" s="1"/>
  <c r="G224" i="62" s="1"/>
  <c r="H224" i="62" s="1"/>
  <c r="I224" i="62" s="1"/>
  <c r="J224" i="62" s="1"/>
  <c r="K224" i="62" s="1"/>
  <c r="L224" i="62" s="1"/>
  <c r="J94" i="77"/>
  <c r="J102" i="77" s="1"/>
  <c r="J110" i="77" s="1"/>
  <c r="J112" i="77" s="1"/>
  <c r="J94" i="66"/>
  <c r="J94" i="51"/>
  <c r="A102" i="62"/>
  <c r="A94" i="77"/>
  <c r="A94" i="51"/>
  <c r="A94" i="66"/>
  <c r="L94" i="51"/>
  <c r="L94" i="66"/>
  <c r="L102" i="66" s="1"/>
  <c r="L110" i="66" s="1"/>
  <c r="L112" i="66" s="1"/>
  <c r="L94" i="77"/>
  <c r="L102" i="77" s="1"/>
  <c r="L110" i="77" s="1"/>
  <c r="L112" i="77" s="1"/>
  <c r="F94" i="77"/>
  <c r="F102" i="77" s="1"/>
  <c r="F110" i="77" s="1"/>
  <c r="F112" i="77" s="1"/>
  <c r="F94" i="66"/>
  <c r="F102" i="66" s="1"/>
  <c r="F110" i="66" s="1"/>
  <c r="F112" i="66" s="1"/>
  <c r="F94" i="51"/>
  <c r="C102" i="62"/>
  <c r="C110" i="62" s="1"/>
  <c r="C112" i="62" s="1"/>
  <c r="C129" i="62" s="1"/>
  <c r="C94" i="51"/>
  <c r="C94" i="66"/>
  <c r="C102" i="66" s="1"/>
  <c r="C110" i="66" s="1"/>
  <c r="C112" i="66" s="1"/>
  <c r="C94" i="77"/>
  <c r="C102" i="77" s="1"/>
  <c r="C110" i="77" s="1"/>
  <c r="C112" i="77" s="1"/>
  <c r="E94" i="77"/>
  <c r="E102" i="77" s="1"/>
  <c r="E110" i="77" s="1"/>
  <c r="E112" i="77" s="1"/>
  <c r="E94" i="66"/>
  <c r="E102" i="66" s="1"/>
  <c r="E110" i="66" s="1"/>
  <c r="E112" i="66" s="1"/>
  <c r="E94" i="51"/>
  <c r="B94" i="77"/>
  <c r="B102" i="77" s="1"/>
  <c r="B110" i="77" s="1"/>
  <c r="B112" i="77" s="1"/>
  <c r="B94" i="66"/>
  <c r="B102" i="66" s="1"/>
  <c r="B110" i="66" s="1"/>
  <c r="B112" i="66" s="1"/>
  <c r="B94" i="51"/>
  <c r="G94" i="77"/>
  <c r="G102" i="77" s="1"/>
  <c r="G110" i="77" s="1"/>
  <c r="G112" i="77" s="1"/>
  <c r="G94" i="51"/>
  <c r="G94" i="66"/>
  <c r="G102" i="66" s="1"/>
  <c r="G110" i="66" s="1"/>
  <c r="G112" i="66" s="1"/>
  <c r="D94" i="66"/>
  <c r="D102" i="66" s="1"/>
  <c r="D110" i="66" s="1"/>
  <c r="D112" i="66" s="1"/>
  <c r="D94" i="51"/>
  <c r="D94" i="77"/>
  <c r="D102" i="77" s="1"/>
  <c r="D110" i="77" s="1"/>
  <c r="D112" i="77" s="1"/>
  <c r="K94" i="77"/>
  <c r="K102" i="77" s="1"/>
  <c r="K110" i="77" s="1"/>
  <c r="K112" i="77" s="1"/>
  <c r="K94" i="51"/>
  <c r="K94" i="66"/>
  <c r="K102" i="66" s="1"/>
  <c r="K110" i="66" s="1"/>
  <c r="K112" i="66" s="1"/>
  <c r="I94" i="51"/>
  <c r="I94" i="66"/>
  <c r="I102" i="66" s="1"/>
  <c r="I110" i="66" s="1"/>
  <c r="I112" i="66" s="1"/>
  <c r="I94" i="77"/>
  <c r="I102" i="77" s="1"/>
  <c r="I110" i="77" s="1"/>
  <c r="I112" i="77" s="1"/>
  <c r="H94" i="51"/>
  <c r="H94" i="66"/>
  <c r="H102" i="66" s="1"/>
  <c r="H110" i="66" s="1"/>
  <c r="H112" i="66" s="1"/>
  <c r="H102" i="62"/>
  <c r="H110" i="62" s="1"/>
  <c r="H112" i="62" s="1"/>
  <c r="H129" i="62" s="1"/>
  <c r="H94" i="77"/>
  <c r="H102" i="77" s="1"/>
  <c r="H110" i="77" s="1"/>
  <c r="H112" i="77" s="1"/>
  <c r="L102" i="51" l="1"/>
  <c r="L110" i="51" s="1"/>
  <c r="L112" i="51" s="1"/>
  <c r="L94" i="69"/>
  <c r="L102" i="69" s="1"/>
  <c r="L110" i="69" s="1"/>
  <c r="L112" i="69" s="1"/>
  <c r="C102" i="51"/>
  <c r="C110" i="51" s="1"/>
  <c r="C112" i="51" s="1"/>
  <c r="C94" i="69"/>
  <c r="C102" i="69" s="1"/>
  <c r="C110" i="69" s="1"/>
  <c r="C112" i="69" s="1"/>
  <c r="N94" i="66"/>
  <c r="A102" i="66"/>
  <c r="A110" i="66" s="1"/>
  <c r="A112" i="66" s="1"/>
  <c r="J94" i="69"/>
  <c r="J102" i="69" s="1"/>
  <c r="J110" i="69" s="1"/>
  <c r="J112" i="69" s="1"/>
  <c r="J102" i="51"/>
  <c r="J110" i="51" s="1"/>
  <c r="J112" i="51" s="1"/>
  <c r="H102" i="51"/>
  <c r="H110" i="51" s="1"/>
  <c r="H112" i="51" s="1"/>
  <c r="H94" i="69"/>
  <c r="H102" i="69" s="1"/>
  <c r="H110" i="69" s="1"/>
  <c r="H112" i="69" s="1"/>
  <c r="D102" i="51"/>
  <c r="D110" i="51" s="1"/>
  <c r="D112" i="51" s="1"/>
  <c r="D94" i="69"/>
  <c r="D102" i="69" s="1"/>
  <c r="D110" i="69" s="1"/>
  <c r="D112" i="69" s="1"/>
  <c r="A94" i="54"/>
  <c r="A102" i="51"/>
  <c r="A110" i="51" s="1"/>
  <c r="A112" i="51" s="1"/>
  <c r="A94" i="69"/>
  <c r="A102" i="69" s="1"/>
  <c r="A110" i="69" s="1"/>
  <c r="A112" i="69" s="1"/>
  <c r="N94" i="51"/>
  <c r="O94" i="66"/>
  <c r="O102" i="66" s="1"/>
  <c r="O110" i="66" s="1"/>
  <c r="O112" i="66" s="1"/>
  <c r="J102" i="66"/>
  <c r="J110" i="66" s="1"/>
  <c r="J112" i="66" s="1"/>
  <c r="F94" i="69"/>
  <c r="F102" i="69" s="1"/>
  <c r="F110" i="69" s="1"/>
  <c r="F112" i="69" s="1"/>
  <c r="A94" i="45"/>
  <c r="F102" i="51"/>
  <c r="F110" i="51" s="1"/>
  <c r="F112" i="51" s="1"/>
  <c r="O94" i="77"/>
  <c r="A102" i="77"/>
  <c r="A110" i="77" s="1"/>
  <c r="A112" i="77" s="1"/>
  <c r="E94" i="69"/>
  <c r="E102" i="69" s="1"/>
  <c r="E110" i="69" s="1"/>
  <c r="E112" i="69" s="1"/>
  <c r="E102" i="51"/>
  <c r="E110" i="51" s="1"/>
  <c r="E112" i="51" s="1"/>
  <c r="A102" i="56"/>
  <c r="A110" i="62"/>
  <c r="I102" i="51"/>
  <c r="I110" i="51" s="1"/>
  <c r="I112" i="51" s="1"/>
  <c r="I94" i="69"/>
  <c r="I102" i="69" s="1"/>
  <c r="I110" i="69" s="1"/>
  <c r="I112" i="69" s="1"/>
  <c r="G102" i="51"/>
  <c r="G110" i="51" s="1"/>
  <c r="G112" i="51" s="1"/>
  <c r="G94" i="69"/>
  <c r="G102" i="69" s="1"/>
  <c r="G110" i="69" s="1"/>
  <c r="G112" i="69" s="1"/>
  <c r="O102" i="62"/>
  <c r="O110" i="62" s="1"/>
  <c r="O112" i="62" s="1"/>
  <c r="O129" i="62" s="1"/>
  <c r="O10" i="76" s="1"/>
  <c r="P94" i="62"/>
  <c r="B240" i="62"/>
  <c r="C240" i="62" s="1"/>
  <c r="D240" i="62" s="1"/>
  <c r="E240" i="62" s="1"/>
  <c r="F240" i="62" s="1"/>
  <c r="G240" i="62" s="1"/>
  <c r="H240" i="62" s="1"/>
  <c r="I240" i="62" s="1"/>
  <c r="J240" i="62" s="1"/>
  <c r="K240" i="62" s="1"/>
  <c r="L240" i="62" s="1"/>
  <c r="B112" i="62"/>
  <c r="O94" i="51"/>
  <c r="K94" i="69"/>
  <c r="K102" i="69" s="1"/>
  <c r="K110" i="69" s="1"/>
  <c r="K112" i="69" s="1"/>
  <c r="K102" i="51"/>
  <c r="K110" i="51" s="1"/>
  <c r="K112" i="51" s="1"/>
  <c r="B94" i="69"/>
  <c r="B102" i="69" s="1"/>
  <c r="B110" i="69" s="1"/>
  <c r="B112" i="69" s="1"/>
  <c r="B102" i="51"/>
  <c r="B110" i="51" s="1"/>
  <c r="B112" i="51" s="1"/>
  <c r="C232" i="62"/>
  <c r="D232" i="62" s="1"/>
  <c r="E232" i="62" s="1"/>
  <c r="F232" i="62" s="1"/>
  <c r="G232" i="62" s="1"/>
  <c r="H232" i="62" s="1"/>
  <c r="I232" i="62" s="1"/>
  <c r="J232" i="62" s="1"/>
  <c r="K232" i="62" s="1"/>
  <c r="L232" i="62" s="1"/>
  <c r="X94" i="51" l="1"/>
  <c r="Q94" i="51"/>
  <c r="Q94" i="77"/>
  <c r="X94" i="77" s="1"/>
  <c r="O94" i="69"/>
  <c r="O102" i="51"/>
  <c r="O110" i="51" s="1"/>
  <c r="O112" i="51" s="1"/>
  <c r="A112" i="62"/>
  <c r="A110" i="56"/>
  <c r="P94" i="77"/>
  <c r="O102" i="77"/>
  <c r="O110" i="77" s="1"/>
  <c r="O112" i="77" s="1"/>
  <c r="H94" i="54"/>
  <c r="I94" i="54" s="1"/>
  <c r="A102" i="54"/>
  <c r="J94" i="54"/>
  <c r="B129" i="62"/>
  <c r="B259" i="62" s="1"/>
  <c r="C259" i="62" s="1"/>
  <c r="D259" i="62" s="1"/>
  <c r="E259" i="62" s="1"/>
  <c r="F259" i="62" s="1"/>
  <c r="G259" i="62" s="1"/>
  <c r="H259" i="62" s="1"/>
  <c r="I259" i="62" s="1"/>
  <c r="J259" i="62" s="1"/>
  <c r="K259" i="62" s="1"/>
  <c r="L259" i="62" s="1"/>
  <c r="B242" i="62"/>
  <c r="C242" i="62" s="1"/>
  <c r="D242" i="62" s="1"/>
  <c r="E242" i="62" s="1"/>
  <c r="F242" i="62" s="1"/>
  <c r="G242" i="62" s="1"/>
  <c r="H242" i="62" s="1"/>
  <c r="I242" i="62" s="1"/>
  <c r="J242" i="62" s="1"/>
  <c r="K242" i="62" s="1"/>
  <c r="L242" i="62" s="1"/>
  <c r="V94" i="62"/>
  <c r="P102" i="62"/>
  <c r="R94" i="62"/>
  <c r="A102" i="45"/>
  <c r="H94" i="45"/>
  <c r="I94" i="45" s="1"/>
  <c r="J94" i="45"/>
  <c r="P94" i="66"/>
  <c r="R94" i="66" s="1"/>
  <c r="N102" i="66"/>
  <c r="M94" i="54"/>
  <c r="P94" i="51"/>
  <c r="M94" i="45"/>
  <c r="N102" i="51"/>
  <c r="N110" i="51" s="1"/>
  <c r="N112" i="51" s="1"/>
  <c r="X110" i="78" l="1"/>
  <c r="Y110" i="78" s="1"/>
  <c r="X102" i="51"/>
  <c r="Q102" i="77"/>
  <c r="X102" i="77" s="1"/>
  <c r="U94" i="77"/>
  <c r="V94" i="77" s="1"/>
  <c r="AC94" i="77"/>
  <c r="Y94" i="77"/>
  <c r="Z94" i="51"/>
  <c r="U94" i="51"/>
  <c r="V94" i="51" s="1"/>
  <c r="Q102" i="51"/>
  <c r="Q94" i="69"/>
  <c r="Y94" i="51"/>
  <c r="A112" i="56"/>
  <c r="A129" i="62"/>
  <c r="A110" i="54"/>
  <c r="J102" i="54"/>
  <c r="H102" i="54"/>
  <c r="I102" i="54" s="1"/>
  <c r="H102" i="45"/>
  <c r="I102" i="45" s="1"/>
  <c r="A110" i="45"/>
  <c r="J102" i="45"/>
  <c r="P102" i="66"/>
  <c r="R102" i="66" s="1"/>
  <c r="N110" i="66"/>
  <c r="P102" i="77"/>
  <c r="R94" i="77"/>
  <c r="R102" i="77" s="1"/>
  <c r="R110" i="77" s="1"/>
  <c r="R112" i="77" s="1"/>
  <c r="N94" i="69"/>
  <c r="N102" i="69" s="1"/>
  <c r="N110" i="69" s="1"/>
  <c r="N112" i="69" s="1"/>
  <c r="T94" i="45"/>
  <c r="U94" i="45" s="1"/>
  <c r="M102" i="45"/>
  <c r="V94" i="45"/>
  <c r="P102" i="51"/>
  <c r="P94" i="69"/>
  <c r="R94" i="51"/>
  <c r="R102" i="51" s="1"/>
  <c r="R110" i="51" s="1"/>
  <c r="R112" i="51" s="1"/>
  <c r="P110" i="62"/>
  <c r="V102" i="62"/>
  <c r="R102" i="62"/>
  <c r="V94" i="54"/>
  <c r="M102" i="54"/>
  <c r="T94" i="54"/>
  <c r="U94" i="54" s="1"/>
  <c r="AA94" i="51" l="1"/>
  <c r="Z102" i="51"/>
  <c r="Z110" i="51" s="1"/>
  <c r="Z112" i="51" s="1"/>
  <c r="AC102" i="77"/>
  <c r="Y102" i="77"/>
  <c r="Q110" i="77"/>
  <c r="X110" i="77" s="1"/>
  <c r="U102" i="77"/>
  <c r="V102" i="77" s="1"/>
  <c r="U102" i="51"/>
  <c r="V102" i="51" s="1"/>
  <c r="Q110" i="51"/>
  <c r="Y102" i="51"/>
  <c r="X110" i="51"/>
  <c r="P110" i="77"/>
  <c r="T102" i="45"/>
  <c r="U102" i="45" s="1"/>
  <c r="M110" i="45"/>
  <c r="V102" i="45"/>
  <c r="J110" i="54"/>
  <c r="A112" i="54"/>
  <c r="H110" i="54"/>
  <c r="I110" i="54" s="1"/>
  <c r="P110" i="51"/>
  <c r="V110" i="62"/>
  <c r="P112" i="62"/>
  <c r="R110" i="62"/>
  <c r="P110" i="66"/>
  <c r="R110" i="66" s="1"/>
  <c r="N112" i="66"/>
  <c r="A112" i="45"/>
  <c r="J110" i="45"/>
  <c r="H110" i="45"/>
  <c r="I110" i="45" s="1"/>
  <c r="V102" i="54"/>
  <c r="T102" i="54"/>
  <c r="U102" i="54" s="1"/>
  <c r="M110" i="54"/>
  <c r="X112" i="78" l="1"/>
  <c r="Y112" i="78" s="1"/>
  <c r="X112" i="62"/>
  <c r="X112" i="79"/>
  <c r="Y112" i="79" s="1"/>
  <c r="Y110" i="77"/>
  <c r="Q112" i="77"/>
  <c r="X112" i="77" s="1"/>
  <c r="AC110" i="77"/>
  <c r="U110" i="77"/>
  <c r="V110" i="77" s="1"/>
  <c r="Y110" i="51"/>
  <c r="Q112" i="51"/>
  <c r="U110" i="51"/>
  <c r="V110" i="51" s="1"/>
  <c r="X112" i="51"/>
  <c r="E7" i="74"/>
  <c r="E7" i="75"/>
  <c r="AB94" i="51"/>
  <c r="AB102" i="51" s="1"/>
  <c r="AB110" i="51" s="1"/>
  <c r="AB112" i="51" s="1"/>
  <c r="AA102" i="51"/>
  <c r="AA110" i="51" s="1"/>
  <c r="AA112" i="51" s="1"/>
  <c r="H112" i="45"/>
  <c r="I112" i="45" s="1"/>
  <c r="J112" i="45"/>
  <c r="H112" i="54"/>
  <c r="I112" i="54" s="1"/>
  <c r="J112" i="54"/>
  <c r="P112" i="77"/>
  <c r="P112" i="51"/>
  <c r="T110" i="54"/>
  <c r="U110" i="54" s="1"/>
  <c r="M112" i="54"/>
  <c r="V110" i="54"/>
  <c r="P129" i="62"/>
  <c r="R112" i="62"/>
  <c r="V112" i="62"/>
  <c r="P112" i="66"/>
  <c r="R112" i="66" s="1"/>
  <c r="T110" i="45"/>
  <c r="U110" i="45" s="1"/>
  <c r="M112" i="45"/>
  <c r="V110" i="45"/>
  <c r="X129" i="62" l="1"/>
  <c r="Q10" i="76"/>
  <c r="I7" i="75"/>
  <c r="I12" i="75" s="1"/>
  <c r="E12" i="75"/>
  <c r="F7" i="75" s="1"/>
  <c r="E33" i="75"/>
  <c r="U112" i="51"/>
  <c r="V112" i="51" s="1"/>
  <c r="Y112" i="51"/>
  <c r="M6" i="74"/>
  <c r="M10" i="74" s="1"/>
  <c r="E33" i="74"/>
  <c r="I7" i="74"/>
  <c r="I12" i="74" s="1"/>
  <c r="E12" i="74"/>
  <c r="U112" i="77"/>
  <c r="V112" i="77" s="1"/>
  <c r="AC112" i="77"/>
  <c r="Y112" i="77"/>
  <c r="P10" i="76"/>
  <c r="V129" i="62"/>
  <c r="V10" i="76" s="1"/>
  <c r="R129" i="62"/>
  <c r="R10" i="76" s="1"/>
  <c r="T112" i="45"/>
  <c r="U112" i="45" s="1"/>
  <c r="G13" i="75"/>
  <c r="C4" i="72"/>
  <c r="V112" i="45"/>
  <c r="G13" i="74"/>
  <c r="V112" i="54"/>
  <c r="T112" i="54"/>
  <c r="U112" i="54" s="1"/>
  <c r="M5" i="75" l="1"/>
  <c r="I33" i="75"/>
  <c r="E38" i="75"/>
  <c r="F5" i="75"/>
  <c r="F11" i="75"/>
  <c r="F10" i="75"/>
  <c r="F9" i="75"/>
  <c r="F4" i="75"/>
  <c r="F8" i="75"/>
  <c r="E13" i="75"/>
  <c r="F6" i="75"/>
  <c r="F7" i="74"/>
  <c r="F11" i="74"/>
  <c r="F8" i="74"/>
  <c r="F5" i="74"/>
  <c r="E13" i="74"/>
  <c r="F4" i="74"/>
  <c r="F10" i="74"/>
  <c r="F6" i="74"/>
  <c r="F9" i="74"/>
  <c r="I33" i="74"/>
  <c r="F31" i="75" l="1"/>
  <c r="F37" i="75"/>
  <c r="F36" i="75"/>
  <c r="F30" i="75"/>
  <c r="F35" i="75"/>
  <c r="F32" i="75"/>
  <c r="F34" i="75"/>
  <c r="E40" i="75"/>
  <c r="F12" i="74"/>
  <c r="F33" i="75"/>
  <c r="F12" i="75"/>
  <c r="M10" i="75"/>
  <c r="S6" i="75"/>
  <c r="S10" i="75" s="1"/>
  <c r="F38" i="75" l="1"/>
  <c r="D115" i="66"/>
  <c r="C115" i="77"/>
  <c r="G115" i="51"/>
  <c r="E115" i="77"/>
  <c r="B115" i="77"/>
  <c r="J115" i="51"/>
  <c r="F115" i="77"/>
  <c r="F115" i="51"/>
  <c r="I115" i="51"/>
  <c r="H115" i="77"/>
  <c r="G115" i="69" l="1"/>
  <c r="A115" i="45"/>
  <c r="E115" i="51"/>
  <c r="F115" i="69"/>
  <c r="I115" i="66"/>
  <c r="B115" i="66"/>
  <c r="D115" i="77"/>
  <c r="H115" i="66"/>
  <c r="G115" i="77"/>
  <c r="D115" i="51"/>
  <c r="H115" i="51"/>
  <c r="A115" i="66"/>
  <c r="B115" i="51"/>
  <c r="J115" i="66"/>
  <c r="J115" i="69" s="1"/>
  <c r="A115" i="77"/>
  <c r="A115" i="51"/>
  <c r="C115" i="51"/>
  <c r="A115" i="56"/>
  <c r="C115" i="66"/>
  <c r="I115" i="77"/>
  <c r="J115" i="77"/>
  <c r="N115" i="51" l="1"/>
  <c r="A115" i="69"/>
  <c r="A115" i="54"/>
  <c r="H115" i="69"/>
  <c r="D115" i="69"/>
  <c r="E115" i="69"/>
  <c r="J115" i="45"/>
  <c r="H115" i="45"/>
  <c r="I115" i="45" s="1"/>
  <c r="B115" i="69"/>
  <c r="N115" i="66"/>
  <c r="I115" i="69"/>
  <c r="C115" i="69"/>
  <c r="J115" i="54" l="1"/>
  <c r="H115" i="54"/>
  <c r="I115" i="54" s="1"/>
  <c r="M115" i="54"/>
  <c r="M115" i="45"/>
  <c r="T115" i="54" l="1"/>
  <c r="U115" i="54" s="1"/>
  <c r="V115" i="54"/>
  <c r="N115" i="69"/>
  <c r="T115" i="45"/>
  <c r="U115" i="45" s="1"/>
  <c r="V115" i="45"/>
  <c r="K115" i="51" l="1"/>
  <c r="K115" i="77"/>
  <c r="Q115" i="77"/>
  <c r="Q115" i="51"/>
  <c r="Z115" i="51" s="1"/>
  <c r="X115" i="58"/>
  <c r="X115" i="51"/>
  <c r="O115" i="58"/>
  <c r="P115" i="58" s="1"/>
  <c r="Y115" i="51" l="1"/>
  <c r="AC115" i="77"/>
  <c r="X115" i="77"/>
  <c r="Y115" i="77" s="1"/>
  <c r="Q115" i="69"/>
  <c r="O115" i="77"/>
  <c r="P115" i="77" s="1"/>
  <c r="O115" i="51"/>
  <c r="U115" i="51"/>
  <c r="K115" i="66"/>
  <c r="U115" i="77"/>
  <c r="P115" i="51" l="1"/>
  <c r="R115" i="77"/>
  <c r="K115" i="69"/>
  <c r="O115" i="66"/>
  <c r="V115" i="77"/>
  <c r="R115" i="58"/>
  <c r="V115" i="58"/>
  <c r="R115" i="51" l="1"/>
  <c r="V115" i="51"/>
  <c r="P115" i="66"/>
  <c r="O115" i="69"/>
  <c r="R115" i="66" l="1"/>
  <c r="P115" i="69"/>
  <c r="L127" i="58"/>
  <c r="L129" i="58" s="1"/>
  <c r="L6" i="76" s="1"/>
  <c r="L13" i="76" s="1"/>
  <c r="F119" i="58"/>
  <c r="C119" i="58"/>
  <c r="C127" i="58"/>
  <c r="C129" i="58" s="1"/>
  <c r="C6" i="76" s="1"/>
  <c r="C13" i="76" s="1"/>
  <c r="K119" i="58"/>
  <c r="I119" i="58"/>
  <c r="Q119" i="51"/>
  <c r="U119" i="51" s="1"/>
  <c r="X119" i="51"/>
  <c r="E119" i="58"/>
  <c r="B119" i="58"/>
  <c r="Q119" i="77"/>
  <c r="X119" i="77" s="1"/>
  <c r="Y119" i="77" s="1"/>
  <c r="G119" i="58"/>
  <c r="D119" i="58"/>
  <c r="J119" i="58"/>
  <c r="H119" i="58"/>
  <c r="H127" i="58" s="1"/>
  <c r="H129" i="58" s="1"/>
  <c r="H6" i="76" s="1"/>
  <c r="H13" i="76" s="1"/>
  <c r="X119" i="58"/>
  <c r="A119" i="58"/>
  <c r="D119" i="66" l="1"/>
  <c r="D127" i="66" s="1"/>
  <c r="D129" i="66" s="1"/>
  <c r="D172" i="66" s="1"/>
  <c r="D119" i="79"/>
  <c r="D127" i="79" s="1"/>
  <c r="D129" i="79" s="1"/>
  <c r="D172" i="79" s="1"/>
  <c r="D119" i="78"/>
  <c r="D127" i="78" s="1"/>
  <c r="D129" i="78" s="1"/>
  <c r="D172" i="78" s="1"/>
  <c r="A119" i="66"/>
  <c r="A119" i="79"/>
  <c r="A127" i="79" s="1"/>
  <c r="A129" i="79" s="1"/>
  <c r="A172" i="79" s="1"/>
  <c r="A119" i="78"/>
  <c r="J119" i="51"/>
  <c r="J127" i="51" s="1"/>
  <c r="J129" i="51" s="1"/>
  <c r="J172" i="51" s="1"/>
  <c r="J119" i="79"/>
  <c r="J119" i="78"/>
  <c r="J127" i="78" s="1"/>
  <c r="J129" i="78" s="1"/>
  <c r="J172" i="78" s="1"/>
  <c r="D127" i="58"/>
  <c r="D129" i="58" s="1"/>
  <c r="D6" i="76" s="1"/>
  <c r="D13" i="76" s="1"/>
  <c r="I119" i="51"/>
  <c r="I119" i="79"/>
  <c r="I127" i="79" s="1"/>
  <c r="I129" i="79" s="1"/>
  <c r="I172" i="79" s="1"/>
  <c r="I119" i="78"/>
  <c r="I127" i="78" s="1"/>
  <c r="I129" i="78" s="1"/>
  <c r="I172" i="78" s="1"/>
  <c r="G119" i="51"/>
  <c r="G119" i="79"/>
  <c r="G127" i="79" s="1"/>
  <c r="G129" i="79" s="1"/>
  <c r="G172" i="79" s="1"/>
  <c r="G119" i="78"/>
  <c r="G127" i="78" s="1"/>
  <c r="G129" i="78" s="1"/>
  <c r="G172" i="78" s="1"/>
  <c r="C119" i="66"/>
  <c r="C127" i="66" s="1"/>
  <c r="C129" i="66" s="1"/>
  <c r="C172" i="66" s="1"/>
  <c r="C119" i="79"/>
  <c r="C127" i="79" s="1"/>
  <c r="C129" i="79" s="1"/>
  <c r="C172" i="79" s="1"/>
  <c r="C119" i="78"/>
  <c r="C127" i="78" s="1"/>
  <c r="C129" i="78" s="1"/>
  <c r="C172" i="78" s="1"/>
  <c r="B119" i="51"/>
  <c r="B119" i="79"/>
  <c r="B127" i="79" s="1"/>
  <c r="B129" i="79" s="1"/>
  <c r="B172" i="79" s="1"/>
  <c r="B119" i="78"/>
  <c r="B127" i="78" s="1"/>
  <c r="B129" i="78" s="1"/>
  <c r="B172" i="78" s="1"/>
  <c r="F119" i="77"/>
  <c r="F127" i="77" s="1"/>
  <c r="F129" i="77" s="1"/>
  <c r="F172" i="77" s="1"/>
  <c r="F119" i="79"/>
  <c r="F127" i="79" s="1"/>
  <c r="F129" i="79" s="1"/>
  <c r="F172" i="79" s="1"/>
  <c r="F119" i="78"/>
  <c r="F127" i="78" s="1"/>
  <c r="F129" i="78" s="1"/>
  <c r="F172" i="78" s="1"/>
  <c r="K127" i="58"/>
  <c r="K129" i="58" s="1"/>
  <c r="K6" i="76" s="1"/>
  <c r="K13" i="76" s="1"/>
  <c r="K119" i="79"/>
  <c r="K127" i="79" s="1"/>
  <c r="K129" i="79" s="1"/>
  <c r="K172" i="79" s="1"/>
  <c r="K119" i="78"/>
  <c r="K127" i="78" s="1"/>
  <c r="K129" i="78" s="1"/>
  <c r="K172" i="78" s="1"/>
  <c r="H119" i="51"/>
  <c r="H127" i="51" s="1"/>
  <c r="H129" i="51" s="1"/>
  <c r="H172" i="51" s="1"/>
  <c r="H119" i="79"/>
  <c r="H127" i="79" s="1"/>
  <c r="H129" i="79" s="1"/>
  <c r="H172" i="79" s="1"/>
  <c r="H119" i="78"/>
  <c r="H127" i="78" s="1"/>
  <c r="H129" i="78" s="1"/>
  <c r="H172" i="78" s="1"/>
  <c r="E127" i="58"/>
  <c r="E129" i="58" s="1"/>
  <c r="E6" i="76" s="1"/>
  <c r="E13" i="76" s="1"/>
  <c r="E119" i="79"/>
  <c r="E127" i="79" s="1"/>
  <c r="E129" i="79" s="1"/>
  <c r="E172" i="79" s="1"/>
  <c r="E119" i="78"/>
  <c r="E127" i="78" s="1"/>
  <c r="E129" i="78" s="1"/>
  <c r="E172" i="78" s="1"/>
  <c r="J127" i="58"/>
  <c r="J129" i="58" s="1"/>
  <c r="J6" i="76" s="1"/>
  <c r="J13" i="76" s="1"/>
  <c r="Y119" i="51"/>
  <c r="X129" i="78"/>
  <c r="Y129" i="78" s="1"/>
  <c r="X129" i="79"/>
  <c r="Y129" i="79" s="1"/>
  <c r="B127" i="58"/>
  <c r="B129" i="58" s="1"/>
  <c r="B6" i="76" s="1"/>
  <c r="B13" i="76" s="1"/>
  <c r="Q6" i="76"/>
  <c r="Q13" i="76" s="1"/>
  <c r="X129" i="51"/>
  <c r="X129" i="58"/>
  <c r="B127" i="51"/>
  <c r="B129" i="51" s="1"/>
  <c r="B172" i="51" s="1"/>
  <c r="A127" i="66"/>
  <c r="A129" i="66" s="1"/>
  <c r="A172" i="66" s="1"/>
  <c r="G127" i="51"/>
  <c r="G129" i="51" s="1"/>
  <c r="G172" i="51" s="1"/>
  <c r="I127" i="51"/>
  <c r="I129" i="51" s="1"/>
  <c r="I172" i="51" s="1"/>
  <c r="A119" i="56"/>
  <c r="I127" i="58"/>
  <c r="I129" i="58" s="1"/>
  <c r="I6" i="76" s="1"/>
  <c r="I13" i="76" s="1"/>
  <c r="B119" i="77"/>
  <c r="B127" i="77" s="1"/>
  <c r="B129" i="77" s="1"/>
  <c r="B172" i="77" s="1"/>
  <c r="K119" i="66"/>
  <c r="K127" i="66" s="1"/>
  <c r="K129" i="66" s="1"/>
  <c r="K172" i="66" s="1"/>
  <c r="A119" i="77"/>
  <c r="F119" i="66"/>
  <c r="F127" i="66" s="1"/>
  <c r="F129" i="66" s="1"/>
  <c r="F172" i="66" s="1"/>
  <c r="G119" i="66"/>
  <c r="G127" i="66" s="1"/>
  <c r="G129" i="66" s="1"/>
  <c r="G172" i="66" s="1"/>
  <c r="L119" i="77"/>
  <c r="L127" i="77" s="1"/>
  <c r="L129" i="77" s="1"/>
  <c r="L172" i="77" s="1"/>
  <c r="B119" i="66"/>
  <c r="B127" i="66" s="1"/>
  <c r="B129" i="66" s="1"/>
  <c r="B172" i="66" s="1"/>
  <c r="G119" i="77"/>
  <c r="G127" i="77" s="1"/>
  <c r="G129" i="77" s="1"/>
  <c r="G172" i="77" s="1"/>
  <c r="E119" i="51"/>
  <c r="I119" i="66"/>
  <c r="I127" i="66" s="1"/>
  <c r="I129" i="66" s="1"/>
  <c r="I172" i="66" s="1"/>
  <c r="X127" i="58"/>
  <c r="J119" i="66"/>
  <c r="Z119" i="51"/>
  <c r="U119" i="77"/>
  <c r="E119" i="77"/>
  <c r="E127" i="77" s="1"/>
  <c r="E129" i="77" s="1"/>
  <c r="E172" i="77" s="1"/>
  <c r="C119" i="77"/>
  <c r="C127" i="77" s="1"/>
  <c r="C129" i="77" s="1"/>
  <c r="C172" i="77" s="1"/>
  <c r="H119" i="77"/>
  <c r="H127" i="77" s="1"/>
  <c r="H129" i="77" s="1"/>
  <c r="H172" i="77" s="1"/>
  <c r="C119" i="51"/>
  <c r="I119" i="77"/>
  <c r="I127" i="77" s="1"/>
  <c r="I129" i="77" s="1"/>
  <c r="I172" i="77" s="1"/>
  <c r="K119" i="77"/>
  <c r="K127" i="77" s="1"/>
  <c r="K129" i="77" s="1"/>
  <c r="K172" i="77" s="1"/>
  <c r="Q127" i="51"/>
  <c r="O119" i="58"/>
  <c r="G127" i="58"/>
  <c r="G129" i="58" s="1"/>
  <c r="G6" i="76" s="1"/>
  <c r="G13" i="76" s="1"/>
  <c r="Q119" i="69"/>
  <c r="F127" i="58"/>
  <c r="F129" i="58" s="1"/>
  <c r="F6" i="76" s="1"/>
  <c r="F13" i="76" s="1"/>
  <c r="A119" i="51"/>
  <c r="K119" i="51"/>
  <c r="F119" i="51"/>
  <c r="X127" i="51"/>
  <c r="E22" i="74"/>
  <c r="Q127" i="77"/>
  <c r="X127" i="77" s="1"/>
  <c r="AC119" i="77"/>
  <c r="E119" i="66"/>
  <c r="E127" i="66" s="1"/>
  <c r="E129" i="66" s="1"/>
  <c r="E172" i="66" s="1"/>
  <c r="L119" i="66"/>
  <c r="L127" i="66" s="1"/>
  <c r="L129" i="66" s="1"/>
  <c r="L172" i="66" s="1"/>
  <c r="H119" i="66"/>
  <c r="H127" i="66" s="1"/>
  <c r="H129" i="66" s="1"/>
  <c r="H172" i="66" s="1"/>
  <c r="D119" i="77"/>
  <c r="D127" i="77" s="1"/>
  <c r="D129" i="77" s="1"/>
  <c r="D172" i="77" s="1"/>
  <c r="D119" i="51"/>
  <c r="J119" i="77"/>
  <c r="J127" i="77" s="1"/>
  <c r="J129" i="77" s="1"/>
  <c r="J172" i="77" s="1"/>
  <c r="L119" i="51"/>
  <c r="A127" i="58"/>
  <c r="O119" i="79" l="1"/>
  <c r="J127" i="79"/>
  <c r="J129" i="79" s="1"/>
  <c r="J172" i="79" s="1"/>
  <c r="J119" i="69"/>
  <c r="J127" i="69" s="1"/>
  <c r="J129" i="69" s="1"/>
  <c r="J172" i="69" s="1"/>
  <c r="O119" i="78"/>
  <c r="A127" i="78"/>
  <c r="A129" i="78" s="1"/>
  <c r="A172" i="78" s="1"/>
  <c r="G119" i="69"/>
  <c r="G127" i="69" s="1"/>
  <c r="G129" i="69" s="1"/>
  <c r="G172" i="69" s="1"/>
  <c r="A127" i="77"/>
  <c r="A129" i="77" s="1"/>
  <c r="A172" i="77" s="1"/>
  <c r="O119" i="77"/>
  <c r="A127" i="56"/>
  <c r="A129" i="58"/>
  <c r="E119" i="69"/>
  <c r="E127" i="69" s="1"/>
  <c r="E129" i="69" s="1"/>
  <c r="E172" i="69" s="1"/>
  <c r="E127" i="51"/>
  <c r="E129" i="51" s="1"/>
  <c r="E172" i="51" s="1"/>
  <c r="N119" i="66"/>
  <c r="U127" i="77"/>
  <c r="Y127" i="77"/>
  <c r="Q129" i="77"/>
  <c r="X129" i="77" s="1"/>
  <c r="AC127" i="77"/>
  <c r="I22" i="74"/>
  <c r="I25" i="74" s="1"/>
  <c r="E25" i="74"/>
  <c r="E35" i="74"/>
  <c r="C119" i="69"/>
  <c r="C127" i="69" s="1"/>
  <c r="C129" i="69" s="1"/>
  <c r="C172" i="69" s="1"/>
  <c r="C127" i="51"/>
  <c r="C129" i="51" s="1"/>
  <c r="C172" i="51" s="1"/>
  <c r="L127" i="51"/>
  <c r="L129" i="51" s="1"/>
  <c r="L172" i="51" s="1"/>
  <c r="L119" i="69"/>
  <c r="L127" i="69" s="1"/>
  <c r="L129" i="69" s="1"/>
  <c r="L172" i="69" s="1"/>
  <c r="D127" i="51"/>
  <c r="D129" i="51" s="1"/>
  <c r="D172" i="51" s="1"/>
  <c r="D119" i="69"/>
  <c r="D127" i="69" s="1"/>
  <c r="D129" i="69" s="1"/>
  <c r="D172" i="69" s="1"/>
  <c r="O127" i="58"/>
  <c r="O129" i="58" s="1"/>
  <c r="O6" i="76" s="1"/>
  <c r="O13" i="76" s="1"/>
  <c r="P119" i="58"/>
  <c r="B119" i="69"/>
  <c r="B127" i="69" s="1"/>
  <c r="B129" i="69" s="1"/>
  <c r="B172" i="69" s="1"/>
  <c r="A119" i="69"/>
  <c r="A127" i="69" s="1"/>
  <c r="A129" i="69" s="1"/>
  <c r="A172" i="69" s="1"/>
  <c r="A119" i="54"/>
  <c r="A127" i="51"/>
  <c r="A129" i="51" s="1"/>
  <c r="A172" i="51" s="1"/>
  <c r="N119" i="51"/>
  <c r="U127" i="51"/>
  <c r="Y127" i="51"/>
  <c r="Q129" i="51"/>
  <c r="AA119" i="51"/>
  <c r="AA127" i="51" s="1"/>
  <c r="AA129" i="51" s="1"/>
  <c r="AA172" i="51" s="1"/>
  <c r="AB119" i="51"/>
  <c r="AB127" i="51" s="1"/>
  <c r="AB129" i="51" s="1"/>
  <c r="AB172" i="51" s="1"/>
  <c r="Z127" i="51"/>
  <c r="Z129" i="51" s="1"/>
  <c r="Z172" i="51" s="1"/>
  <c r="I119" i="69"/>
  <c r="I127" i="69" s="1"/>
  <c r="I129" i="69" s="1"/>
  <c r="I172" i="69" s="1"/>
  <c r="H119" i="69"/>
  <c r="H127" i="69" s="1"/>
  <c r="H129" i="69" s="1"/>
  <c r="H172" i="69" s="1"/>
  <c r="K119" i="69"/>
  <c r="K127" i="69" s="1"/>
  <c r="K129" i="69" s="1"/>
  <c r="K172" i="69" s="1"/>
  <c r="K127" i="51"/>
  <c r="K129" i="51" s="1"/>
  <c r="K172" i="51" s="1"/>
  <c r="O119" i="51"/>
  <c r="A119" i="45"/>
  <c r="F119" i="69"/>
  <c r="F127" i="69" s="1"/>
  <c r="F129" i="69" s="1"/>
  <c r="F172" i="69" s="1"/>
  <c r="F127" i="51"/>
  <c r="F129" i="51" s="1"/>
  <c r="F172" i="51" s="1"/>
  <c r="O119" i="66"/>
  <c r="O127" i="66" s="1"/>
  <c r="O129" i="66" s="1"/>
  <c r="J127" i="66"/>
  <c r="J129" i="66" s="1"/>
  <c r="J172" i="66" s="1"/>
  <c r="O172" i="66" s="1"/>
  <c r="P119" i="78" l="1"/>
  <c r="O127" i="78"/>
  <c r="O129" i="78" s="1"/>
  <c r="O172" i="78" s="1"/>
  <c r="P119" i="79"/>
  <c r="O127" i="79"/>
  <c r="O129" i="79" s="1"/>
  <c r="O172" i="79" s="1"/>
  <c r="Y129" i="51"/>
  <c r="U129" i="51"/>
  <c r="Q172" i="51"/>
  <c r="V119" i="58"/>
  <c r="R119" i="58"/>
  <c r="R127" i="58" s="1"/>
  <c r="R129" i="58" s="1"/>
  <c r="R6" i="76" s="1"/>
  <c r="R13" i="76" s="1"/>
  <c r="P127" i="58"/>
  <c r="I35" i="74"/>
  <c r="I38" i="74" s="1"/>
  <c r="E38" i="74"/>
  <c r="F35" i="74" s="1"/>
  <c r="N127" i="66"/>
  <c r="P119" i="66"/>
  <c r="R119" i="66" s="1"/>
  <c r="O127" i="51"/>
  <c r="O129" i="51" s="1"/>
  <c r="O172" i="51" s="1"/>
  <c r="O119" i="69"/>
  <c r="F20" i="74"/>
  <c r="F21" i="74"/>
  <c r="F19" i="74"/>
  <c r="F23" i="74"/>
  <c r="F24" i="74"/>
  <c r="F18" i="74"/>
  <c r="F17" i="74"/>
  <c r="E26" i="74"/>
  <c r="N127" i="51"/>
  <c r="N129" i="51" s="1"/>
  <c r="N172" i="51" s="1"/>
  <c r="P119" i="51"/>
  <c r="M119" i="45"/>
  <c r="M119" i="54"/>
  <c r="F22" i="74"/>
  <c r="A6" i="76"/>
  <c r="A13" i="76" s="1"/>
  <c r="A129" i="56"/>
  <c r="A127" i="54"/>
  <c r="H119" i="54"/>
  <c r="I119" i="54" s="1"/>
  <c r="J119" i="54"/>
  <c r="U129" i="77"/>
  <c r="AC129" i="77"/>
  <c r="Q172" i="77"/>
  <c r="Y129" i="77"/>
  <c r="O127" i="77"/>
  <c r="O129" i="77" s="1"/>
  <c r="O172" i="77" s="1"/>
  <c r="P119" i="77"/>
  <c r="H119" i="45"/>
  <c r="I119" i="45" s="1"/>
  <c r="J119" i="45"/>
  <c r="A127" i="45"/>
  <c r="R119" i="79" l="1"/>
  <c r="R127" i="79" s="1"/>
  <c r="R129" i="79" s="1"/>
  <c r="R172" i="79" s="1"/>
  <c r="V119" i="79"/>
  <c r="P127" i="79"/>
  <c r="V119" i="78"/>
  <c r="R119" i="78"/>
  <c r="R127" i="78" s="1"/>
  <c r="R129" i="78" s="1"/>
  <c r="R172" i="78" s="1"/>
  <c r="P127" i="78"/>
  <c r="AC172" i="77"/>
  <c r="X172" i="77"/>
  <c r="A129" i="54"/>
  <c r="J127" i="54"/>
  <c r="H127" i="54"/>
  <c r="I127" i="54" s="1"/>
  <c r="M127" i="54"/>
  <c r="T119" i="54"/>
  <c r="U119" i="54" s="1"/>
  <c r="V119" i="54"/>
  <c r="P127" i="66"/>
  <c r="R127" i="66" s="1"/>
  <c r="N129" i="66"/>
  <c r="U172" i="51"/>
  <c r="F25" i="74"/>
  <c r="H127" i="45"/>
  <c r="I127" i="45" s="1"/>
  <c r="A129" i="45"/>
  <c r="J127" i="45"/>
  <c r="U172" i="77"/>
  <c r="M127" i="45"/>
  <c r="N119" i="69"/>
  <c r="N127" i="69" s="1"/>
  <c r="N129" i="69" s="1"/>
  <c r="N172" i="69" s="1"/>
  <c r="T119" i="45"/>
  <c r="U119" i="45" s="1"/>
  <c r="V119" i="45"/>
  <c r="P127" i="77"/>
  <c r="R119" i="77"/>
  <c r="R127" i="77" s="1"/>
  <c r="R129" i="77" s="1"/>
  <c r="R172" i="77" s="1"/>
  <c r="V119" i="77"/>
  <c r="P129" i="58"/>
  <c r="G22" i="75"/>
  <c r="V127" i="58"/>
  <c r="P127" i="51"/>
  <c r="P119" i="69"/>
  <c r="V119" i="51"/>
  <c r="R119" i="51"/>
  <c r="R127" i="51" s="1"/>
  <c r="R129" i="51" s="1"/>
  <c r="R172" i="51" s="1"/>
  <c r="F34" i="74"/>
  <c r="F31" i="74"/>
  <c r="F37" i="74"/>
  <c r="F30" i="74"/>
  <c r="F36" i="74"/>
  <c r="F32" i="74"/>
  <c r="F33" i="74"/>
  <c r="V127" i="78" l="1"/>
  <c r="P129" i="78"/>
  <c r="V127" i="79"/>
  <c r="P129" i="79"/>
  <c r="P129" i="66"/>
  <c r="R129" i="66" s="1"/>
  <c r="N172" i="66"/>
  <c r="P172" i="66" s="1"/>
  <c r="R172" i="66" s="1"/>
  <c r="P129" i="77"/>
  <c r="V127" i="77"/>
  <c r="H129" i="45"/>
  <c r="A172" i="45"/>
  <c r="J129" i="45"/>
  <c r="J172" i="45" s="1"/>
  <c r="M129" i="54"/>
  <c r="V127" i="54"/>
  <c r="T127" i="54"/>
  <c r="U127" i="54" s="1"/>
  <c r="P129" i="51"/>
  <c r="V127" i="51"/>
  <c r="P6" i="76"/>
  <c r="P13" i="76" s="1"/>
  <c r="V129" i="58"/>
  <c r="V6" i="76" s="1"/>
  <c r="V13" i="76" s="1"/>
  <c r="F38" i="74"/>
  <c r="G25" i="75"/>
  <c r="H22" i="75" s="1"/>
  <c r="G35" i="75"/>
  <c r="I22" i="75"/>
  <c r="I25" i="75" s="1"/>
  <c r="D4" i="72"/>
  <c r="M129" i="45"/>
  <c r="V127" i="45"/>
  <c r="G26" i="74"/>
  <c r="T127" i="45"/>
  <c r="U127" i="45" s="1"/>
  <c r="H129" i="54"/>
  <c r="J129" i="54"/>
  <c r="J177" i="54" s="1"/>
  <c r="A177" i="54"/>
  <c r="P172" i="79" l="1"/>
  <c r="V172" i="79" s="1"/>
  <c r="V129" i="79"/>
  <c r="P172" i="78"/>
  <c r="V172" i="78" s="1"/>
  <c r="V129" i="78"/>
  <c r="H172" i="45"/>
  <c r="I129" i="45"/>
  <c r="I172" i="45" s="1"/>
  <c r="T129" i="45"/>
  <c r="V129" i="45"/>
  <c r="M172" i="45"/>
  <c r="G40" i="74"/>
  <c r="P172" i="51"/>
  <c r="V172" i="51" s="1"/>
  <c r="V129" i="51"/>
  <c r="P172" i="77"/>
  <c r="V172" i="77" s="1"/>
  <c r="V129" i="77"/>
  <c r="I129" i="54"/>
  <c r="I177" i="54" s="1"/>
  <c r="H177" i="54"/>
  <c r="N7" i="75"/>
  <c r="G38" i="75"/>
  <c r="I35" i="75"/>
  <c r="I38" i="75" s="1"/>
  <c r="H17" i="75"/>
  <c r="G26" i="75"/>
  <c r="H24" i="75"/>
  <c r="H19" i="75"/>
  <c r="H23" i="75"/>
  <c r="H20" i="75"/>
  <c r="H18" i="75"/>
  <c r="H21" i="75"/>
  <c r="V129" i="54"/>
  <c r="M177" i="54"/>
  <c r="T177" i="54" s="1"/>
  <c r="U177" i="54" s="1"/>
  <c r="V177" i="54" s="1"/>
  <c r="T129" i="54"/>
  <c r="U129" i="54" s="1"/>
  <c r="G40" i="75" l="1"/>
  <c r="H32" i="75"/>
  <c r="H31" i="75"/>
  <c r="H30" i="75"/>
  <c r="H37" i="75"/>
  <c r="H36" i="75"/>
  <c r="H34" i="75"/>
  <c r="H33" i="75"/>
  <c r="H35" i="75"/>
  <c r="U129" i="45"/>
  <c r="T172" i="45"/>
  <c r="N10" i="75"/>
  <c r="T9" i="75"/>
  <c r="T10" i="75" s="1"/>
  <c r="H25" i="75"/>
  <c r="H38" i="7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Selwyn Adams</author>
  </authors>
  <commentList>
    <comment ref="T53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Selwyn Adams:</t>
        </r>
        <r>
          <rPr>
            <sz val="9"/>
            <color indexed="81"/>
            <rFont val="Tahoma"/>
            <family val="2"/>
          </rPr>
          <t xml:space="preserve">
21302 from office supplies 6768 from incentive bonus
</t>
        </r>
      </text>
    </comment>
    <comment ref="T93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Selwyn Adams:</t>
        </r>
        <r>
          <rPr>
            <sz val="9"/>
            <color indexed="81"/>
            <rFont val="Tahoma"/>
            <family val="2"/>
          </rPr>
          <t xml:space="preserve">
6956 from daily allowance  3322 from Air Transport and 15417 from incentive bonus</t>
        </r>
      </text>
    </comment>
  </commentList>
</comments>
</file>

<file path=xl/sharedStrings.xml><?xml version="1.0" encoding="utf-8"?>
<sst xmlns="http://schemas.openxmlformats.org/spreadsheetml/2006/main" count="4055" uniqueCount="533">
  <si>
    <t>Prior Year</t>
  </si>
  <si>
    <t>Forecast</t>
  </si>
  <si>
    <t>Actual</t>
  </si>
  <si>
    <t>YTD</t>
  </si>
  <si>
    <t>Plan</t>
  </si>
  <si>
    <t>Recoveries @ Std</t>
  </si>
  <si>
    <t xml:space="preserve">  Other</t>
  </si>
  <si>
    <t xml:space="preserve">  Repair &amp; Maintenance</t>
  </si>
  <si>
    <t xml:space="preserve">  Fuel</t>
  </si>
  <si>
    <t>Standard Margin</t>
  </si>
  <si>
    <t>Cost Of Sales</t>
  </si>
  <si>
    <t>Net Sales</t>
  </si>
  <si>
    <t>R'000</t>
  </si>
  <si>
    <t>%</t>
  </si>
  <si>
    <t>Year to Date</t>
  </si>
  <si>
    <t>Month to Date</t>
  </si>
  <si>
    <t>x</t>
  </si>
  <si>
    <t>Sea Days</t>
  </si>
  <si>
    <t>TOTAL</t>
  </si>
  <si>
    <t xml:space="preserve">  Commission &amp; Remuneration</t>
  </si>
  <si>
    <t xml:space="preserve">  Food</t>
  </si>
  <si>
    <t xml:space="preserve">  Catch Levies</t>
  </si>
  <si>
    <t>Depreciation</t>
  </si>
  <si>
    <t>Insurance</t>
  </si>
  <si>
    <t>Vessel Operating Costs</t>
  </si>
  <si>
    <t>Administration</t>
  </si>
  <si>
    <t>KPI's</t>
  </si>
  <si>
    <t>Tons Landed</t>
  </si>
  <si>
    <t>Net Profit/(Loss) Before Tax</t>
  </si>
  <si>
    <t>Umsobomvu Fishing</t>
  </si>
  <si>
    <t>Fuel per sea day</t>
  </si>
  <si>
    <t>Repair &amp; Maintenance per sea day</t>
  </si>
  <si>
    <t>Food per sea day</t>
  </si>
  <si>
    <t>Commission &amp; Remuneration per kg</t>
  </si>
  <si>
    <t>Recoveries per kg</t>
  </si>
  <si>
    <t>Total Cost per kg</t>
  </si>
  <si>
    <t>Vessel Operating Cost per kg</t>
  </si>
  <si>
    <r>
      <rPr>
        <b/>
        <sz val="11"/>
        <color theme="1"/>
        <rFont val="Arial"/>
        <family val="2"/>
      </rPr>
      <t xml:space="preserve">Stock </t>
    </r>
    <r>
      <rPr>
        <sz val="11"/>
        <color theme="1"/>
        <rFont val="Arial"/>
        <family val="2"/>
      </rPr>
      <t xml:space="preserve">on hand as at 30 June 2015 - </t>
    </r>
    <r>
      <rPr>
        <b/>
        <sz val="11"/>
        <color theme="1"/>
        <rFont val="Arial"/>
        <family val="2"/>
      </rPr>
      <t>39.41 Ton</t>
    </r>
  </si>
  <si>
    <r>
      <rPr>
        <b/>
        <sz val="11"/>
        <color theme="1"/>
        <rFont val="Arial"/>
        <family val="2"/>
      </rPr>
      <t>Fuel Stock</t>
    </r>
    <r>
      <rPr>
        <sz val="11"/>
        <color theme="1"/>
        <rFont val="Arial"/>
        <family val="2"/>
      </rPr>
      <t xml:space="preserve"> on hand as at 30 June 2015-  </t>
    </r>
    <r>
      <rPr>
        <b/>
        <sz val="11"/>
        <color theme="1"/>
        <rFont val="Arial"/>
        <family val="2"/>
      </rPr>
      <t>44 000 Litres</t>
    </r>
  </si>
  <si>
    <t>Tons in Stock</t>
  </si>
  <si>
    <t>Diff between Recoveries &amp; Total CPK</t>
  </si>
  <si>
    <t>Tons Sold</t>
  </si>
  <si>
    <t>Sales Price per kg</t>
  </si>
  <si>
    <t>Plan %</t>
  </si>
  <si>
    <t>Prior</t>
  </si>
  <si>
    <t>Fore %</t>
  </si>
  <si>
    <t>Prior %</t>
  </si>
  <si>
    <t>R'm</t>
  </si>
  <si>
    <t>Act</t>
  </si>
  <si>
    <t>Fcst PF03</t>
  </si>
  <si>
    <t>Var PF03</t>
  </si>
  <si>
    <t>PY</t>
  </si>
  <si>
    <t>Total</t>
  </si>
  <si>
    <t>Jul</t>
  </si>
  <si>
    <t>Aug</t>
  </si>
  <si>
    <t>Oct</t>
  </si>
  <si>
    <t>Nov</t>
  </si>
  <si>
    <t>Dec</t>
  </si>
  <si>
    <t>Apr</t>
  </si>
  <si>
    <t>May</t>
  </si>
  <si>
    <t>Cold Storage &amp; Packaging</t>
  </si>
  <si>
    <t>Vessel Management Fees</t>
  </si>
  <si>
    <t>FY2017</t>
  </si>
  <si>
    <t xml:space="preserve"> Vessel operating cost per sea day</t>
  </si>
  <si>
    <t>CR Recoveries DR COS</t>
  </si>
  <si>
    <t>Old Pack with Excel Journals</t>
  </si>
  <si>
    <t>Vessel Rights</t>
  </si>
  <si>
    <t>CONSOLIDATED BUDGET FOR 2018/19</t>
  </si>
  <si>
    <t>Inflation adjustment:</t>
  </si>
  <si>
    <t>ITEMS</t>
  </si>
  <si>
    <t>ADJUSTMENT 1 - Approved….</t>
  </si>
  <si>
    <t>ADJUSTMENT 2</t>
  </si>
  <si>
    <t>FINAL ADJUSTED BUDGET</t>
  </si>
  <si>
    <t>Commitments from prior year</t>
  </si>
  <si>
    <t>FINAL BUDGET</t>
  </si>
  <si>
    <t>% Not used</t>
  </si>
  <si>
    <t>% Spent</t>
  </si>
  <si>
    <t>4740&gt;010 (S&amp;W Att fee iro members)</t>
  </si>
  <si>
    <t>4740&gt;040 (S&amp;W CTE - employees) (Total cost)</t>
  </si>
  <si>
    <t>*3-8</t>
  </si>
  <si>
    <t>4740&gt;100 (Workmans Compensation)</t>
  </si>
  <si>
    <t>4480&gt;010 (Board Travel Km expense)</t>
  </si>
  <si>
    <t>4480&gt;020 (Board Reimbursements)</t>
  </si>
  <si>
    <t>4800&gt;010 (Com: Cell Contracts)</t>
  </si>
  <si>
    <t>4740&gt;050 (Overtime)</t>
  </si>
  <si>
    <t>*4,5,6,7,8</t>
  </si>
  <si>
    <t>4740&gt;060 (Incentive Bonus)</t>
  </si>
  <si>
    <t>4740&gt;180 (Long Service Awards)</t>
  </si>
  <si>
    <t>4750&gt;010 (Stipends-payments)</t>
  </si>
  <si>
    <t>SALARY RELATED EXPENSES</t>
  </si>
  <si>
    <t>4050&gt;020 (Advert: Recruitment)</t>
  </si>
  <si>
    <t>4050&gt;030 (Advert: Tenders)</t>
  </si>
  <si>
    <t>4050&gt;010 (Marketing and Branding)</t>
  </si>
  <si>
    <t>4820 (Provincial Liquor Conference)</t>
  </si>
  <si>
    <t>4790 (Social and Educational Fund)</t>
  </si>
  <si>
    <t>4215 (Catering for Training)</t>
  </si>
  <si>
    <t>4390 (Events)</t>
  </si>
  <si>
    <t>ADVERTISEMENTS AND MARKETING</t>
  </si>
  <si>
    <t>4010 (Audit Fees)</t>
  </si>
  <si>
    <t>4150 (Bank Charges)</t>
  </si>
  <si>
    <t>4420&gt;010 (Ext: Comp Ser: SFT LCN: OF ST S)</t>
  </si>
  <si>
    <t>4640&gt;010 (Post/Stamp/Frank)</t>
  </si>
  <si>
    <t>4800&gt;020 (Com: Tel/Fax &amp; Telex)</t>
  </si>
  <si>
    <t>*1-8</t>
  </si>
  <si>
    <t>4800&gt;030 (Com: Call Centre)</t>
  </si>
  <si>
    <t>4830 (Operating leases)</t>
  </si>
  <si>
    <t>4500 (Insurance)</t>
  </si>
  <si>
    <t>4700 (Rent)</t>
  </si>
  <si>
    <t>4360 (Water and Electricity)</t>
  </si>
  <si>
    <t>4860 (Utilities)</t>
  </si>
  <si>
    <t>4865 (Rates and Taxes)</t>
  </si>
  <si>
    <t>4720 Repairs and Maintenance</t>
  </si>
  <si>
    <t>4205 (Cleaning Services)</t>
  </si>
  <si>
    <t>Municipal charges</t>
  </si>
  <si>
    <t>COMPULSARY EXPENSES</t>
  </si>
  <si>
    <t>3500 (Grant / Subsidy paid to GMT)</t>
  </si>
  <si>
    <t>4210 (Catering: Dept)</t>
  </si>
  <si>
    <t>4620 (Office supplies)</t>
  </si>
  <si>
    <t>4260 (Inv Oth Cons: Crockery &amp; Cutlery)</t>
  </si>
  <si>
    <t>4660&gt;010 (Inv Sta&amp;Prnt: IT Consumables)</t>
  </si>
  <si>
    <t>4660&gt;020 (Inv Sta&amp;Prnt: Stationary)</t>
  </si>
  <si>
    <t>4660&gt;030 (Inv Sta&amp;Prnt: Print Cartridge)</t>
  </si>
  <si>
    <t>4660&gt;040 (Inv Sta&amp;Prnt: Printing paper)</t>
  </si>
  <si>
    <t>4660&gt;050 (Inv Sta&amp;Prnt: Magazines &amp; Newspaper)</t>
  </si>
  <si>
    <t>4660&gt;060 (Inv Sta&amp;Prnt: Printing Official doc, app, ar)</t>
  </si>
  <si>
    <t>4660&gt;070 (Inv Sta&amp;Prnt: Printing Copies)</t>
  </si>
  <si>
    <t>4885 (Alcohol sample testing)</t>
  </si>
  <si>
    <t>*5-6</t>
  </si>
  <si>
    <t>5430 (Protective Clothing)</t>
  </si>
  <si>
    <t>4855 (Bursaries)</t>
  </si>
  <si>
    <t>4880 (Employee assistance)</t>
  </si>
  <si>
    <t>4840 (Training)</t>
  </si>
  <si>
    <t>INVOICES</t>
  </si>
  <si>
    <t>4230&gt;050 (C/P: L/PVT Firm: Legal Advice)</t>
  </si>
  <si>
    <t>4000 (Internal Audit)</t>
  </si>
  <si>
    <t>4230&gt;040 (C/P: Bus&amp;Adv Ser: Rese&amp;Advisor)</t>
  </si>
  <si>
    <t>4230&gt;080 (Financial Statements)</t>
  </si>
  <si>
    <t>4420&gt;020 (IT support services)</t>
  </si>
  <si>
    <t>4570 (Legal subscriptions)</t>
  </si>
  <si>
    <t>4740&gt;020 (S&amp;W Att fee iro LLT members)</t>
  </si>
  <si>
    <t>4480&gt;030 (LLT Travel km expense)</t>
  </si>
  <si>
    <t>4480&gt;040 (LLT Reimbursements)</t>
  </si>
  <si>
    <t>4480&gt;050 (Appeal Travel Expenses)</t>
  </si>
  <si>
    <t>4480&gt;060 (Appeal Reimbusement)</t>
  </si>
  <si>
    <t>4740&gt;030 (Apeal Attendance Fee)</t>
  </si>
  <si>
    <t>CMATS Upgrade and LMATS</t>
  </si>
  <si>
    <t>4775 (Strategic Planning)</t>
  </si>
  <si>
    <t>4230&gt;090 (SITA and hosting)</t>
  </si>
  <si>
    <t>Scanning Project</t>
  </si>
  <si>
    <t>4980 (Research (Baseline Liquor Outlets))</t>
  </si>
  <si>
    <t>4990 (LLT Workstudy)</t>
  </si>
  <si>
    <t>Recruitment &amp; Selection Agent</t>
  </si>
  <si>
    <t>4970 (Website update)</t>
  </si>
  <si>
    <t>4930 (Translator and transcriber services)</t>
  </si>
  <si>
    <t>4550 (Witness Fees)</t>
  </si>
  <si>
    <t>CONSULTING AND LLT</t>
  </si>
  <si>
    <t>4900&gt;010 (T&amp;S Dom: Accomodation)</t>
  </si>
  <si>
    <t>*3,5,6</t>
  </si>
  <si>
    <t>4900&gt;020 (T&amp;S Dom: Daily Allowance)</t>
  </si>
  <si>
    <t>4900&gt;050 (T&amp;S Dom: Food and Bev)</t>
  </si>
  <si>
    <t>4900&gt;060 (T&amp;S Dom: Reimbursement cost)</t>
  </si>
  <si>
    <t>4900&gt;070 (T&amp;S Dom: Without OP: Car Rent)</t>
  </si>
  <si>
    <t>4900&gt;080 (T&amp;S Dom: OP Km Al)</t>
  </si>
  <si>
    <t>4900&gt;100 (T&amp;S Dom: GG Vehicle)</t>
  </si>
  <si>
    <t>4900&gt;110 (T&amp;S Dom: Air Transport)</t>
  </si>
  <si>
    <t>*1,3,4,5,6</t>
  </si>
  <si>
    <t>S&amp;T AND GMT</t>
  </si>
  <si>
    <t>4380 (Entertain: Management)</t>
  </si>
  <si>
    <t>4490 (Recruitment expenses)</t>
  </si>
  <si>
    <t>5000&gt;010 (C/EQP&lt;R5000:COM PERIPHERAL)</t>
  </si>
  <si>
    <t>SUNDRY PAYMENTS</t>
  </si>
  <si>
    <t>OPERATING EXPENDITURE</t>
  </si>
  <si>
    <t>TOTAL OPERATIONING BUDGET</t>
  </si>
  <si>
    <t>6100&gt;020 (Comp: Hardware (Desktops, Laptops and Tablets))</t>
  </si>
  <si>
    <t>6200&gt;020 (Furniture and Fittings)</t>
  </si>
  <si>
    <t>6300&gt;020 (Motor Vehicles)</t>
  </si>
  <si>
    <t>6400&gt;020 (Office Equipment)</t>
  </si>
  <si>
    <t>6500&gt;020 (Safety and Security Equipment)</t>
  </si>
  <si>
    <t>6600&gt;020 Computer Software (Intangibles)</t>
  </si>
  <si>
    <t>7800&gt;010 (Konica (554) - K041000822)</t>
  </si>
  <si>
    <t>7800&gt;020 (Konica (554E) - A5AY041001148)</t>
  </si>
  <si>
    <t>7800&gt;020 (Konica (554E) - Other)</t>
  </si>
  <si>
    <t>8000 (Finance lease - GMT)</t>
  </si>
  <si>
    <t>8300 (Office modernisation control acc)</t>
  </si>
  <si>
    <t>System hardware (IT Infrastructure)</t>
  </si>
  <si>
    <t>TOTAL CAPITAL EXPENDITURE</t>
  </si>
  <si>
    <t>TOTAL CASH OUTFLOW</t>
  </si>
  <si>
    <t>1000&gt;010 (Fines imposed by LLT)</t>
  </si>
  <si>
    <t>1000&gt;020 (Penalty on late renewal)</t>
  </si>
  <si>
    <t>1000&gt;030 (Penalty on late pmnt of licence)</t>
  </si>
  <si>
    <t>1000&gt;040 (Penalty on condonation - Late Event/Temp app)</t>
  </si>
  <si>
    <t>1000&gt;050 (Other fines - magistrate court)</t>
  </si>
  <si>
    <t>1000&gt;060 (Copies / sales admin)</t>
  </si>
  <si>
    <t>1000&gt;070 (App fee licences)</t>
  </si>
  <si>
    <t>1000&gt;080 (Non-automatic renewal)</t>
  </si>
  <si>
    <t>1000&gt;090 (Removal (premises) app fee)</t>
  </si>
  <si>
    <t>1000&gt;100 (Removal (change premises))</t>
  </si>
  <si>
    <t>1000&gt;110 (App fee transfer of licensee)</t>
  </si>
  <si>
    <t>1000&gt;111 (App fee alteration of premises)</t>
  </si>
  <si>
    <t>1000&gt;112 (Issuing fee alteration of premises)</t>
  </si>
  <si>
    <t>1000&gt;113 (App fee amend conditions)</t>
  </si>
  <si>
    <t>1000&gt;114 (App fee proposed licensee pend lic)</t>
  </si>
  <si>
    <t>1000&gt;115 (App fee trf financial interest)</t>
  </si>
  <si>
    <t>1000&gt;116 (App to extend trading hrs)</t>
  </si>
  <si>
    <t>1000&gt;117 (App to store liquor)</t>
  </si>
  <si>
    <t>1000&gt;118 (Granting lic to sore)</t>
  </si>
  <si>
    <t>1000&gt;119 (Req reason for decision by LLT )</t>
  </si>
  <si>
    <t>1000&gt;121 (Granting of an app for exemption)</t>
  </si>
  <si>
    <t>1000&gt;122 (App fee non automatic renewal)</t>
  </si>
  <si>
    <t>1000&gt;126 (App fee cond. Approval amend)</t>
  </si>
  <si>
    <t>1000&gt;127 (Issuing fee cond.approval amend)</t>
  </si>
  <si>
    <t>1000&gt;128 (Licence issuing fee)</t>
  </si>
  <si>
    <t>1000&gt;129 (Licence fee temp &amp; event)</t>
  </si>
  <si>
    <t>1000&gt;130 (Transfer of licensee)</t>
  </si>
  <si>
    <t>1000&gt;131 (App fee temp &amp; event)</t>
  </si>
  <si>
    <t>1000&gt;132 (Issuing fee proposed licensee pend lic)</t>
  </si>
  <si>
    <t>1000&gt;133 (Issuing fee extended</t>
  </si>
  <si>
    <t>WCLA REVENUE</t>
  </si>
  <si>
    <t>3100 (Interest Received)</t>
  </si>
  <si>
    <t>1200 (Transfer from DEPT)</t>
  </si>
  <si>
    <t>Roll over from PT</t>
  </si>
  <si>
    <t>Revenue Retention</t>
  </si>
  <si>
    <t>SETA Grant</t>
  </si>
  <si>
    <t>TOTAL REVENUE</t>
  </si>
  <si>
    <t>Budget in Balance</t>
  </si>
  <si>
    <t>MONTH TO DATE</t>
  </si>
  <si>
    <t>YEAR TO DATE</t>
  </si>
  <si>
    <t>APRIL</t>
  </si>
  <si>
    <t>DEVIATION</t>
  </si>
  <si>
    <t>REASONS</t>
  </si>
  <si>
    <t>Western Cape Liquor Authority</t>
  </si>
  <si>
    <t xml:space="preserve">Monthly </t>
  </si>
  <si>
    <t>Actual to April 2019</t>
  </si>
  <si>
    <t>MAY TO MARCH</t>
  </si>
  <si>
    <t>Projected Spend to March 2020</t>
  </si>
  <si>
    <t>Budget</t>
  </si>
  <si>
    <t>Variance</t>
  </si>
  <si>
    <t>Comments</t>
  </si>
  <si>
    <t>APPROVED MAIN BUDGET 19/20</t>
  </si>
  <si>
    <t>Forecast April 2019 to March 2020</t>
  </si>
  <si>
    <t>TOTAL OPERATING BUDGET</t>
  </si>
  <si>
    <t>Approved Budget</t>
  </si>
  <si>
    <t>Budget Left</t>
  </si>
  <si>
    <t>WCLA OWN REVENUE</t>
  </si>
  <si>
    <t xml:space="preserve">FINES &amp; PENALTIES </t>
  </si>
  <si>
    <t xml:space="preserve"> LICENCE FEES </t>
  </si>
  <si>
    <t xml:space="preserve"> OTHER </t>
  </si>
  <si>
    <t>1600 SETA Grant</t>
  </si>
  <si>
    <t>CONSOLIDATED BUDGET FOR 2019/20</t>
  </si>
  <si>
    <t>NOVEMBER TO MARCH</t>
  </si>
  <si>
    <t>OCTOBER</t>
  </si>
  <si>
    <t>Actual to October 2019</t>
  </si>
  <si>
    <t>Quarter 1</t>
  </si>
  <si>
    <t>Quarter 2</t>
  </si>
  <si>
    <t>Quarter 3</t>
  </si>
  <si>
    <t>June</t>
  </si>
  <si>
    <t>Sept</t>
  </si>
  <si>
    <t>B</t>
  </si>
  <si>
    <t>E</t>
  </si>
  <si>
    <t>CEO</t>
  </si>
  <si>
    <t>CS</t>
  </si>
  <si>
    <t>CFO</t>
  </si>
  <si>
    <t>C&amp;E</t>
  </si>
  <si>
    <t>LLA</t>
  </si>
  <si>
    <t>CES</t>
  </si>
  <si>
    <t>LLT</t>
  </si>
  <si>
    <t>GB</t>
  </si>
  <si>
    <t>COMPLIANCE AND ENFORCEMENT</t>
  </si>
  <si>
    <t>Ocotber</t>
  </si>
  <si>
    <t>2020 SPEND</t>
  </si>
  <si>
    <t>BUDGET</t>
  </si>
  <si>
    <t>% SPENT</t>
  </si>
  <si>
    <t>5051 to stationary</t>
  </si>
  <si>
    <t>Moved from incentive bonus 103000</t>
  </si>
  <si>
    <t>Moved to overtime 103000</t>
  </si>
  <si>
    <t>5051 from salaries 3014 from printing copies 9526 from airtravel</t>
  </si>
  <si>
    <t>3014 to stationary</t>
  </si>
  <si>
    <t>700 to strat</t>
  </si>
  <si>
    <t>Moved to computer</t>
  </si>
  <si>
    <t xml:space="preserve">CEO </t>
  </si>
  <si>
    <t>saving on CEO and PA cost</t>
  </si>
  <si>
    <t>To be transferred CES</t>
  </si>
  <si>
    <t>Not sure why needed</t>
  </si>
  <si>
    <t>Governing Board</t>
  </si>
  <si>
    <t>CCC</t>
  </si>
  <si>
    <t>December TO MARCH</t>
  </si>
  <si>
    <t>Moved from Insurance</t>
  </si>
  <si>
    <t>Moved to Operating Leases</t>
  </si>
  <si>
    <t>moved from komika and g lease day to day</t>
  </si>
  <si>
    <t>Moved 575 from strat planning</t>
  </si>
  <si>
    <t>Moved 575 to it supp services 340to reimbursement cost 3731 to com peripheral</t>
  </si>
  <si>
    <t>moved from strat planning</t>
  </si>
  <si>
    <t>moved to rent for building 38953</t>
  </si>
  <si>
    <t>Moved to rent for building</t>
  </si>
  <si>
    <t>Additional Budget</t>
  </si>
  <si>
    <t>DEVIATION TO FINAL BUDGET</t>
  </si>
  <si>
    <t>SAVING</t>
  </si>
  <si>
    <t>OVERSPEND</t>
  </si>
  <si>
    <t>December</t>
  </si>
  <si>
    <t>Actual to December 2019</t>
  </si>
  <si>
    <t>JANUARY TO MARCH</t>
  </si>
  <si>
    <t>Governing Board Members</t>
  </si>
  <si>
    <t>Sitting</t>
  </si>
  <si>
    <t>KM Claim</t>
  </si>
  <si>
    <t>Reimbursement</t>
  </si>
  <si>
    <t>GB Meeting</t>
  </si>
  <si>
    <t>Other Meeting</t>
  </si>
  <si>
    <t>Sitting fee</t>
  </si>
  <si>
    <t>BackpaySitting fee</t>
  </si>
  <si>
    <t>Lizaane Venter</t>
  </si>
  <si>
    <t>Terence Arendse</t>
  </si>
  <si>
    <t>Undere Deglon</t>
  </si>
  <si>
    <t>Ronald Kingwill (Deputy Chairperson)</t>
  </si>
  <si>
    <t>Jocobus Louw</t>
  </si>
  <si>
    <t>Lukas Muntingh</t>
  </si>
  <si>
    <t>Dr Laurine Platzky</t>
  </si>
  <si>
    <t>Adv Thembalihle Sidaki (Chairperson)</t>
  </si>
  <si>
    <t>Rozan Jaftha</t>
  </si>
  <si>
    <t>Total Sitting Allowance per Member:</t>
  </si>
  <si>
    <t>Sitting Allowance</t>
  </si>
  <si>
    <t>KM Claims</t>
  </si>
  <si>
    <t>Reimbursements</t>
  </si>
  <si>
    <t>Contract commenced on</t>
  </si>
  <si>
    <t xml:space="preserve">Contract commenced on </t>
  </si>
  <si>
    <t>Contract commenced on 12 March 2018</t>
  </si>
  <si>
    <t>Laurine Platzky</t>
  </si>
  <si>
    <t>Thembalihle Sidaki (Chairperson)</t>
  </si>
  <si>
    <t>Total payments to GB for the 2019/2020 financial year</t>
  </si>
  <si>
    <t xml:space="preserve">Amounts reflect when the money was paid not the month the service was rendered in. </t>
  </si>
  <si>
    <t>31 March 2020</t>
  </si>
  <si>
    <t>Total Revenue</t>
  </si>
  <si>
    <t>Total Expenditure</t>
  </si>
  <si>
    <t>Total Capital Expenditure</t>
  </si>
  <si>
    <t>Budget 2019/20</t>
  </si>
  <si>
    <t>Monthly Operating Expenditure</t>
  </si>
  <si>
    <t>Period</t>
  </si>
  <si>
    <t xml:space="preserve">2019/20 Budget </t>
  </si>
  <si>
    <t>2018/19 Actuals</t>
  </si>
  <si>
    <t>2019/20 YTD (Actual)</t>
  </si>
  <si>
    <t>Operating budget</t>
  </si>
  <si>
    <t>Department</t>
  </si>
  <si>
    <t>Directorate</t>
  </si>
  <si>
    <t>Component</t>
  </si>
  <si>
    <t>Ref</t>
  </si>
  <si>
    <t xml:space="preserve"> 2018/19 Budget</t>
  </si>
  <si>
    <t>2018/19 Actual</t>
  </si>
  <si>
    <t xml:space="preserve">Variance </t>
  </si>
  <si>
    <t>Amount</t>
  </si>
  <si>
    <t>Chief Executive Officer</t>
  </si>
  <si>
    <t>Admin</t>
  </si>
  <si>
    <t>Chief Financial Officer</t>
  </si>
  <si>
    <t>Finance</t>
  </si>
  <si>
    <t>FIN</t>
  </si>
  <si>
    <t>Communication, Education and Stakeholder Relations</t>
  </si>
  <si>
    <t>Compliance and Enforcement</t>
  </si>
  <si>
    <t>CE</t>
  </si>
  <si>
    <t>Corporate Services</t>
  </si>
  <si>
    <t>Liquor Licencing Administration</t>
  </si>
  <si>
    <t xml:space="preserve">LLA </t>
  </si>
  <si>
    <t>Liquor Licencing Tribunal</t>
  </si>
  <si>
    <t>Capital Budget</t>
  </si>
  <si>
    <t>Total Budget</t>
  </si>
  <si>
    <t>Deputy Director: Communication, Education and Stakeholder Relations</t>
  </si>
  <si>
    <t>Deputy Director: Compliance and Enforcement</t>
  </si>
  <si>
    <t>Deputy Director: Corporate Services</t>
  </si>
  <si>
    <t>Deputy Director: Liquor Licencing Administration</t>
  </si>
  <si>
    <t>Adjustment budget</t>
  </si>
  <si>
    <t>January</t>
  </si>
  <si>
    <t>February to March</t>
  </si>
  <si>
    <t>Actual to January 2020</t>
  </si>
  <si>
    <t>Financial Performance 31 January 2020</t>
  </si>
  <si>
    <t>Monthly Capital Expenditure</t>
  </si>
  <si>
    <t>Total budget</t>
  </si>
  <si>
    <t xml:space="preserve"> 2019/20 Budget</t>
  </si>
  <si>
    <t>2019/20 Actual</t>
  </si>
  <si>
    <t>Savings on CFO and accountants</t>
  </si>
  <si>
    <t>moved to CES</t>
  </si>
  <si>
    <t>To Compliance</t>
  </si>
  <si>
    <t>Board approved adjustment</t>
  </si>
  <si>
    <t>Inter component and line items movement</t>
  </si>
  <si>
    <t>Original Budget</t>
  </si>
  <si>
    <t xml:space="preserve">DEVIATION </t>
  </si>
  <si>
    <t>Final Budget</t>
  </si>
  <si>
    <t>Surplus due to incorrect budget. Funds moved to overtime 754 and  15417 to accomodation 6768 to stationary. R2727 moved to alcohol sampling. R1110 moved to strategic planning</t>
  </si>
  <si>
    <t>Line item slightly underbudgeted for. Funds moved from long service awards.</t>
  </si>
  <si>
    <t>Budget error. Funds moved to stationary</t>
  </si>
  <si>
    <t xml:space="preserve">Budget error. Funds moved from incentive bonus. </t>
  </si>
  <si>
    <t>Slightly over budget. Funds moved from incentive bonus</t>
  </si>
  <si>
    <t>Budget understated. R6956 from daily allowance  R3322 from Air Transport and R15417 from incentive bonus</t>
  </si>
  <si>
    <t>Budget error. Funds moved to accommodation.</t>
  </si>
  <si>
    <t xml:space="preserve">Budget error. Funds moved to accommodation. </t>
  </si>
  <si>
    <t xml:space="preserve">Budget error. Relates to compliance notice books. Funds moved from office supplies being R21302 and R6768 from incentive bonus
R1486 moved from Paper. </t>
  </si>
  <si>
    <t>Paper shared between components.R1486 moved to stationary</t>
  </si>
  <si>
    <t>ASD: IT could not be filled</t>
  </si>
  <si>
    <t>Budget error: Overprovided</t>
  </si>
  <si>
    <t>Budget split</t>
  </si>
  <si>
    <t>The Board approved a roll-over of R3.5 million for advertisement however, R0.4 million should have been for Software as it was committed.</t>
  </si>
  <si>
    <t>Budget Split</t>
  </si>
  <si>
    <t>The Board approved a roll-over of R3.5 million for advertisement however, R10K should have been for Furniture as it was committed.</t>
  </si>
  <si>
    <t>Variation</t>
  </si>
  <si>
    <t>Comment</t>
  </si>
  <si>
    <t>Difference</t>
  </si>
  <si>
    <t>APPROVED BUDGET PER DEPARTMENT</t>
  </si>
  <si>
    <t>DIFFERENCE</t>
  </si>
  <si>
    <t>nbsdNVnvaD</t>
  </si>
  <si>
    <t>Unpaid leave for one of the inspectors</t>
  </si>
  <si>
    <t>2020/21 Budget</t>
  </si>
  <si>
    <t>2021/22 Budget</t>
  </si>
  <si>
    <t>2022/23 Budget</t>
  </si>
  <si>
    <t>Tabled Budget</t>
  </si>
  <si>
    <t>CONSOLIDATED BUDGET FOR 2020/21</t>
  </si>
  <si>
    <t>April</t>
  </si>
  <si>
    <t>*1.058</t>
  </si>
  <si>
    <t xml:space="preserve">April to March </t>
  </si>
  <si>
    <t>4740&gt;043 (S&amp;W Att fee iro members)</t>
  </si>
  <si>
    <t>4740&gt;044 (S&amp;W CTE - employees) (Total cost)</t>
  </si>
  <si>
    <t>4740&gt;045 (Workmans Compensation)</t>
  </si>
  <si>
    <t>4480&gt;046 (Board Travel Km expense)</t>
  </si>
  <si>
    <t>4480&gt;047 (Board Reimbursements)</t>
  </si>
  <si>
    <t>4800&gt;048 (Com: Cell Contracts)</t>
  </si>
  <si>
    <t>4740&gt;049 (Overtime)</t>
  </si>
  <si>
    <t>4740&gt;050 (Incentive Bonus)</t>
  </si>
  <si>
    <t>4740&gt;051 (Long Service Awards)</t>
  </si>
  <si>
    <t>4750&gt;052 (Stipends-payments)</t>
  </si>
  <si>
    <t>4050&gt;053 (Advert: Recruitment)</t>
  </si>
  <si>
    <t>4050&gt;054 (Advert: Tenders)</t>
  </si>
  <si>
    <t>4050&gt;055 (Marketing and Branding)</t>
  </si>
  <si>
    <t>4820&gt;056 (Provincial Liquor Conference)</t>
  </si>
  <si>
    <t>4790&gt;057 (Social and Educational Fund)</t>
  </si>
  <si>
    <t>4215&gt;058 (Catering for Training)</t>
  </si>
  <si>
    <t>4390&gt;059 (Events)</t>
  </si>
  <si>
    <t>4010&gt;060 (Audit Fees)</t>
  </si>
  <si>
    <t>4150&gt;061 (Bank Charges)</t>
  </si>
  <si>
    <t>4420&gt;062 (Ext: Comp Ser: SFT LCN: OF ST S)</t>
  </si>
  <si>
    <t>4640&gt;063 (Post/Stamp/Frank)</t>
  </si>
  <si>
    <t>4800&gt;064 (Com: Tel/Fax &amp; Telex)</t>
  </si>
  <si>
    <t>4800&gt;065 (Com: Call Centre)</t>
  </si>
  <si>
    <t>4830&gt;066 (Operating leases)</t>
  </si>
  <si>
    <t>4500&gt;067 (Insurance)</t>
  </si>
  <si>
    <t>4700&gt;068 (Rent)</t>
  </si>
  <si>
    <t>4360&gt;069 (Water and Electricity)</t>
  </si>
  <si>
    <t>4860&gt;070 (Utilities)</t>
  </si>
  <si>
    <t>4865&gt;071(Rates and Taxes)</t>
  </si>
  <si>
    <t>4720&gt;072 Repairs and Maintenance</t>
  </si>
  <si>
    <t>4205&gt;073 (Cleaning Services)</t>
  </si>
  <si>
    <t>3500&gt;074 (Grant / Subsidy paid to GMT)</t>
  </si>
  <si>
    <t>4210&gt;075 (Catering: Dept)</t>
  </si>
  <si>
    <t>4620&gt;076 (Office supplies)</t>
  </si>
  <si>
    <t>4260&gt;077 (Inv Oth Cons: Crockery &amp; Cutlery)</t>
  </si>
  <si>
    <t>4660&gt;078 (Inv Sta&amp;Prnt: IT Consumables)</t>
  </si>
  <si>
    <t>4660&gt;079 (Inv Sta&amp;Prnt: Stationary)</t>
  </si>
  <si>
    <t>4660&gt;080 (Inv Sta&amp;Prnt: Print Cartridge)</t>
  </si>
  <si>
    <t>4660&gt;081 (Inv Sta&amp;Prnt: Printing paper)</t>
  </si>
  <si>
    <t>4660&gt;095 (Inv Sta&amp;Prnt: Magazines &amp; Newspaper)</t>
  </si>
  <si>
    <t>4660&gt;082 (Inv Sta&amp;Prnt: Printing Official doc, app, ar)</t>
  </si>
  <si>
    <t>4660&gt;083 (Inv Sta&amp;Prnt: Printing Copies)</t>
  </si>
  <si>
    <t>4885&gt;084 (Alcohol sample testing)</t>
  </si>
  <si>
    <t>5430&gt;085 (Protective Clothing)</t>
  </si>
  <si>
    <t>4855&gt;086 (Bursaries)</t>
  </si>
  <si>
    <t>4850&gt;087 (Employee assistance)</t>
  </si>
  <si>
    <t>4840&gt;088 (Training)</t>
  </si>
  <si>
    <t>4230&gt;089 (C/P: L/PVT Firm: Legal Advice)</t>
  </si>
  <si>
    <t>4000&gt;090 (Internal Audit)</t>
  </si>
  <si>
    <t>4230&gt;091 (C/P: Bus&amp;Adv Ser: Rese&amp;Advisor)</t>
  </si>
  <si>
    <t>4230&gt;092 (Financial Statements)</t>
  </si>
  <si>
    <t>4420&gt;093 (IT support services)</t>
  </si>
  <si>
    <t>4570&gt;094 (Legal subscriptions)</t>
  </si>
  <si>
    <t>4740&gt;096 (S&amp;W Att fee iro LLT members)</t>
  </si>
  <si>
    <t>4480&gt;097 (LLT Travel km expense)</t>
  </si>
  <si>
    <t>4480&gt;098 (LLT Reimbursements)</t>
  </si>
  <si>
    <t>4480&gt;099 (Appeal Travel Expenses)</t>
  </si>
  <si>
    <t>4480&gt;100 (Appeal Reimbusement)</t>
  </si>
  <si>
    <t>4740&gt;101 (Apeal Attendance Fee)</t>
  </si>
  <si>
    <t>4775&gt;102 (Strategic Planning)</t>
  </si>
  <si>
    <t>4230&gt;103 (SITA and hosting)</t>
  </si>
  <si>
    <t>4980&gt;104 (Research (Baseline Liquor Outlets))</t>
  </si>
  <si>
    <t>4990&gt;105(LLT Workstudy)</t>
  </si>
  <si>
    <t>4970&gt;106 (Website update)</t>
  </si>
  <si>
    <t>4930&gt;107 (Translator and transcriber services)</t>
  </si>
  <si>
    <t>4550&gt;108 (Witness Fees)</t>
  </si>
  <si>
    <t>4900&gt;109 (T&amp;S Dom: Accomodation)</t>
  </si>
  <si>
    <t>4900&gt;110 (T&amp;S Dom: Daily Allowance)</t>
  </si>
  <si>
    <t>4900&gt;111 (T&amp;S Dom: Food and Bev)</t>
  </si>
  <si>
    <t>4900&gt;112 (T&amp;S Dom: Reimbursement cost)</t>
  </si>
  <si>
    <t>4900&gt;113 (T&amp;S Dom: Without OP: Car Rent)</t>
  </si>
  <si>
    <t>4900&gt;114 (T&amp;S Dom: OP Km Al)</t>
  </si>
  <si>
    <t>4900&gt;115 (T&amp;S Dom: GG Vehicle)</t>
  </si>
  <si>
    <t>4900&gt;116 (T&amp;S Dom: Air Transport)</t>
  </si>
  <si>
    <t>4380&gt;117 (Entertain: Management)</t>
  </si>
  <si>
    <t>4490&gt;118 (Recruitment expenses)</t>
  </si>
  <si>
    <t>5000&gt;119 (C/EQP&lt;R5000:COM PERIPHERAL)</t>
  </si>
  <si>
    <t>6100&gt;120 (Comp: Hardware (Desktops, Laptops and Tablets))</t>
  </si>
  <si>
    <t>6200&gt;121 (Furniture and Fittings)</t>
  </si>
  <si>
    <t>6300&gt;122 (Motor Vehicles)</t>
  </si>
  <si>
    <t>6400&gt;123 (Office Equipment)</t>
  </si>
  <si>
    <t>6500&gt;001 (Safety and Security Equipment)</t>
  </si>
  <si>
    <t>6600&gt;002 Computer Software (Intangibles)</t>
  </si>
  <si>
    <t>7800&gt;003 (Konica (554) - K041000822)</t>
  </si>
  <si>
    <t>7800&gt;004 (Konica (554E) - A5AY041001148)</t>
  </si>
  <si>
    <t>7800&gt;005 (Konica (554E) - Other)</t>
  </si>
  <si>
    <t>8000&gt;006 (Finance lease - GMT)</t>
  </si>
  <si>
    <t>8300&gt;007 (Office modernisation control acc)</t>
  </si>
  <si>
    <t>31 March 2022</t>
  </si>
  <si>
    <t>1000/008(Fines imposed by LLT/Consolidated)</t>
  </si>
  <si>
    <t>1000/009(Penalty on late renewal/Consolidated)</t>
  </si>
  <si>
    <t>1000/010(Penalty on late pmnt of licence/Consolidated)</t>
  </si>
  <si>
    <t>1000/011(Penalty on Condonation - Late Event/Temp/Consolidated)</t>
  </si>
  <si>
    <t>1000/012(Other fines - magistrate court/Consolidated)</t>
  </si>
  <si>
    <t>1000/013(Copies / sales admin/Consolidated)</t>
  </si>
  <si>
    <t>1000/014(App fee licences/Consolidated)</t>
  </si>
  <si>
    <t>1000/015(Non-automatic renewal/Consolidated)</t>
  </si>
  <si>
    <t>1000/016(Removal premises app fee/Consolidated)</t>
  </si>
  <si>
    <t>1000/017(Removal change premises/Consolidated)</t>
  </si>
  <si>
    <t>1000/018(App fee transfer of licensee/Consolidated)</t>
  </si>
  <si>
    <t>1000/019(App fee alteration of premises/Consolidated)</t>
  </si>
  <si>
    <t>1000/020(Issuing fee alteration of premises/Consolidated)</t>
  </si>
  <si>
    <t>1000/021(App fee amend conditions/Consolidated)</t>
  </si>
  <si>
    <t>1000/022(App fee proposed licensee pend lic/Consolidated)</t>
  </si>
  <si>
    <t>1000/023(App fee trf financial interest/Consolidated)</t>
  </si>
  <si>
    <t>1000/024(App to extend trading hrs/Consolidated)</t>
  </si>
  <si>
    <t>1000/025(App to store liquor/Consolidated)</t>
  </si>
  <si>
    <t>1000/026(WCLA Revenue/Granting lic to store liquor/Consolidated/Issuing Fees)</t>
  </si>
  <si>
    <t>1000/027(Req reason for decision by LLT/Consolidated)</t>
  </si>
  <si>
    <t>1000/028(Granting of an app for exemption/Consolidated)</t>
  </si>
  <si>
    <t>1000/029(App fee non automatic renewal/Consolidated)</t>
  </si>
  <si>
    <t>1000/030(App fee cond. Approval amend/Consolidated)</t>
  </si>
  <si>
    <t>1000/031(Issuing fee cond.approval amend/Consolidated)</t>
  </si>
  <si>
    <t>1000/032(Licence issuing fee/Consolidated)</t>
  </si>
  <si>
    <t>1000/033(Licence fee temp &amp; event/Consolidated)</t>
  </si>
  <si>
    <t>1000/034(Transfer of licensee/Consolidated)</t>
  </si>
  <si>
    <t>1000/035(App fee temp &amp; event/Consolidated)</t>
  </si>
  <si>
    <t>1000/036(Issuing fee proposed licensee pend lic/Consolidated)</t>
  </si>
  <si>
    <t>1000/037(Issuing fee extended/Consolidated)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</si>
</sst>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General_)"/>
    <numFmt numFmtId="167" formatCode="#,##0.0_);\(#,##0.0\)"/>
    <numFmt numFmtId="168" formatCode="0.0"/>
    <numFmt numFmtId="169" formatCode="#,##0.00_ ;\-#,##0.00\ "/>
    <numFmt numFmtId="170" formatCode="#,##0_ ;\-#,##0\ "/>
    <numFmt numFmtId="171" formatCode="0.00000000"/>
    <numFmt numFmtId="172" formatCode="_-* #,##0_-;\-* #,##0_-;_-* &quot;-&quot;??_-;_-@_-"/>
    <numFmt numFmtId="173" formatCode="_ &quot;R&quot;\ * #,##0.00_ ;_ &quot;R&quot;\ * \-#,##0.00_ ;_ &quot;R&quot;\ * &quot;-&quot;??_ ;_ @_ "/>
    <numFmt numFmtId="174" formatCode="[$-F800]dddd\,\ mmmm\ dd\,\ yyyy"/>
    <numFmt numFmtId="175" formatCode="&quot;R&quot;#,##0"/>
    <numFmt numFmtId="176" formatCode="mmm"/>
    <numFmt numFmtId="177" formatCode="0.0%"/>
    <numFmt numFmtId="178" formatCode="_ * #,##0.0_ ;_ * \-#,##0.0_ ;_ * &quot;-&quot;??_ ;_ @_ "/>
    <numFmt numFmtId="179" formatCode="_-* #,##0.0_-;\-* #,##0.0_-;_-* &quot;-&quot;??_-;_-@_-"/>
    <numFmt numFmtId="180" formatCode="_-* #,##0.000_-;\-* #,##0.000_-;_-* &quot;-&quot;?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Helv"/>
    </font>
    <font>
      <sz val="11"/>
      <color theme="0" tint="-0.34998626667073579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22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Arial"/>
      <family val="2"/>
    </font>
    <font>
      <sz val="18"/>
      <color rgb="FF000000"/>
      <name val="Calibri"/>
      <family val="2"/>
    </font>
    <font>
      <sz val="18"/>
      <color rgb="FF006100"/>
      <name val="Calibri"/>
      <family val="2"/>
    </font>
    <font>
      <sz val="18"/>
      <color rgb="FF9C0006"/>
      <name val="Calibri"/>
      <family val="2"/>
    </font>
    <font>
      <sz val="11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name val="Calibri Light"/>
      <family val="2"/>
    </font>
    <font>
      <sz val="12"/>
      <color theme="1"/>
      <name val="Calibri Light"/>
      <family val="2"/>
    </font>
    <font>
      <sz val="12"/>
      <name val="Calibri Light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22"/>
      <color theme="1"/>
      <name val="Calibri Light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48"/>
      </patternFill>
    </fill>
    <fill>
      <patternFill patternType="mediumGray">
        <fgColor indexed="9"/>
        <b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indexed="26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71B2D"/>
      </left>
      <right/>
      <top style="thin">
        <color rgb="FFB71B2D"/>
      </top>
      <bottom style="thin">
        <color rgb="FFB71B2D"/>
      </bottom>
      <diagonal/>
    </border>
    <border>
      <left/>
      <right/>
      <top style="thin">
        <color rgb="FFB71B2D"/>
      </top>
      <bottom style="thin">
        <color rgb="FFB71B2D"/>
      </bottom>
      <diagonal/>
    </border>
    <border>
      <left/>
      <right style="thin">
        <color rgb="FFB71B2D"/>
      </right>
      <top style="thin">
        <color rgb="FFB71B2D"/>
      </top>
      <bottom style="thin">
        <color rgb="FFB71B2D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8" fillId="0" borderId="0">
      <alignment horizontal="center" wrapText="1"/>
      <protection locked="0"/>
    </xf>
    <xf numFmtId="164" fontId="9" fillId="0" borderId="0" applyFont="0" applyFill="0" applyBorder="0" applyAlignment="0" applyProtection="0"/>
    <xf numFmtId="0" fontId="10" fillId="0" borderId="13" applyNumberFormat="0" applyAlignment="0" applyProtection="0">
      <alignment horizontal="left" vertical="center"/>
    </xf>
    <xf numFmtId="0" fontId="10" fillId="0" borderId="5">
      <alignment horizontal="left" vertical="center"/>
    </xf>
    <xf numFmtId="167" fontId="6" fillId="3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4" fontId="8" fillId="0" borderId="0">
      <alignment horizontal="center" wrapText="1"/>
      <protection locked="0"/>
    </xf>
    <xf numFmtId="4" fontId="11" fillId="4" borderId="14" applyNumberFormat="0" applyProtection="0">
      <alignment vertical="center"/>
    </xf>
    <xf numFmtId="4" fontId="12" fillId="4" borderId="14" applyNumberFormat="0" applyProtection="0">
      <alignment vertical="center"/>
    </xf>
    <xf numFmtId="4" fontId="13" fillId="4" borderId="14" applyNumberFormat="0" applyProtection="0">
      <alignment horizontal="left" vertical="center" indent="1"/>
    </xf>
    <xf numFmtId="0" fontId="14" fillId="4" borderId="14" applyNumberFormat="0" applyProtection="0">
      <alignment horizontal="left" vertical="top" indent="1"/>
    </xf>
    <xf numFmtId="4" fontId="11" fillId="5" borderId="0" applyNumberFormat="0" applyProtection="0">
      <alignment horizontal="left" vertical="center" wrapText="1" indent="1"/>
    </xf>
    <xf numFmtId="4" fontId="13" fillId="6" borderId="14" applyNumberFormat="0" applyProtection="0">
      <alignment horizontal="right" vertical="center"/>
    </xf>
    <xf numFmtId="4" fontId="13" fillId="7" borderId="14" applyNumberFormat="0" applyProtection="0">
      <alignment horizontal="right" vertical="center"/>
    </xf>
    <xf numFmtId="4" fontId="13" fillId="8" borderId="14" applyNumberFormat="0" applyProtection="0">
      <alignment horizontal="right" vertical="center"/>
    </xf>
    <xf numFmtId="4" fontId="13" fillId="9" borderId="14" applyNumberFormat="0" applyProtection="0">
      <alignment horizontal="right" vertical="center"/>
    </xf>
    <xf numFmtId="4" fontId="13" fillId="10" borderId="14" applyNumberFormat="0" applyProtection="0">
      <alignment horizontal="right" vertical="center"/>
    </xf>
    <xf numFmtId="4" fontId="13" fillId="11" borderId="14" applyNumberFormat="0" applyProtection="0">
      <alignment horizontal="right" vertical="center"/>
    </xf>
    <xf numFmtId="4" fontId="13" fillId="12" borderId="14" applyNumberFormat="0" applyProtection="0">
      <alignment horizontal="right" vertical="center"/>
    </xf>
    <xf numFmtId="4" fontId="13" fillId="13" borderId="14" applyNumberFormat="0" applyProtection="0">
      <alignment horizontal="right" vertical="center"/>
    </xf>
    <xf numFmtId="4" fontId="13" fillId="14" borderId="14" applyNumberFormat="0" applyProtection="0">
      <alignment horizontal="right" vertical="center"/>
    </xf>
    <xf numFmtId="4" fontId="11" fillId="15" borderId="15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1" fillId="17" borderId="0" applyNumberFormat="0" applyProtection="0">
      <alignment horizontal="left" vertical="center" indent="1"/>
    </xf>
    <xf numFmtId="4" fontId="13" fillId="18" borderId="14" applyNumberFormat="0" applyProtection="0">
      <alignment horizontal="right" vertical="center"/>
    </xf>
    <xf numFmtId="4" fontId="15" fillId="19" borderId="16" applyNumberFormat="0" applyProtection="0">
      <alignment horizontal="left" vertical="center" indent="1"/>
    </xf>
    <xf numFmtId="4" fontId="15" fillId="20" borderId="17" applyNumberFormat="0" applyProtection="0">
      <alignment horizontal="left" vertical="center" indent="1"/>
    </xf>
    <xf numFmtId="0" fontId="9" fillId="17" borderId="14" applyNumberFormat="0" applyProtection="0">
      <alignment horizontal="left" vertical="center" indent="1"/>
    </xf>
    <xf numFmtId="0" fontId="9" fillId="17" borderId="14" applyNumberFormat="0" applyProtection="0">
      <alignment horizontal="left" vertical="top" indent="1"/>
    </xf>
    <xf numFmtId="0" fontId="9" fillId="17" borderId="14" applyNumberFormat="0" applyProtection="0">
      <alignment horizontal="left" vertical="top" indent="1"/>
    </xf>
    <xf numFmtId="0" fontId="9" fillId="21" borderId="14" applyNumberFormat="0" applyProtection="0">
      <alignment horizontal="left" vertical="center" indent="1"/>
    </xf>
    <xf numFmtId="0" fontId="9" fillId="21" borderId="14" applyNumberFormat="0" applyProtection="0">
      <alignment horizontal="left" vertical="top" indent="1"/>
    </xf>
    <xf numFmtId="0" fontId="9" fillId="22" borderId="14" applyNumberFormat="0" applyProtection="0">
      <alignment horizontal="left" vertical="center" indent="1"/>
    </xf>
    <xf numFmtId="0" fontId="9" fillId="22" borderId="14" applyNumberFormat="0" applyProtection="0">
      <alignment horizontal="left" vertical="top" indent="1"/>
    </xf>
    <xf numFmtId="0" fontId="9" fillId="23" borderId="14" applyNumberFormat="0" applyProtection="0">
      <alignment horizontal="left" vertical="center" indent="1"/>
    </xf>
    <xf numFmtId="0" fontId="9" fillId="23" borderId="14" applyNumberFormat="0" applyProtection="0">
      <alignment horizontal="left" vertical="top" indent="1"/>
    </xf>
    <xf numFmtId="4" fontId="13" fillId="23" borderId="14" applyNumberFormat="0" applyProtection="0">
      <alignment vertical="center"/>
    </xf>
    <xf numFmtId="4" fontId="16" fillId="23" borderId="14" applyNumberFormat="0" applyProtection="0">
      <alignment vertical="center"/>
    </xf>
    <xf numFmtId="4" fontId="11" fillId="22" borderId="18" applyNumberFormat="0" applyProtection="0">
      <alignment horizontal="left" vertical="center" indent="1"/>
    </xf>
    <xf numFmtId="0" fontId="15" fillId="24" borderId="14" applyNumberFormat="0" applyProtection="0">
      <alignment horizontal="left" vertical="top" indent="1"/>
    </xf>
    <xf numFmtId="4" fontId="13" fillId="0" borderId="14" applyNumberFormat="0" applyProtection="0">
      <alignment horizontal="right" vertical="center"/>
    </xf>
    <xf numFmtId="4" fontId="16" fillId="25" borderId="14" applyNumberFormat="0" applyProtection="0">
      <alignment horizontal="right" vertical="center"/>
    </xf>
    <xf numFmtId="4" fontId="11" fillId="26" borderId="14" applyNumberFormat="0" applyProtection="0">
      <alignment horizontal="left" vertical="center" wrapText="1" indent="1"/>
    </xf>
    <xf numFmtId="0" fontId="15" fillId="21" borderId="14" applyNumberFormat="0" applyProtection="0">
      <alignment horizontal="left" vertical="top" indent="1"/>
    </xf>
    <xf numFmtId="4" fontId="17" fillId="0" borderId="0" applyNumberFormat="0" applyProtection="0">
      <alignment horizontal="left" vertical="center" indent="1"/>
    </xf>
    <xf numFmtId="4" fontId="18" fillId="20" borderId="14" applyNumberFormat="0" applyProtection="0">
      <alignment horizontal="right" vertical="center"/>
    </xf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22" applyNumberFormat="0" applyAlignment="0" applyProtection="0"/>
    <xf numFmtId="0" fontId="27" fillId="31" borderId="23" applyNumberFormat="0" applyAlignment="0" applyProtection="0"/>
    <xf numFmtId="0" fontId="28" fillId="31" borderId="22" applyNumberFormat="0" applyAlignment="0" applyProtection="0"/>
    <xf numFmtId="0" fontId="29" fillId="0" borderId="24" applyNumberFormat="0" applyFill="0" applyAlignment="0" applyProtection="0"/>
    <xf numFmtId="0" fontId="30" fillId="32" borderId="25" applyNumberFormat="0" applyAlignment="0" applyProtection="0"/>
    <xf numFmtId="0" fontId="31" fillId="0" borderId="0" applyNumberFormat="0" applyFill="0" applyBorder="0" applyAlignment="0" applyProtection="0"/>
    <xf numFmtId="0" fontId="1" fillId="33" borderId="26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9" fillId="0" borderId="0"/>
    <xf numFmtId="0" fontId="55" fillId="0" borderId="0"/>
    <xf numFmtId="43" fontId="1" fillId="0" borderId="0" applyFont="0" applyFill="0" applyBorder="0" applyAlignment="0" applyProtection="0"/>
    <xf numFmtId="174" fontId="1" fillId="0" borderId="0"/>
  </cellStyleXfs>
  <cellXfs count="442">
    <xf numFmtId="0" fontId="0" fillId="0" borderId="0" xfId="0"/>
    <xf numFmtId="0" fontId="2" fillId="0" borderId="0" xfId="0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9" fontId="2" fillId="0" borderId="0" xfId="2" applyFont="1" applyBorder="1" applyAlignment="1">
      <alignment vertical="center"/>
    </xf>
    <xf numFmtId="165" fontId="3" fillId="2" borderId="4" xfId="1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5" fontId="2" fillId="0" borderId="2" xfId="1" applyNumberFormat="1" applyFont="1" applyFill="1" applyBorder="1" applyAlignment="1">
      <alignment vertical="center"/>
    </xf>
    <xf numFmtId="165" fontId="2" fillId="0" borderId="3" xfId="1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6" fontId="5" fillId="0" borderId="4" xfId="3" applyNumberFormat="1" applyFont="1" applyBorder="1" applyAlignment="1" applyProtection="1">
      <alignment horizontal="center" vertical="center" wrapText="1"/>
    </xf>
    <xf numFmtId="165" fontId="2" fillId="0" borderId="1" xfId="1" applyNumberFormat="1" applyFont="1" applyFill="1" applyBorder="1" applyAlignment="1">
      <alignment vertical="center"/>
    </xf>
    <xf numFmtId="165" fontId="7" fillId="0" borderId="0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/>
    <xf numFmtId="164" fontId="2" fillId="0" borderId="0" xfId="0" applyNumberFormat="1" applyFont="1" applyBorder="1" applyAlignment="1">
      <alignment vertical="center"/>
    </xf>
    <xf numFmtId="0" fontId="35" fillId="0" borderId="31" xfId="0" applyFont="1" applyBorder="1" applyAlignment="1">
      <alignment horizontal="center" vertical="center" wrapText="1" readingOrder="1"/>
    </xf>
    <xf numFmtId="0" fontId="36" fillId="0" borderId="32" xfId="0" applyFont="1" applyBorder="1" applyAlignment="1">
      <alignment horizontal="center" vertical="center" wrapText="1" readingOrder="1"/>
    </xf>
    <xf numFmtId="0" fontId="36" fillId="0" borderId="33" xfId="0" applyFont="1" applyBorder="1" applyAlignment="1">
      <alignment horizontal="center" vertical="center" wrapText="1" readingOrder="1"/>
    </xf>
    <xf numFmtId="0" fontId="36" fillId="0" borderId="31" xfId="0" applyFont="1" applyBorder="1" applyAlignment="1">
      <alignment horizontal="center" vertical="center" wrapText="1" readingOrder="1"/>
    </xf>
    <xf numFmtId="168" fontId="37" fillId="0" borderId="32" xfId="0" applyNumberFormat="1" applyFont="1" applyBorder="1" applyAlignment="1">
      <alignment horizontal="center" vertical="center" wrapText="1" readingOrder="1"/>
    </xf>
    <xf numFmtId="168" fontId="38" fillId="0" borderId="32" xfId="0" applyNumberFormat="1" applyFont="1" applyBorder="1" applyAlignment="1">
      <alignment horizontal="center" vertical="center" wrapText="1" readingOrder="1"/>
    </xf>
    <xf numFmtId="0" fontId="39" fillId="0" borderId="30" xfId="0" applyFont="1" applyBorder="1" applyAlignment="1">
      <alignment horizontal="center" vertical="center"/>
    </xf>
    <xf numFmtId="165" fontId="39" fillId="0" borderId="0" xfId="1" applyNumberFormat="1" applyFont="1" applyBorder="1" applyAlignment="1">
      <alignment vertical="center"/>
    </xf>
    <xf numFmtId="165" fontId="39" fillId="0" borderId="30" xfId="1" applyNumberFormat="1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164" fontId="39" fillId="0" borderId="0" xfId="1" applyFont="1" applyBorder="1" applyAlignment="1">
      <alignment vertical="center"/>
    </xf>
    <xf numFmtId="164" fontId="39" fillId="0" borderId="0" xfId="0" applyNumberFormat="1" applyFont="1" applyBorder="1" applyAlignment="1">
      <alignment vertical="center"/>
    </xf>
    <xf numFmtId="166" fontId="41" fillId="0" borderId="6" xfId="3" applyNumberFormat="1" applyFont="1" applyBorder="1" applyAlignment="1" applyProtection="1">
      <alignment horizontal="center" vertical="center" wrapText="1"/>
    </xf>
    <xf numFmtId="166" fontId="41" fillId="0" borderId="10" xfId="3" applyNumberFormat="1" applyFont="1" applyBorder="1" applyAlignment="1" applyProtection="1">
      <alignment horizontal="center" vertical="center" wrapText="1"/>
    </xf>
    <xf numFmtId="165" fontId="42" fillId="0" borderId="0" xfId="1" applyNumberFormat="1" applyFont="1" applyBorder="1" applyAlignment="1">
      <alignment vertical="center"/>
    </xf>
    <xf numFmtId="3" fontId="42" fillId="0" borderId="3" xfId="1" applyNumberFormat="1" applyFont="1" applyFill="1" applyBorder="1" applyAlignment="1">
      <alignment horizontal="center" vertical="center"/>
    </xf>
    <xf numFmtId="165" fontId="42" fillId="58" borderId="4" xfId="1" applyNumberFormat="1" applyFont="1" applyFill="1" applyBorder="1" applyAlignment="1">
      <alignment horizontal="center" vertical="center"/>
    </xf>
    <xf numFmtId="3" fontId="40" fillId="58" borderId="4" xfId="1" applyNumberFormat="1" applyFont="1" applyFill="1" applyBorder="1" applyAlignment="1">
      <alignment horizontal="center" vertical="center"/>
    </xf>
    <xf numFmtId="165" fontId="41" fillId="58" borderId="4" xfId="1" applyNumberFormat="1" applyFont="1" applyFill="1" applyBorder="1" applyAlignment="1">
      <alignment horizontal="center" vertical="center"/>
    </xf>
    <xf numFmtId="3" fontId="42" fillId="0" borderId="0" xfId="0" applyNumberFormat="1" applyFont="1" applyBorder="1" applyAlignment="1">
      <alignment horizontal="center" vertical="center"/>
    </xf>
    <xf numFmtId="3" fontId="40" fillId="0" borderId="4" xfId="1" applyNumberFormat="1" applyFont="1" applyBorder="1" applyAlignment="1">
      <alignment horizontal="center" vertical="center"/>
    </xf>
    <xf numFmtId="165" fontId="40" fillId="58" borderId="4" xfId="1" applyNumberFormat="1" applyFont="1" applyFill="1" applyBorder="1" applyAlignment="1">
      <alignment horizontal="center" vertical="center"/>
    </xf>
    <xf numFmtId="165" fontId="42" fillId="58" borderId="9" xfId="1" applyNumberFormat="1" applyFont="1" applyFill="1" applyBorder="1" applyAlignment="1">
      <alignment horizontal="center" vertical="center"/>
    </xf>
    <xf numFmtId="3" fontId="42" fillId="0" borderId="2" xfId="1" applyNumberFormat="1" applyFont="1" applyFill="1" applyBorder="1" applyAlignment="1">
      <alignment horizontal="center" vertical="center"/>
    </xf>
    <xf numFmtId="165" fontId="43" fillId="58" borderId="8" xfId="1" applyNumberFormat="1" applyFont="1" applyFill="1" applyBorder="1" applyAlignment="1">
      <alignment horizontal="center" vertical="center"/>
    </xf>
    <xf numFmtId="165" fontId="43" fillId="58" borderId="7" xfId="1" applyNumberFormat="1" applyFont="1" applyFill="1" applyBorder="1" applyAlignment="1">
      <alignment horizontal="center" vertical="center"/>
    </xf>
    <xf numFmtId="0" fontId="42" fillId="0" borderId="5" xfId="0" applyFont="1" applyBorder="1" applyAlignment="1">
      <alignment vertical="center"/>
    </xf>
    <xf numFmtId="166" fontId="41" fillId="0" borderId="4" xfId="3" applyNumberFormat="1" applyFont="1" applyBorder="1" applyAlignment="1" applyProtection="1">
      <alignment horizontal="center" vertical="center" wrapText="1"/>
    </xf>
    <xf numFmtId="0" fontId="40" fillId="0" borderId="4" xfId="0" applyFont="1" applyBorder="1" applyAlignment="1">
      <alignment horizontal="center" vertical="center"/>
    </xf>
    <xf numFmtId="3" fontId="42" fillId="0" borderId="1" xfId="1" applyNumberFormat="1" applyFont="1" applyFill="1" applyBorder="1" applyAlignment="1">
      <alignment horizontal="center" vertical="center"/>
    </xf>
    <xf numFmtId="3" fontId="42" fillId="0" borderId="4" xfId="1" applyNumberFormat="1" applyFont="1" applyBorder="1" applyAlignment="1">
      <alignment horizontal="center" vertical="center"/>
    </xf>
    <xf numFmtId="164" fontId="40" fillId="58" borderId="4" xfId="1" applyFont="1" applyFill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169" fontId="42" fillId="0" borderId="4" xfId="1" applyNumberFormat="1" applyFont="1" applyBorder="1" applyAlignment="1">
      <alignment horizontal="center" vertical="center"/>
    </xf>
    <xf numFmtId="164" fontId="40" fillId="58" borderId="4" xfId="1" applyNumberFormat="1" applyFont="1" applyFill="1" applyBorder="1" applyAlignment="1">
      <alignment horizontal="center" vertical="center"/>
    </xf>
    <xf numFmtId="170" fontId="42" fillId="0" borderId="4" xfId="1" applyNumberFormat="1" applyFont="1" applyBorder="1" applyAlignment="1">
      <alignment horizontal="center" vertical="center"/>
    </xf>
    <xf numFmtId="17" fontId="40" fillId="59" borderId="6" xfId="0" applyNumberFormat="1" applyFont="1" applyFill="1" applyBorder="1" applyAlignment="1">
      <alignment horizontal="center" vertical="center"/>
    </xf>
    <xf numFmtId="166" fontId="41" fillId="59" borderId="6" xfId="3" applyNumberFormat="1" applyFont="1" applyFill="1" applyBorder="1" applyAlignment="1" applyProtection="1">
      <alignment horizontal="center" vertical="center" wrapText="1"/>
    </xf>
    <xf numFmtId="166" fontId="41" fillId="59" borderId="10" xfId="3" applyNumberFormat="1" applyFont="1" applyFill="1" applyBorder="1" applyAlignment="1" applyProtection="1">
      <alignment horizontal="center" vertical="center" wrapText="1"/>
    </xf>
    <xf numFmtId="3" fontId="42" fillId="59" borderId="3" xfId="1" applyNumberFormat="1" applyFont="1" applyFill="1" applyBorder="1" applyAlignment="1">
      <alignment horizontal="center" vertical="center"/>
    </xf>
    <xf numFmtId="3" fontId="40" fillId="59" borderId="4" xfId="1" applyNumberFormat="1" applyFont="1" applyFill="1" applyBorder="1" applyAlignment="1">
      <alignment horizontal="center" vertical="center"/>
    </xf>
    <xf numFmtId="3" fontId="42" fillId="59" borderId="2" xfId="1" applyNumberFormat="1" applyFont="1" applyFill="1" applyBorder="1" applyAlignment="1">
      <alignment horizontal="center" vertical="center"/>
    </xf>
    <xf numFmtId="166" fontId="41" fillId="59" borderId="4" xfId="3" applyNumberFormat="1" applyFont="1" applyFill="1" applyBorder="1" applyAlignment="1" applyProtection="1">
      <alignment horizontal="center" vertical="center" wrapText="1"/>
    </xf>
    <xf numFmtId="3" fontId="42" fillId="59" borderId="1" xfId="1" applyNumberFormat="1" applyFont="1" applyFill="1" applyBorder="1" applyAlignment="1">
      <alignment horizontal="center" vertical="center"/>
    </xf>
    <xf numFmtId="3" fontId="42" fillId="59" borderId="4" xfId="1" applyNumberFormat="1" applyFont="1" applyFill="1" applyBorder="1" applyAlignment="1">
      <alignment horizontal="center" vertical="center"/>
    </xf>
    <xf numFmtId="170" fontId="42" fillId="59" borderId="4" xfId="1" applyNumberFormat="1" applyFont="1" applyFill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7" fontId="40" fillId="59" borderId="3" xfId="0" applyNumberFormat="1" applyFont="1" applyFill="1" applyBorder="1" applyAlignment="1">
      <alignment horizontal="center" vertical="center"/>
    </xf>
    <xf numFmtId="166" fontId="41" fillId="59" borderId="3" xfId="3" applyNumberFormat="1" applyFont="1" applyFill="1" applyBorder="1" applyAlignment="1" applyProtection="1">
      <alignment horizontal="center" vertical="center" wrapText="1"/>
    </xf>
    <xf numFmtId="166" fontId="41" fillId="59" borderId="1" xfId="3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17" fontId="40" fillId="58" borderId="6" xfId="0" applyNumberFormat="1" applyFont="1" applyFill="1" applyBorder="1" applyAlignment="1">
      <alignment horizontal="center" vertical="center"/>
    </xf>
    <xf numFmtId="0" fontId="35" fillId="0" borderId="32" xfId="0" applyFont="1" applyBorder="1" applyAlignment="1">
      <alignment horizontal="center" vertical="center" wrapText="1" readingOrder="1"/>
    </xf>
    <xf numFmtId="164" fontId="47" fillId="0" borderId="0" xfId="1" applyFont="1" applyFill="1" applyAlignment="1">
      <alignment horizontal="center" wrapText="1"/>
    </xf>
    <xf numFmtId="164" fontId="47" fillId="0" borderId="0" xfId="1" applyNumberFormat="1" applyFont="1" applyFill="1" applyAlignment="1">
      <alignment horizontal="center" wrapText="1"/>
    </xf>
    <xf numFmtId="170" fontId="48" fillId="0" borderId="0" xfId="1" applyNumberFormat="1" applyFont="1" applyFill="1"/>
    <xf numFmtId="164" fontId="48" fillId="0" borderId="0" xfId="1" applyFont="1" applyFill="1"/>
    <xf numFmtId="10" fontId="48" fillId="0" borderId="0" xfId="2" applyNumberFormat="1" applyFont="1" applyFill="1"/>
    <xf numFmtId="164" fontId="51" fillId="0" borderId="0" xfId="1" applyFont="1" applyFill="1" applyAlignment="1" applyProtection="1">
      <alignment horizontal="left" vertical="top"/>
      <protection locked="0"/>
    </xf>
    <xf numFmtId="164" fontId="51" fillId="0" borderId="0" xfId="1" applyFont="1" applyFill="1"/>
    <xf numFmtId="164" fontId="51" fillId="0" borderId="0" xfId="1" applyNumberFormat="1" applyFont="1" applyFill="1"/>
    <xf numFmtId="164" fontId="50" fillId="0" borderId="0" xfId="1" applyFont="1" applyFill="1" applyBorder="1"/>
    <xf numFmtId="10" fontId="50" fillId="0" borderId="0" xfId="2" applyNumberFormat="1" applyFont="1" applyFill="1" applyBorder="1"/>
    <xf numFmtId="164" fontId="51" fillId="0" borderId="0" xfId="1" applyNumberFormat="1" applyFont="1" applyFill="1" applyBorder="1"/>
    <xf numFmtId="164" fontId="51" fillId="0" borderId="0" xfId="1" applyFont="1" applyFill="1" applyBorder="1"/>
    <xf numFmtId="164" fontId="50" fillId="0" borderId="0" xfId="1" applyFont="1" applyFill="1"/>
    <xf numFmtId="10" fontId="50" fillId="0" borderId="0" xfId="2" applyNumberFormat="1" applyFont="1" applyFill="1"/>
    <xf numFmtId="164" fontId="51" fillId="0" borderId="40" xfId="1" applyFont="1" applyFill="1" applyBorder="1"/>
    <xf numFmtId="164" fontId="51" fillId="0" borderId="40" xfId="1" applyNumberFormat="1" applyFont="1" applyFill="1" applyBorder="1"/>
    <xf numFmtId="164" fontId="50" fillId="0" borderId="40" xfId="1" applyFont="1" applyFill="1" applyBorder="1"/>
    <xf numFmtId="10" fontId="50" fillId="0" borderId="40" xfId="2" applyNumberFormat="1" applyFont="1" applyFill="1" applyBorder="1"/>
    <xf numFmtId="164" fontId="54" fillId="0" borderId="40" xfId="1" applyFont="1" applyFill="1" applyBorder="1"/>
    <xf numFmtId="164" fontId="54" fillId="0" borderId="40" xfId="1" applyNumberFormat="1" applyFont="1" applyFill="1" applyBorder="1"/>
    <xf numFmtId="164" fontId="9" fillId="0" borderId="0" xfId="1" applyFont="1" applyFill="1"/>
    <xf numFmtId="3" fontId="48" fillId="0" borderId="0" xfId="1" applyNumberFormat="1" applyFont="1" applyFill="1"/>
    <xf numFmtId="3" fontId="48" fillId="0" borderId="0" xfId="1" applyNumberFormat="1" applyFont="1" applyFill="1" applyBorder="1"/>
    <xf numFmtId="164" fontId="48" fillId="0" borderId="0" xfId="1" applyFont="1" applyFill="1" applyBorder="1"/>
    <xf numFmtId="164" fontId="1" fillId="0" borderId="0" xfId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164" fontId="33" fillId="0" borderId="0" xfId="1" applyFont="1" applyFill="1" applyBorder="1" applyAlignment="1">
      <alignment horizontal="right"/>
    </xf>
    <xf numFmtId="164" fontId="33" fillId="0" borderId="0" xfId="1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4" fontId="0" fillId="0" borderId="0" xfId="0" applyNumberFormat="1" applyFont="1" applyFill="1" applyBorder="1"/>
    <xf numFmtId="0" fontId="48" fillId="0" borderId="0" xfId="1" applyNumberFormat="1" applyFont="1" applyFill="1"/>
    <xf numFmtId="164" fontId="48" fillId="0" borderId="0" xfId="1" applyNumberFormat="1" applyFont="1" applyFill="1"/>
    <xf numFmtId="0" fontId="49" fillId="0" borderId="0" xfId="1" applyNumberFormat="1" applyFont="1" applyFill="1" applyAlignment="1">
      <alignment horizontal="center" wrapText="1"/>
    </xf>
    <xf numFmtId="0" fontId="51" fillId="0" borderId="0" xfId="1" applyNumberFormat="1" applyFont="1" applyFill="1" applyAlignment="1" applyProtection="1">
      <alignment horizontal="center" vertical="top"/>
      <protection locked="0"/>
    </xf>
    <xf numFmtId="0" fontId="53" fillId="0" borderId="0" xfId="1" applyNumberFormat="1" applyFont="1" applyFill="1" applyAlignment="1">
      <alignment horizontal="center"/>
    </xf>
    <xf numFmtId="0" fontId="51" fillId="0" borderId="0" xfId="1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center"/>
    </xf>
    <xf numFmtId="0" fontId="44" fillId="0" borderId="0" xfId="0" applyNumberFormat="1" applyFont="1" applyFill="1" applyAlignment="1">
      <alignment horizontal="center"/>
    </xf>
    <xf numFmtId="0" fontId="51" fillId="0" borderId="0" xfId="1" applyNumberFormat="1" applyFont="1" applyFill="1"/>
    <xf numFmtId="0" fontId="52" fillId="0" borderId="0" xfId="1" applyNumberFormat="1" applyFont="1" applyFill="1" applyAlignment="1" applyProtection="1">
      <alignment horizontal="center" vertical="top"/>
      <protection locked="0"/>
    </xf>
    <xf numFmtId="0" fontId="51" fillId="0" borderId="0" xfId="1" applyNumberFormat="1" applyFont="1" applyFill="1" applyAlignment="1" applyProtection="1">
      <alignment horizontal="left" vertical="top"/>
      <protection locked="0"/>
    </xf>
    <xf numFmtId="0" fontId="33" fillId="0" borderId="0" xfId="0" applyFont="1" applyFill="1" applyBorder="1"/>
    <xf numFmtId="9" fontId="50" fillId="0" borderId="0" xfId="2" applyFont="1" applyFill="1"/>
    <xf numFmtId="164" fontId="47" fillId="0" borderId="0" xfId="1" applyFont="1" applyFill="1" applyAlignment="1">
      <alignment horizontal="left" wrapText="1"/>
    </xf>
    <xf numFmtId="164" fontId="48" fillId="0" borderId="0" xfId="1" applyFont="1" applyFill="1" applyAlignment="1">
      <alignment horizontal="left"/>
    </xf>
    <xf numFmtId="164" fontId="51" fillId="0" borderId="0" xfId="1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2" fillId="2" borderId="4" xfId="0" applyFont="1" applyFill="1" applyBorder="1" applyAlignment="1">
      <alignment vertical="center"/>
    </xf>
    <xf numFmtId="17" fontId="3" fillId="2" borderId="4" xfId="0" applyNumberFormat="1" applyFont="1" applyFill="1" applyBorder="1" applyAlignment="1">
      <alignment horizontal="center" vertical="center"/>
    </xf>
    <xf numFmtId="164" fontId="46" fillId="0" borderId="0" xfId="1" applyFont="1" applyFill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164" fontId="46" fillId="0" borderId="0" xfId="1" applyFont="1" applyFill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" fontId="3" fillId="61" borderId="4" xfId="0" applyNumberFormat="1" applyFont="1" applyFill="1" applyBorder="1" applyAlignment="1">
      <alignment horizontal="center" vertical="center" wrapText="1"/>
    </xf>
    <xf numFmtId="166" fontId="5" fillId="61" borderId="4" xfId="3" quotePrefix="1" applyNumberFormat="1" applyFont="1" applyFill="1" applyBorder="1" applyAlignment="1" applyProtection="1">
      <alignment horizontal="center" vertical="center" wrapText="1"/>
    </xf>
    <xf numFmtId="165" fontId="3" fillId="61" borderId="4" xfId="1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17" fontId="3" fillId="2" borderId="12" xfId="0" applyNumberFormat="1" applyFont="1" applyFill="1" applyBorder="1" applyAlignment="1">
      <alignment horizontal="center" vertical="center"/>
    </xf>
    <xf numFmtId="17" fontId="3" fillId="2" borderId="11" xfId="0" applyNumberFormat="1" applyFont="1" applyFill="1" applyBorder="1" applyAlignment="1">
      <alignment horizontal="center" vertical="center"/>
    </xf>
    <xf numFmtId="166" fontId="5" fillId="0" borderId="11" xfId="3" quotePrefix="1" applyNumberFormat="1" applyFont="1" applyBorder="1" applyAlignment="1" applyProtection="1">
      <alignment horizontal="center" vertical="center" wrapText="1"/>
    </xf>
    <xf numFmtId="165" fontId="2" fillId="0" borderId="9" xfId="1" applyNumberFormat="1" applyFont="1" applyFill="1" applyBorder="1" applyAlignment="1">
      <alignment vertical="center"/>
    </xf>
    <xf numFmtId="165" fontId="2" fillId="0" borderId="8" xfId="1" applyNumberFormat="1" applyFont="1" applyFill="1" applyBorder="1" applyAlignment="1">
      <alignment vertical="center"/>
    </xf>
    <xf numFmtId="165" fontId="2" fillId="0" borderId="7" xfId="1" applyNumberFormat="1" applyFont="1" applyFill="1" applyBorder="1" applyAlignment="1">
      <alignment vertical="center"/>
    </xf>
    <xf numFmtId="165" fontId="3" fillId="2" borderId="11" xfId="1" applyNumberFormat="1" applyFont="1" applyFill="1" applyBorder="1" applyAlignment="1">
      <alignment vertical="center"/>
    </xf>
    <xf numFmtId="164" fontId="46" fillId="61" borderId="4" xfId="1" applyFont="1" applyFill="1" applyBorder="1" applyAlignment="1">
      <alignment horizontal="center" wrapText="1"/>
    </xf>
    <xf numFmtId="164" fontId="47" fillId="61" borderId="4" xfId="1" applyFont="1" applyFill="1" applyBorder="1" applyAlignment="1">
      <alignment horizontal="center" wrapText="1"/>
    </xf>
    <xf numFmtId="0" fontId="2" fillId="61" borderId="4" xfId="0" applyFont="1" applyFill="1" applyBorder="1" applyAlignment="1">
      <alignment vertical="center"/>
    </xf>
    <xf numFmtId="165" fontId="2" fillId="61" borderId="4" xfId="1" applyNumberFormat="1" applyFont="1" applyFill="1" applyBorder="1" applyAlignment="1">
      <alignment vertical="center"/>
    </xf>
    <xf numFmtId="164" fontId="51" fillId="61" borderId="4" xfId="1" applyFont="1" applyFill="1" applyBorder="1"/>
    <xf numFmtId="164" fontId="54" fillId="61" borderId="4" xfId="1" applyFont="1" applyFill="1" applyBorder="1"/>
    <xf numFmtId="164" fontId="1" fillId="61" borderId="4" xfId="1" applyFont="1" applyFill="1" applyBorder="1" applyAlignment="1">
      <alignment horizontal="right"/>
    </xf>
    <xf numFmtId="164" fontId="33" fillId="61" borderId="4" xfId="1" applyFont="1" applyFill="1" applyBorder="1" applyAlignment="1">
      <alignment horizontal="right"/>
    </xf>
    <xf numFmtId="3" fontId="0" fillId="61" borderId="4" xfId="0" applyNumberFormat="1" applyFont="1" applyFill="1" applyBorder="1" applyAlignment="1">
      <alignment horizontal="right"/>
    </xf>
    <xf numFmtId="0" fontId="0" fillId="61" borderId="4" xfId="0" applyFont="1" applyFill="1" applyBorder="1" applyAlignment="1">
      <alignment horizontal="right"/>
    </xf>
    <xf numFmtId="0" fontId="0" fillId="61" borderId="4" xfId="0" applyFont="1" applyFill="1" applyBorder="1"/>
    <xf numFmtId="0" fontId="48" fillId="61" borderId="4" xfId="1" applyNumberFormat="1" applyFont="1" applyFill="1" applyBorder="1"/>
    <xf numFmtId="0" fontId="3" fillId="2" borderId="4" xfId="0" applyFont="1" applyFill="1" applyBorder="1" applyAlignment="1">
      <alignment horizontal="center" vertical="center"/>
    </xf>
    <xf numFmtId="171" fontId="0" fillId="0" borderId="0" xfId="0" applyNumberFormat="1"/>
    <xf numFmtId="2" fontId="0" fillId="0" borderId="0" xfId="0" applyNumberFormat="1"/>
    <xf numFmtId="9" fontId="2" fillId="0" borderId="3" xfId="2" applyFont="1" applyFill="1" applyBorder="1" applyAlignment="1">
      <alignment vertical="center"/>
    </xf>
    <xf numFmtId="9" fontId="2" fillId="0" borderId="2" xfId="2" applyFont="1" applyFill="1" applyBorder="1" applyAlignment="1">
      <alignment vertical="center"/>
    </xf>
    <xf numFmtId="9" fontId="2" fillId="0" borderId="1" xfId="2" applyFont="1" applyFill="1" applyBorder="1" applyAlignment="1">
      <alignment vertical="center"/>
    </xf>
    <xf numFmtId="9" fontId="50" fillId="0" borderId="0" xfId="2" applyFont="1" applyFill="1" applyBorder="1"/>
    <xf numFmtId="9" fontId="3" fillId="2" borderId="4" xfId="2" applyFont="1" applyFill="1" applyBorder="1" applyAlignment="1">
      <alignment vertical="center"/>
    </xf>
    <xf numFmtId="9" fontId="50" fillId="0" borderId="40" xfId="2" applyFont="1" applyFill="1" applyBorder="1"/>
    <xf numFmtId="9" fontId="48" fillId="0" borderId="0" xfId="2" applyFont="1" applyFill="1"/>
    <xf numFmtId="17" fontId="3" fillId="2" borderId="4" xfId="2" applyNumberFormat="1" applyFont="1" applyFill="1" applyBorder="1" applyAlignment="1">
      <alignment horizontal="center" vertical="center"/>
    </xf>
    <xf numFmtId="9" fontId="0" fillId="0" borderId="0" xfId="2" applyFont="1"/>
    <xf numFmtId="0" fontId="0" fillId="0" borderId="0" xfId="0"/>
    <xf numFmtId="172" fontId="2" fillId="0" borderId="2" xfId="1" applyNumberFormat="1" applyFont="1" applyFill="1" applyBorder="1" applyAlignment="1">
      <alignment vertical="center"/>
    </xf>
    <xf numFmtId="165" fontId="56" fillId="2" borderId="4" xfId="1" applyNumberFormat="1" applyFont="1" applyFill="1" applyBorder="1" applyAlignment="1">
      <alignment vertical="center"/>
    </xf>
    <xf numFmtId="9" fontId="56" fillId="2" borderId="4" xfId="2" applyFont="1" applyFill="1" applyBorder="1" applyAlignment="1">
      <alignment vertical="center"/>
    </xf>
    <xf numFmtId="0" fontId="56" fillId="2" borderId="1" xfId="0" applyFont="1" applyFill="1" applyBorder="1" applyAlignment="1">
      <alignment horizontal="center" vertical="center"/>
    </xf>
    <xf numFmtId="0" fontId="10" fillId="0" borderId="0" xfId="1" applyNumberFormat="1" applyFont="1" applyFill="1" applyAlignment="1">
      <alignment horizontal="center"/>
    </xf>
    <xf numFmtId="0" fontId="52" fillId="0" borderId="28" xfId="1" applyNumberFormat="1" applyFont="1" applyFill="1" applyBorder="1" applyAlignment="1" applyProtection="1">
      <alignment horizontal="center" vertical="top"/>
      <protection locked="0"/>
    </xf>
    <xf numFmtId="0" fontId="52" fillId="0" borderId="0" xfId="1" applyNumberFormat="1" applyFont="1" applyFill="1" applyBorder="1" applyAlignment="1" applyProtection="1">
      <alignment horizontal="center" vertical="top"/>
      <protection locked="0"/>
    </xf>
    <xf numFmtId="0" fontId="52" fillId="0" borderId="29" xfId="1" applyNumberFormat="1" applyFont="1" applyFill="1" applyBorder="1" applyAlignment="1" applyProtection="1">
      <alignment horizontal="center" vertical="top"/>
      <protection locked="0"/>
    </xf>
    <xf numFmtId="0" fontId="51" fillId="0" borderId="28" xfId="1" applyNumberFormat="1" applyFont="1" applyFill="1" applyBorder="1" applyAlignment="1" applyProtection="1">
      <alignment horizontal="left" vertical="top"/>
      <protection locked="0"/>
    </xf>
    <xf numFmtId="0" fontId="51" fillId="0" borderId="0" xfId="1" applyNumberFormat="1" applyFont="1" applyFill="1" applyBorder="1" applyAlignment="1" applyProtection="1">
      <alignment horizontal="left" vertical="top"/>
      <protection locked="0"/>
    </xf>
    <xf numFmtId="0" fontId="51" fillId="0" borderId="0" xfId="1" applyNumberFormat="1" applyFont="1" applyFill="1" applyBorder="1"/>
    <xf numFmtId="0" fontId="51" fillId="0" borderId="29" xfId="1" applyNumberFormat="1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0" fillId="0" borderId="0" xfId="0" applyNumberFormat="1"/>
    <xf numFmtId="43" fontId="2" fillId="0" borderId="3" xfId="1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165" fontId="4" fillId="0" borderId="2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6" fontId="0" fillId="0" borderId="0" xfId="0" applyNumberFormat="1"/>
    <xf numFmtId="0" fontId="57" fillId="64" borderId="44" xfId="0" applyFont="1" applyFill="1" applyBorder="1" applyAlignment="1">
      <alignment horizontal="center" vertical="center" wrapText="1"/>
    </xf>
    <xf numFmtId="0" fontId="57" fillId="62" borderId="43" xfId="0" applyFont="1" applyFill="1" applyBorder="1" applyAlignment="1">
      <alignment horizontal="center" vertical="center" wrapText="1"/>
    </xf>
    <xf numFmtId="0" fontId="57" fillId="62" borderId="44" xfId="0" applyFont="1" applyFill="1" applyBorder="1" applyAlignment="1">
      <alignment horizontal="center" vertical="center" wrapText="1"/>
    </xf>
    <xf numFmtId="0" fontId="57" fillId="63" borderId="44" xfId="0" applyFont="1" applyFill="1" applyBorder="1" applyAlignment="1">
      <alignment horizontal="center" vertical="center" wrapText="1"/>
    </xf>
    <xf numFmtId="0" fontId="58" fillId="64" borderId="44" xfId="0" applyFont="1" applyFill="1" applyBorder="1" applyAlignment="1">
      <alignment vertical="center" wrapText="1"/>
    </xf>
    <xf numFmtId="0" fontId="58" fillId="62" borderId="43" xfId="0" applyFont="1" applyFill="1" applyBorder="1" applyAlignment="1">
      <alignment vertical="center" wrapText="1"/>
    </xf>
    <xf numFmtId="0" fontId="58" fillId="62" borderId="44" xfId="0" applyFont="1" applyFill="1" applyBorder="1" applyAlignment="1">
      <alignment vertical="center" wrapText="1"/>
    </xf>
    <xf numFmtId="0" fontId="58" fillId="63" borderId="44" xfId="0" applyFont="1" applyFill="1" applyBorder="1" applyAlignment="1">
      <alignment vertical="center" wrapText="1"/>
    </xf>
    <xf numFmtId="164" fontId="58" fillId="62" borderId="43" xfId="1" applyFont="1" applyFill="1" applyBorder="1" applyAlignment="1">
      <alignment vertical="center" wrapText="1"/>
    </xf>
    <xf numFmtId="164" fontId="58" fillId="62" borderId="44" xfId="1" applyFont="1" applyFill="1" applyBorder="1" applyAlignment="1">
      <alignment vertical="center" wrapText="1"/>
    </xf>
    <xf numFmtId="164" fontId="58" fillId="63" borderId="44" xfId="1" applyFont="1" applyFill="1" applyBorder="1" applyAlignment="1">
      <alignment vertical="center" wrapText="1"/>
    </xf>
    <xf numFmtId="164" fontId="58" fillId="64" borderId="44" xfId="1" applyFont="1" applyFill="1" applyBorder="1" applyAlignment="1">
      <alignment vertical="center" wrapText="1"/>
    </xf>
    <xf numFmtId="166" fontId="5" fillId="65" borderId="4" xfId="3" applyNumberFormat="1" applyFont="1" applyFill="1" applyBorder="1" applyAlignment="1" applyProtection="1">
      <alignment horizontal="center" vertical="center" wrapText="1"/>
    </xf>
    <xf numFmtId="165" fontId="2" fillId="60" borderId="2" xfId="1" applyNumberFormat="1" applyFont="1" applyFill="1" applyBorder="1" applyAlignment="1">
      <alignment vertical="center"/>
    </xf>
    <xf numFmtId="43" fontId="2" fillId="0" borderId="2" xfId="1" applyNumberFormat="1" applyFont="1" applyFill="1" applyBorder="1" applyAlignment="1">
      <alignment vertical="center"/>
    </xf>
    <xf numFmtId="9" fontId="51" fillId="0" borderId="0" xfId="2" applyFont="1" applyFill="1"/>
    <xf numFmtId="9" fontId="51" fillId="0" borderId="0" xfId="2" applyFont="1" applyFill="1" applyBorder="1"/>
    <xf numFmtId="165" fontId="2" fillId="65" borderId="2" xfId="1" applyNumberFormat="1" applyFont="1" applyFill="1" applyBorder="1" applyAlignment="1">
      <alignment vertical="center"/>
    </xf>
    <xf numFmtId="9" fontId="51" fillId="0" borderId="40" xfId="2" applyFont="1" applyFill="1" applyBorder="1"/>
    <xf numFmtId="9" fontId="54" fillId="0" borderId="40" xfId="2" applyFont="1" applyFill="1" applyBorder="1"/>
    <xf numFmtId="165" fontId="2" fillId="65" borderId="3" xfId="1" applyNumberFormat="1" applyFont="1" applyFill="1" applyBorder="1" applyAlignment="1">
      <alignment vertical="center"/>
    </xf>
    <xf numFmtId="165" fontId="2" fillId="60" borderId="3" xfId="1" applyNumberFormat="1" applyFont="1" applyFill="1" applyBorder="1" applyAlignment="1">
      <alignment vertical="center"/>
    </xf>
    <xf numFmtId="165" fontId="2" fillId="60" borderId="1" xfId="1" applyNumberFormat="1" applyFont="1" applyFill="1" applyBorder="1" applyAlignment="1">
      <alignment vertical="center"/>
    </xf>
    <xf numFmtId="0" fontId="3" fillId="6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2" fillId="0" borderId="0" xfId="0" applyNumberFormat="1" applyFont="1" applyBorder="1" applyAlignment="1">
      <alignment vertical="center"/>
    </xf>
    <xf numFmtId="10" fontId="2" fillId="0" borderId="3" xfId="2" applyNumberFormat="1" applyFont="1" applyFill="1" applyBorder="1" applyAlignment="1">
      <alignment vertical="center"/>
    </xf>
    <xf numFmtId="10" fontId="2" fillId="0" borderId="2" xfId="2" applyNumberFormat="1" applyFont="1" applyFill="1" applyBorder="1" applyAlignment="1">
      <alignment vertical="center"/>
    </xf>
    <xf numFmtId="172" fontId="2" fillId="0" borderId="1" xfId="1" applyNumberFormat="1" applyFont="1" applyFill="1" applyBorder="1" applyAlignment="1">
      <alignment vertical="center"/>
    </xf>
    <xf numFmtId="10" fontId="2" fillId="0" borderId="1" xfId="2" applyNumberFormat="1" applyFont="1" applyFill="1" applyBorder="1" applyAlignment="1">
      <alignment vertical="center"/>
    </xf>
    <xf numFmtId="172" fontId="51" fillId="0" borderId="0" xfId="1" applyNumberFormat="1" applyFont="1" applyFill="1"/>
    <xf numFmtId="172" fontId="51" fillId="0" borderId="0" xfId="1" applyNumberFormat="1" applyFont="1" applyFill="1" applyBorder="1"/>
    <xf numFmtId="172" fontId="50" fillId="0" borderId="0" xfId="1" applyNumberFormat="1" applyFont="1" applyFill="1" applyBorder="1"/>
    <xf numFmtId="172" fontId="50" fillId="0" borderId="0" xfId="2" applyNumberFormat="1" applyFont="1" applyFill="1" applyBorder="1"/>
    <xf numFmtId="10" fontId="51" fillId="0" borderId="0" xfId="2" applyNumberFormat="1" applyFont="1" applyFill="1"/>
    <xf numFmtId="172" fontId="3" fillId="2" borderId="4" xfId="1" applyNumberFormat="1" applyFont="1" applyFill="1" applyBorder="1" applyAlignment="1">
      <alignment vertical="center"/>
    </xf>
    <xf numFmtId="10" fontId="3" fillId="2" borderId="4" xfId="2" applyNumberFormat="1" applyFont="1" applyFill="1" applyBorder="1" applyAlignment="1">
      <alignment vertical="center"/>
    </xf>
    <xf numFmtId="172" fontId="50" fillId="0" borderId="0" xfId="1" applyNumberFormat="1" applyFont="1" applyFill="1"/>
    <xf numFmtId="172" fontId="50" fillId="0" borderId="0" xfId="2" applyNumberFormat="1" applyFont="1" applyFill="1"/>
    <xf numFmtId="172" fontId="2" fillId="0" borderId="3" xfId="1" applyNumberFormat="1" applyFont="1" applyFill="1" applyBorder="1" applyAlignment="1">
      <alignment vertical="center"/>
    </xf>
    <xf numFmtId="10" fontId="51" fillId="0" borderId="0" xfId="2" applyNumberFormat="1" applyFont="1" applyFill="1" applyBorder="1"/>
    <xf numFmtId="172" fontId="51" fillId="0" borderId="40" xfId="1" applyNumberFormat="1" applyFont="1" applyFill="1" applyBorder="1"/>
    <xf numFmtId="172" fontId="50" fillId="0" borderId="40" xfId="1" applyNumberFormat="1" applyFont="1" applyFill="1" applyBorder="1"/>
    <xf numFmtId="172" fontId="50" fillId="0" borderId="40" xfId="2" applyNumberFormat="1" applyFont="1" applyFill="1" applyBorder="1"/>
    <xf numFmtId="10" fontId="51" fillId="0" borderId="40" xfId="2" applyNumberFormat="1" applyFont="1" applyFill="1" applyBorder="1"/>
    <xf numFmtId="172" fontId="54" fillId="0" borderId="40" xfId="1" applyNumberFormat="1" applyFont="1" applyFill="1" applyBorder="1"/>
    <xf numFmtId="10" fontId="54" fillId="0" borderId="40" xfId="2" applyNumberFormat="1" applyFont="1" applyFill="1" applyBorder="1"/>
    <xf numFmtId="9" fontId="3" fillId="2" borderId="4" xfId="2" applyFont="1" applyFill="1" applyBorder="1" applyAlignment="1">
      <alignment horizontal="center" vertical="center"/>
    </xf>
    <xf numFmtId="164" fontId="46" fillId="0" borderId="0" xfId="1" applyFont="1" applyFill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59" fillId="0" borderId="3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17" fontId="3" fillId="2" borderId="4" xfId="0" applyNumberFormat="1" applyFont="1" applyFill="1" applyBorder="1" applyAlignment="1">
      <alignment horizontal="center" vertical="center" wrapText="1"/>
    </xf>
    <xf numFmtId="165" fontId="60" fillId="0" borderId="2" xfId="1" applyNumberFormat="1" applyFont="1" applyFill="1" applyBorder="1" applyAlignment="1">
      <alignment vertical="center"/>
    </xf>
    <xf numFmtId="165" fontId="60" fillId="0" borderId="3" xfId="1" applyNumberFormat="1" applyFont="1" applyFill="1" applyBorder="1" applyAlignment="1">
      <alignment vertical="center"/>
    </xf>
    <xf numFmtId="172" fontId="60" fillId="0" borderId="2" xfId="1" applyNumberFormat="1" applyFont="1" applyFill="1" applyBorder="1" applyAlignment="1">
      <alignment vertical="center"/>
    </xf>
    <xf numFmtId="165" fontId="2" fillId="66" borderId="2" xfId="1" applyNumberFormat="1" applyFont="1" applyFill="1" applyBorder="1" applyAlignment="1">
      <alignment vertical="center"/>
    </xf>
    <xf numFmtId="165" fontId="3" fillId="0" borderId="2" xfId="1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vertical="center"/>
    </xf>
    <xf numFmtId="164" fontId="53" fillId="0" borderId="0" xfId="1" applyFont="1" applyFill="1"/>
    <xf numFmtId="165" fontId="3" fillId="0" borderId="3" xfId="1" applyNumberFormat="1" applyFont="1" applyFill="1" applyBorder="1" applyAlignment="1">
      <alignment vertical="center"/>
    </xf>
    <xf numFmtId="165" fontId="2" fillId="67" borderId="2" xfId="1" applyNumberFormat="1" applyFont="1" applyFill="1" applyBorder="1" applyAlignment="1">
      <alignment vertical="center"/>
    </xf>
    <xf numFmtId="173" fontId="61" fillId="0" borderId="40" xfId="0" applyNumberFormat="1" applyFont="1" applyBorder="1"/>
    <xf numFmtId="0" fontId="48" fillId="0" borderId="0" xfId="0" applyFont="1"/>
    <xf numFmtId="0" fontId="48" fillId="0" borderId="0" xfId="0" applyFont="1" applyFill="1"/>
    <xf numFmtId="43" fontId="48" fillId="0" borderId="0" xfId="0" applyNumberFormat="1" applyFont="1"/>
    <xf numFmtId="0" fontId="61" fillId="0" borderId="0" xfId="0" applyFont="1"/>
    <xf numFmtId="165" fontId="60" fillId="60" borderId="2" xfId="1" applyNumberFormat="1" applyFont="1" applyFill="1" applyBorder="1" applyAlignment="1">
      <alignment vertical="center"/>
    </xf>
    <xf numFmtId="164" fontId="48" fillId="0" borderId="0" xfId="1" applyFont="1"/>
    <xf numFmtId="164" fontId="61" fillId="59" borderId="2" xfId="1" applyFont="1" applyFill="1" applyBorder="1" applyAlignment="1">
      <alignment horizontal="center" wrapText="1"/>
    </xf>
    <xf numFmtId="164" fontId="61" fillId="59" borderId="2" xfId="1" applyFont="1" applyFill="1" applyBorder="1" applyAlignment="1">
      <alignment wrapText="1"/>
    </xf>
    <xf numFmtId="164" fontId="61" fillId="59" borderId="37" xfId="1" applyFont="1" applyFill="1" applyBorder="1" applyAlignment="1">
      <alignment horizontal="center" wrapText="1"/>
    </xf>
    <xf numFmtId="164" fontId="61" fillId="59" borderId="49" xfId="1" applyFont="1" applyFill="1" applyBorder="1" applyAlignment="1">
      <alignment horizontal="center" wrapText="1"/>
    </xf>
    <xf numFmtId="164" fontId="61" fillId="59" borderId="49" xfId="1" applyFont="1" applyFill="1" applyBorder="1" applyAlignment="1">
      <alignment wrapText="1"/>
    </xf>
    <xf numFmtId="164" fontId="61" fillId="60" borderId="49" xfId="1" applyFont="1" applyFill="1" applyBorder="1" applyAlignment="1">
      <alignment horizontal="center" wrapText="1"/>
    </xf>
    <xf numFmtId="164" fontId="48" fillId="0" borderId="48" xfId="1" applyFont="1" applyBorder="1"/>
    <xf numFmtId="164" fontId="48" fillId="0" borderId="4" xfId="1" applyFont="1" applyBorder="1"/>
    <xf numFmtId="164" fontId="48" fillId="0" borderId="3" xfId="1" applyFont="1" applyBorder="1"/>
    <xf numFmtId="164" fontId="9" fillId="0" borderId="2" xfId="1" applyFont="1" applyBorder="1"/>
    <xf numFmtId="164" fontId="48" fillId="0" borderId="2" xfId="1" applyFont="1" applyBorder="1"/>
    <xf numFmtId="164" fontId="48" fillId="0" borderId="30" xfId="1" applyFont="1" applyBorder="1"/>
    <xf numFmtId="164" fontId="48" fillId="0" borderId="38" xfId="1" applyFont="1" applyBorder="1"/>
    <xf numFmtId="164" fontId="9" fillId="0" borderId="3" xfId="1" applyFont="1" applyBorder="1"/>
    <xf numFmtId="164" fontId="48" fillId="0" borderId="6" xfId="1" applyFont="1" applyBorder="1"/>
    <xf numFmtId="164" fontId="48" fillId="0" borderId="36" xfId="1" applyFont="1" applyBorder="1"/>
    <xf numFmtId="164" fontId="48" fillId="0" borderId="37" xfId="1" applyFont="1" applyBorder="1"/>
    <xf numFmtId="164" fontId="9" fillId="0" borderId="37" xfId="1" applyFont="1" applyBorder="1"/>
    <xf numFmtId="164" fontId="48" fillId="0" borderId="39" xfId="1" applyFont="1" applyBorder="1"/>
    <xf numFmtId="164" fontId="48" fillId="0" borderId="0" xfId="1" applyFont="1" applyBorder="1"/>
    <xf numFmtId="173" fontId="61" fillId="0" borderId="0" xfId="0" applyNumberFormat="1" applyFont="1" applyBorder="1"/>
    <xf numFmtId="173" fontId="48" fillId="0" borderId="0" xfId="0" applyNumberFormat="1" applyFont="1" applyBorder="1"/>
    <xf numFmtId="173" fontId="9" fillId="0" borderId="0" xfId="0" applyNumberFormat="1" applyFont="1" applyBorder="1"/>
    <xf numFmtId="0" fontId="62" fillId="0" borderId="0" xfId="0" applyFont="1"/>
    <xf numFmtId="0" fontId="61" fillId="0" borderId="0" xfId="0" applyFont="1" applyAlignment="1">
      <alignment wrapText="1"/>
    </xf>
    <xf numFmtId="173" fontId="48" fillId="0" borderId="0" xfId="0" applyNumberFormat="1" applyFont="1" applyFill="1"/>
    <xf numFmtId="164" fontId="61" fillId="68" borderId="34" xfId="1" applyFont="1" applyFill="1" applyBorder="1"/>
    <xf numFmtId="0" fontId="45" fillId="0" borderId="0" xfId="96" quotePrefix="1"/>
    <xf numFmtId="43" fontId="61" fillId="0" borderId="34" xfId="0" applyNumberFormat="1" applyFont="1" applyBorder="1"/>
    <xf numFmtId="174" fontId="5" fillId="0" borderId="4" xfId="3" quotePrefix="1" applyNumberFormat="1" applyFont="1" applyBorder="1" applyAlignment="1" applyProtection="1">
      <alignment horizontal="center" vertical="center" wrapText="1"/>
    </xf>
    <xf numFmtId="175" fontId="0" fillId="0" borderId="0" xfId="1" applyNumberFormat="1" applyFont="1"/>
    <xf numFmtId="175" fontId="0" fillId="0" borderId="0" xfId="0" applyNumberFormat="1"/>
    <xf numFmtId="176" fontId="3" fillId="2" borderId="4" xfId="0" applyNumberFormat="1" applyFont="1" applyFill="1" applyBorder="1" applyAlignment="1">
      <alignment horizontal="center" vertical="center"/>
    </xf>
    <xf numFmtId="0" fontId="0" fillId="0" borderId="4" xfId="0" applyBorder="1"/>
    <xf numFmtId="165" fontId="0" fillId="0" borderId="4" xfId="1" applyNumberFormat="1" applyFont="1" applyBorder="1"/>
    <xf numFmtId="165" fontId="0" fillId="0" borderId="0" xfId="0" applyNumberFormat="1"/>
    <xf numFmtId="164" fontId="0" fillId="0" borderId="0" xfId="1" applyFont="1"/>
    <xf numFmtId="0" fontId="33" fillId="59" borderId="4" xfId="0" applyFont="1" applyFill="1" applyBorder="1" applyAlignment="1">
      <alignment wrapText="1"/>
    </xf>
    <xf numFmtId="0" fontId="61" fillId="59" borderId="4" xfId="1" applyNumberFormat="1" applyFont="1" applyFill="1" applyBorder="1" applyAlignment="1">
      <alignment horizontal="center" vertical="top" wrapText="1"/>
    </xf>
    <xf numFmtId="0" fontId="48" fillId="0" borderId="4" xfId="0" applyNumberFormat="1" applyFont="1" applyBorder="1" applyAlignment="1">
      <alignment horizontal="center" vertical="top"/>
    </xf>
    <xf numFmtId="0" fontId="48" fillId="0" borderId="4" xfId="0" applyFont="1" applyBorder="1" applyAlignment="1">
      <alignment vertical="top" wrapText="1"/>
    </xf>
    <xf numFmtId="0" fontId="48" fillId="0" borderId="4" xfId="0" applyFont="1" applyBorder="1" applyAlignment="1">
      <alignment vertical="top"/>
    </xf>
    <xf numFmtId="165" fontId="0" fillId="0" borderId="4" xfId="1" applyNumberFormat="1" applyFont="1" applyBorder="1" applyAlignment="1">
      <alignment vertical="top"/>
    </xf>
    <xf numFmtId="177" fontId="0" fillId="0" borderId="4" xfId="2" applyNumberFormat="1" applyFont="1" applyBorder="1" applyAlignment="1">
      <alignment vertical="top"/>
    </xf>
    <xf numFmtId="0" fontId="0" fillId="0" borderId="4" xfId="0" applyNumberFormat="1" applyBorder="1" applyAlignment="1">
      <alignment horizontal="center" vertical="top"/>
    </xf>
    <xf numFmtId="0" fontId="33" fillId="0" borderId="0" xfId="0" applyFont="1" applyAlignment="1">
      <alignment vertical="top"/>
    </xf>
    <xf numFmtId="165" fontId="33" fillId="0" borderId="52" xfId="1" applyNumberFormat="1" applyFont="1" applyBorder="1" applyAlignment="1">
      <alignment vertical="top"/>
    </xf>
    <xf numFmtId="9" fontId="33" fillId="0" borderId="52" xfId="2" applyFont="1" applyBorder="1" applyAlignment="1">
      <alignment vertical="top"/>
    </xf>
    <xf numFmtId="0" fontId="33" fillId="0" borderId="0" xfId="0" applyFont="1"/>
    <xf numFmtId="0" fontId="48" fillId="0" borderId="4" xfId="0" applyNumberFormat="1" applyFont="1" applyBorder="1" applyAlignment="1">
      <alignment horizontal="center" vertical="center"/>
    </xf>
    <xf numFmtId="177" fontId="0" fillId="0" borderId="4" xfId="2" applyNumberFormat="1" applyFont="1" applyBorder="1"/>
    <xf numFmtId="165" fontId="33" fillId="0" borderId="52" xfId="1" applyNumberFormat="1" applyFont="1" applyBorder="1"/>
    <xf numFmtId="9" fontId="33" fillId="0" borderId="52" xfId="2" applyFont="1" applyBorder="1"/>
    <xf numFmtId="164" fontId="0" fillId="0" borderId="4" xfId="1" applyFont="1" applyBorder="1"/>
    <xf numFmtId="164" fontId="0" fillId="0" borderId="4" xfId="1" applyFont="1" applyBorder="1" applyAlignment="1">
      <alignment vertical="top"/>
    </xf>
    <xf numFmtId="164" fontId="33" fillId="0" borderId="52" xfId="1" applyFont="1" applyBorder="1"/>
    <xf numFmtId="165" fontId="2" fillId="0" borderId="4" xfId="1" applyNumberFormat="1" applyFont="1" applyFill="1" applyBorder="1" applyAlignment="1">
      <alignment vertical="center"/>
    </xf>
    <xf numFmtId="165" fontId="0" fillId="0" borderId="0" xfId="1" applyNumberFormat="1" applyFont="1"/>
    <xf numFmtId="4" fontId="0" fillId="0" borderId="0" xfId="0" applyNumberFormat="1"/>
    <xf numFmtId="164" fontId="46" fillId="0" borderId="0" xfId="1" applyFont="1" applyFill="1" applyAlignment="1">
      <alignment horizontal="center" wrapText="1"/>
    </xf>
    <xf numFmtId="0" fontId="61" fillId="59" borderId="4" xfId="1" applyNumberFormat="1" applyFont="1" applyFill="1" applyBorder="1" applyAlignment="1">
      <alignment horizontal="center" vertical="top" wrapText="1"/>
    </xf>
    <xf numFmtId="43" fontId="2" fillId="0" borderId="1" xfId="1" applyNumberFormat="1" applyFont="1" applyFill="1" applyBorder="1" applyAlignment="1">
      <alignment vertical="center"/>
    </xf>
    <xf numFmtId="43" fontId="51" fillId="0" borderId="0" xfId="1" applyNumberFormat="1" applyFont="1" applyFill="1"/>
    <xf numFmtId="43" fontId="50" fillId="0" borderId="0" xfId="1" applyNumberFormat="1" applyFont="1" applyFill="1" applyBorder="1"/>
    <xf numFmtId="43" fontId="3" fillId="2" borderId="4" xfId="1" applyNumberFormat="1" applyFont="1" applyFill="1" applyBorder="1" applyAlignment="1">
      <alignment vertical="center"/>
    </xf>
    <xf numFmtId="43" fontId="51" fillId="0" borderId="0" xfId="1" applyNumberFormat="1" applyFont="1" applyFill="1" applyBorder="1"/>
    <xf numFmtId="43" fontId="50" fillId="0" borderId="40" xfId="1" applyNumberFormat="1" applyFont="1" applyFill="1" applyBorder="1"/>
    <xf numFmtId="43" fontId="9" fillId="0" borderId="0" xfId="1" applyNumberFormat="1" applyFont="1" applyFill="1"/>
    <xf numFmtId="43" fontId="48" fillId="0" borderId="0" xfId="1" applyNumberFormat="1" applyFont="1" applyFill="1"/>
    <xf numFmtId="165" fontId="48" fillId="0" borderId="0" xfId="2" applyNumberFormat="1" applyFont="1" applyFill="1"/>
    <xf numFmtId="172" fontId="48" fillId="0" borderId="0" xfId="2" applyNumberFormat="1" applyFont="1" applyFill="1"/>
    <xf numFmtId="172" fontId="0" fillId="0" borderId="4" xfId="1" applyNumberFormat="1" applyFont="1" applyBorder="1"/>
    <xf numFmtId="165" fontId="1" fillId="0" borderId="4" xfId="1" applyNumberFormat="1" applyFont="1" applyBorder="1" applyAlignment="1">
      <alignment vertical="top"/>
    </xf>
    <xf numFmtId="177" fontId="1" fillId="0" borderId="4" xfId="2" applyNumberFormat="1" applyFont="1" applyBorder="1" applyAlignment="1">
      <alignment vertical="top"/>
    </xf>
    <xf numFmtId="165" fontId="1" fillId="0" borderId="4" xfId="1" applyNumberFormat="1" applyFont="1" applyBorder="1"/>
    <xf numFmtId="0" fontId="48" fillId="0" borderId="3" xfId="0" applyNumberFormat="1" applyFont="1" applyBorder="1" applyAlignment="1">
      <alignment horizontal="center" vertical="top"/>
    </xf>
    <xf numFmtId="164" fontId="1" fillId="0" borderId="0" xfId="1" applyFont="1"/>
    <xf numFmtId="177" fontId="1" fillId="0" borderId="4" xfId="2" applyNumberFormat="1" applyFont="1" applyBorder="1"/>
    <xf numFmtId="164" fontId="1" fillId="0" borderId="4" xfId="1" applyFont="1" applyBorder="1"/>
    <xf numFmtId="164" fontId="1" fillId="0" borderId="4" xfId="1" applyFont="1" applyBorder="1" applyAlignment="1">
      <alignment vertical="top"/>
    </xf>
    <xf numFmtId="0" fontId="3" fillId="2" borderId="29" xfId="0" applyFont="1" applyFill="1" applyBorder="1" applyAlignment="1">
      <alignment horizontal="center" vertical="center"/>
    </xf>
    <xf numFmtId="165" fontId="2" fillId="69" borderId="2" xfId="1" applyNumberFormat="1" applyFont="1" applyFill="1" applyBorder="1" applyAlignment="1">
      <alignment vertical="center"/>
    </xf>
    <xf numFmtId="165" fontId="2" fillId="0" borderId="2" xfId="1" applyNumberFormat="1" applyFont="1" applyFill="1" applyBorder="1" applyAlignment="1">
      <alignment vertical="top" wrapText="1"/>
    </xf>
    <xf numFmtId="164" fontId="46" fillId="0" borderId="0" xfId="1" applyFont="1" applyFill="1" applyAlignment="1">
      <alignment horizontal="center" wrapText="1"/>
    </xf>
    <xf numFmtId="0" fontId="3" fillId="2" borderId="29" xfId="0" applyFont="1" applyFill="1" applyBorder="1" applyAlignment="1">
      <alignment horizontal="center" vertical="center"/>
    </xf>
    <xf numFmtId="0" fontId="45" fillId="0" borderId="3" xfId="96" applyBorder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165" fontId="0" fillId="0" borderId="0" xfId="0" applyNumberFormat="1" applyFill="1"/>
    <xf numFmtId="165" fontId="3" fillId="2" borderId="3" xfId="1" applyNumberFormat="1" applyFont="1" applyFill="1" applyBorder="1" applyAlignment="1">
      <alignment vertical="center"/>
    </xf>
    <xf numFmtId="165" fontId="3" fillId="2" borderId="53" xfId="1" applyNumberFormat="1" applyFont="1" applyFill="1" applyBorder="1" applyAlignment="1">
      <alignment vertical="center"/>
    </xf>
    <xf numFmtId="165" fontId="3" fillId="2" borderId="54" xfId="1" applyNumberFormat="1" applyFont="1" applyFill="1" applyBorder="1" applyAlignment="1">
      <alignment vertical="center"/>
    </xf>
    <xf numFmtId="0" fontId="45" fillId="0" borderId="54" xfId="96" applyBorder="1" applyAlignment="1">
      <alignment horizontal="center"/>
    </xf>
    <xf numFmtId="0" fontId="0" fillId="0" borderId="13" xfId="0" applyBorder="1"/>
    <xf numFmtId="0" fontId="0" fillId="60" borderId="0" xfId="0" applyFill="1"/>
    <xf numFmtId="0" fontId="0" fillId="0" borderId="0" xfId="0" applyAlignment="1">
      <alignment wrapText="1"/>
    </xf>
    <xf numFmtId="0" fontId="3" fillId="2" borderId="1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59" fillId="0" borderId="3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5" fontId="2" fillId="0" borderId="3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vertical="center" wrapText="1"/>
    </xf>
    <xf numFmtId="164" fontId="51" fillId="0" borderId="0" xfId="1" applyFont="1" applyFill="1" applyAlignment="1">
      <alignment wrapText="1"/>
    </xf>
    <xf numFmtId="165" fontId="3" fillId="2" borderId="4" xfId="1" applyNumberFormat="1" applyFont="1" applyFill="1" applyBorder="1" applyAlignment="1">
      <alignment vertical="center" wrapText="1"/>
    </xf>
    <xf numFmtId="164" fontId="51" fillId="0" borderId="0" xfId="1" applyFont="1" applyFill="1" applyBorder="1" applyAlignment="1">
      <alignment wrapText="1"/>
    </xf>
    <xf numFmtId="164" fontId="51" fillId="0" borderId="40" xfId="1" applyFont="1" applyFill="1" applyBorder="1" applyAlignment="1">
      <alignment wrapText="1"/>
    </xf>
    <xf numFmtId="164" fontId="54" fillId="0" borderId="40" xfId="1" applyFont="1" applyFill="1" applyBorder="1" applyAlignment="1">
      <alignment wrapText="1"/>
    </xf>
    <xf numFmtId="165" fontId="2" fillId="60" borderId="1" xfId="1" applyNumberFormat="1" applyFont="1" applyFill="1" applyBorder="1" applyAlignment="1">
      <alignment vertical="center" wrapText="1"/>
    </xf>
    <xf numFmtId="165" fontId="2" fillId="60" borderId="2" xfId="1" applyNumberFormat="1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165" fontId="2" fillId="69" borderId="2" xfId="1" applyNumberFormat="1" applyFont="1" applyFill="1" applyBorder="1" applyAlignment="1">
      <alignment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9" fontId="3" fillId="2" borderId="4" xfId="2" applyFont="1" applyFill="1" applyBorder="1" applyAlignment="1">
      <alignment horizontal="center" vertical="center" wrapText="1"/>
    </xf>
    <xf numFmtId="178" fontId="3" fillId="2" borderId="4" xfId="1" applyNumberFormat="1" applyFont="1" applyFill="1" applyBorder="1" applyAlignment="1">
      <alignment vertical="center"/>
    </xf>
    <xf numFmtId="179" fontId="3" fillId="2" borderId="4" xfId="1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77" fontId="0" fillId="0" borderId="0" xfId="2" applyNumberFormat="1" applyFont="1"/>
    <xf numFmtId="17" fontId="3" fillId="2" borderId="2" xfId="0" applyNumberFormat="1" applyFont="1" applyFill="1" applyBorder="1" applyAlignment="1">
      <alignment horizontal="center" vertical="center" wrapText="1"/>
    </xf>
    <xf numFmtId="178" fontId="51" fillId="0" borderId="0" xfId="1" applyNumberFormat="1" applyFont="1" applyFill="1"/>
    <xf numFmtId="10" fontId="0" fillId="0" borderId="0" xfId="0" applyNumberFormat="1"/>
    <xf numFmtId="164" fontId="0" fillId="0" borderId="0" xfId="0" applyNumberFormat="1"/>
    <xf numFmtId="164" fontId="46" fillId="0" borderId="0" xfId="1" applyFont="1" applyFill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164" fontId="46" fillId="0" borderId="0" xfId="1" applyFont="1" applyFill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164" fontId="46" fillId="0" borderId="0" xfId="1" applyFont="1" applyFill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180" fontId="0" fillId="0" borderId="0" xfId="0" applyNumberFormat="1"/>
    <xf numFmtId="0" fontId="0" fillId="0" borderId="0" xfId="0" applyFill="1"/>
    <xf numFmtId="0" fontId="40" fillId="58" borderId="12" xfId="0" applyFont="1" applyFill="1" applyBorder="1" applyAlignment="1">
      <alignment horizontal="center" vertical="center"/>
    </xf>
    <xf numFmtId="0" fontId="40" fillId="58" borderId="5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58" borderId="11" xfId="0" applyFont="1" applyFill="1" applyBorder="1" applyAlignment="1">
      <alignment horizontal="center" vertical="center"/>
    </xf>
    <xf numFmtId="0" fontId="57" fillId="62" borderId="41" xfId="0" applyFont="1" applyFill="1" applyBorder="1" applyAlignment="1">
      <alignment horizontal="center" vertical="center" wrapText="1"/>
    </xf>
    <xf numFmtId="0" fontId="57" fillId="62" borderId="13" xfId="0" applyFont="1" applyFill="1" applyBorder="1" applyAlignment="1">
      <alignment horizontal="center" vertical="center" wrapText="1"/>
    </xf>
    <xf numFmtId="0" fontId="57" fillId="62" borderId="42" xfId="0" applyFont="1" applyFill="1" applyBorder="1" applyAlignment="1">
      <alignment horizontal="center" vertical="center" wrapText="1"/>
    </xf>
    <xf numFmtId="0" fontId="57" fillId="63" borderId="41" xfId="0" applyFont="1" applyFill="1" applyBorder="1" applyAlignment="1">
      <alignment horizontal="center" vertical="center" wrapText="1"/>
    </xf>
    <xf numFmtId="0" fontId="57" fillId="63" borderId="13" xfId="0" applyFont="1" applyFill="1" applyBorder="1" applyAlignment="1">
      <alignment horizontal="center" vertical="center" wrapText="1"/>
    </xf>
    <xf numFmtId="0" fontId="57" fillId="63" borderId="42" xfId="0" applyFont="1" applyFill="1" applyBorder="1" applyAlignment="1">
      <alignment horizontal="center" vertical="center" wrapText="1"/>
    </xf>
    <xf numFmtId="0" fontId="57" fillId="64" borderId="41" xfId="0" applyFont="1" applyFill="1" applyBorder="1" applyAlignment="1">
      <alignment horizontal="center" vertical="center" wrapText="1"/>
    </xf>
    <xf numFmtId="0" fontId="57" fillId="64" borderId="13" xfId="0" applyFont="1" applyFill="1" applyBorder="1" applyAlignment="1">
      <alignment horizontal="center" vertical="center" wrapText="1"/>
    </xf>
    <xf numFmtId="0" fontId="57" fillId="64" borderId="42" xfId="0" applyFont="1" applyFill="1" applyBorder="1" applyAlignment="1">
      <alignment horizontal="center" vertical="center" wrapText="1"/>
    </xf>
    <xf numFmtId="164" fontId="46" fillId="0" borderId="0" xfId="1" applyFont="1" applyFill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16" fontId="51" fillId="0" borderId="0" xfId="1" applyNumberFormat="1" applyFont="1" applyFill="1" applyAlignment="1" applyProtection="1">
      <alignment horizontal="center" vertical="center"/>
      <protection locked="0"/>
    </xf>
    <xf numFmtId="0" fontId="33" fillId="59" borderId="4" xfId="0" applyFont="1" applyFill="1" applyBorder="1" applyAlignment="1">
      <alignment horizontal="center"/>
    </xf>
    <xf numFmtId="0" fontId="61" fillId="59" borderId="4" xfId="0" applyNumberFormat="1" applyFont="1" applyFill="1" applyBorder="1" applyAlignment="1">
      <alignment horizontal="center" vertical="center" wrapText="1"/>
    </xf>
    <xf numFmtId="0" fontId="61" fillId="59" borderId="4" xfId="0" applyFont="1" applyFill="1" applyBorder="1" applyAlignment="1">
      <alignment horizontal="center" vertical="center" wrapText="1"/>
    </xf>
    <xf numFmtId="0" fontId="61" fillId="59" borderId="4" xfId="1" applyNumberFormat="1" applyFont="1" applyFill="1" applyBorder="1" applyAlignment="1">
      <alignment horizontal="center" vertical="top" wrapText="1"/>
    </xf>
    <xf numFmtId="0" fontId="33" fillId="59" borderId="4" xfId="0" applyFont="1" applyFill="1" applyBorder="1" applyAlignment="1">
      <alignment horizontal="center" vertical="top"/>
    </xf>
    <xf numFmtId="0" fontId="61" fillId="59" borderId="3" xfId="0" applyNumberFormat="1" applyFont="1" applyFill="1" applyBorder="1" applyAlignment="1">
      <alignment horizontal="center" vertical="center" wrapText="1"/>
    </xf>
    <xf numFmtId="0" fontId="61" fillId="59" borderId="1" xfId="0" applyNumberFormat="1" applyFont="1" applyFill="1" applyBorder="1" applyAlignment="1">
      <alignment horizontal="center" vertical="center" wrapText="1"/>
    </xf>
    <xf numFmtId="0" fontId="61" fillId="59" borderId="3" xfId="0" applyFont="1" applyFill="1" applyBorder="1" applyAlignment="1">
      <alignment horizontal="center" vertical="center" wrapText="1"/>
    </xf>
    <xf numFmtId="0" fontId="61" fillId="59" borderId="1" xfId="0" applyFont="1" applyFill="1" applyBorder="1" applyAlignment="1">
      <alignment horizontal="center" vertical="center" wrapText="1"/>
    </xf>
    <xf numFmtId="2" fontId="61" fillId="59" borderId="3" xfId="0" applyNumberFormat="1" applyFont="1" applyFill="1" applyBorder="1" applyAlignment="1">
      <alignment horizontal="center" vertical="center" wrapText="1"/>
    </xf>
    <xf numFmtId="2" fontId="61" fillId="59" borderId="1" xfId="0" applyNumberFormat="1" applyFont="1" applyFill="1" applyBorder="1" applyAlignment="1">
      <alignment horizontal="center" vertical="center" wrapText="1"/>
    </xf>
    <xf numFmtId="0" fontId="61" fillId="59" borderId="12" xfId="1" applyNumberFormat="1" applyFont="1" applyFill="1" applyBorder="1" applyAlignment="1">
      <alignment horizontal="center" vertical="top" wrapText="1"/>
    </xf>
    <xf numFmtId="0" fontId="61" fillId="59" borderId="11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9" fillId="0" borderId="3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3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17" fontId="61" fillId="59" borderId="45" xfId="1" applyNumberFormat="1" applyFont="1" applyFill="1" applyBorder="1" applyAlignment="1">
      <alignment horizontal="center" wrapText="1"/>
    </xf>
    <xf numFmtId="17" fontId="61" fillId="59" borderId="46" xfId="1" applyNumberFormat="1" applyFont="1" applyFill="1" applyBorder="1" applyAlignment="1">
      <alignment horizontal="center" wrapText="1"/>
    </xf>
    <xf numFmtId="17" fontId="61" fillId="59" borderId="47" xfId="1" applyNumberFormat="1" applyFont="1" applyFill="1" applyBorder="1" applyAlignment="1">
      <alignment horizontal="center" wrapText="1"/>
    </xf>
    <xf numFmtId="164" fontId="61" fillId="0" borderId="35" xfId="1" applyFont="1" applyBorder="1" applyAlignment="1">
      <alignment horizontal="center" wrapText="1"/>
    </xf>
    <xf numFmtId="164" fontId="61" fillId="0" borderId="36" xfId="1" applyFont="1" applyBorder="1" applyAlignment="1">
      <alignment horizontal="center" wrapText="1"/>
    </xf>
    <xf numFmtId="164" fontId="61" fillId="59" borderId="50" xfId="1" applyFont="1" applyFill="1" applyBorder="1" applyAlignment="1">
      <alignment horizontal="center"/>
    </xf>
    <xf numFmtId="164" fontId="61" fillId="59" borderId="51" xfId="1" applyFont="1" applyFill="1" applyBorder="1" applyAlignment="1">
      <alignment horizontal="center"/>
    </xf>
    <xf numFmtId="0" fontId="40" fillId="0" borderId="6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</cellXfs>
  <cellStyles count="101">
    <cellStyle name="20% - Accent1" xfId="72" builtinId="30" customBuiltin="1"/>
    <cellStyle name="20% - Accent2" xfId="76" builtinId="34" customBuiltin="1"/>
    <cellStyle name="20% - Accent3" xfId="80" builtinId="38" customBuiltin="1"/>
    <cellStyle name="20% - Accent4" xfId="84" builtinId="42" customBuiltin="1"/>
    <cellStyle name="20% - Accent5" xfId="88" builtinId="46" customBuiltin="1"/>
    <cellStyle name="20% - Accent6" xfId="92" builtinId="50" customBuiltin="1"/>
    <cellStyle name="40% - Accent1" xfId="73" builtinId="31" customBuiltin="1"/>
    <cellStyle name="40% - Accent2" xfId="77" builtinId="35" customBuiltin="1"/>
    <cellStyle name="40% - Accent3" xfId="81" builtinId="39" customBuiltin="1"/>
    <cellStyle name="40% - Accent4" xfId="85" builtinId="43" customBuiltin="1"/>
    <cellStyle name="40% - Accent5" xfId="89" builtinId="47" customBuiltin="1"/>
    <cellStyle name="40% - Accent6" xfId="93" builtinId="51" customBuiltin="1"/>
    <cellStyle name="60% - Accent1" xfId="74" builtinId="32" customBuiltin="1"/>
    <cellStyle name="60% - Accent2" xfId="78" builtinId="36" customBuiltin="1"/>
    <cellStyle name="60% - Accent3" xfId="82" builtinId="40" customBuiltin="1"/>
    <cellStyle name="60% - Accent4" xfId="86" builtinId="44" customBuiltin="1"/>
    <cellStyle name="60% - Accent5" xfId="90" builtinId="48" customBuiltin="1"/>
    <cellStyle name="60% - Accent6" xfId="94" builtinId="52" customBuiltin="1"/>
    <cellStyle name="Accent1" xfId="71" builtinId="29" customBuiltin="1"/>
    <cellStyle name="Accent2" xfId="75" builtinId="33" customBuiltin="1"/>
    <cellStyle name="Accent3" xfId="79" builtinId="37" customBuiltin="1"/>
    <cellStyle name="Accent4" xfId="83" builtinId="41" customBuiltin="1"/>
    <cellStyle name="Accent5" xfId="87" builtinId="45" customBuiltin="1"/>
    <cellStyle name="Accent6" xfId="91" builtinId="49" customBuiltin="1"/>
    <cellStyle name="args.style" xfId="4" xr:uid="{00000000-0005-0000-0000-000018000000}"/>
    <cellStyle name="Bad" xfId="60" builtinId="27" customBuiltin="1"/>
    <cellStyle name="Calculation" xfId="64" builtinId="22" customBuiltin="1"/>
    <cellStyle name="Check Cell" xfId="66" builtinId="23" customBuiltin="1"/>
    <cellStyle name="Comma" xfId="1" builtinId="3"/>
    <cellStyle name="Comma 2" xfId="5" xr:uid="{00000000-0005-0000-0000-00001D000000}"/>
    <cellStyle name="Comma 3" xfId="99" xr:uid="{00000000-0005-0000-0000-00001E000000}"/>
    <cellStyle name="Explanatory Text" xfId="69" builtinId="53" customBuiltin="1"/>
    <cellStyle name="Good" xfId="59" builtinId="26" customBuiltin="1"/>
    <cellStyle name="Header1" xfId="6" xr:uid="{00000000-0005-0000-0000-000021000000}"/>
    <cellStyle name="Header2" xfId="7" xr:uid="{00000000-0005-0000-0000-000022000000}"/>
    <cellStyle name="Heading 1" xfId="55" builtinId="16" customBuiltin="1"/>
    <cellStyle name="Heading 2" xfId="56" builtinId="17" customBuiltin="1"/>
    <cellStyle name="Heading 3" xfId="57" builtinId="18" customBuiltin="1"/>
    <cellStyle name="Heading 4" xfId="58" builtinId="19" customBuiltin="1"/>
    <cellStyle name="Hyperlink" xfId="96" builtinId="8"/>
    <cellStyle name="Input" xfId="62" builtinId="20" customBuiltin="1"/>
    <cellStyle name="Input Cells" xfId="8" xr:uid="{00000000-0005-0000-0000-000029000000}"/>
    <cellStyle name="Linked Cell" xfId="65" builtinId="24" customBuiltin="1"/>
    <cellStyle name="Neutral" xfId="61" builtinId="28" customBuiltin="1"/>
    <cellStyle name="Normal" xfId="0" builtinId="0"/>
    <cellStyle name="Normal 16" xfId="97" xr:uid="{00000000-0005-0000-0000-00002D000000}"/>
    <cellStyle name="Normal 2" xfId="9" xr:uid="{00000000-0005-0000-0000-00002E000000}"/>
    <cellStyle name="Normal 2 2" xfId="98" xr:uid="{00000000-0005-0000-0000-00002F000000}"/>
    <cellStyle name="Normal 2 3" xfId="100" xr:uid="{00000000-0005-0000-0000-000030000000}"/>
    <cellStyle name="Normal 3" xfId="10" xr:uid="{00000000-0005-0000-0000-000031000000}"/>
    <cellStyle name="Normal 3 2" xfId="11" xr:uid="{00000000-0005-0000-0000-000032000000}"/>
    <cellStyle name="Normal 4" xfId="95" xr:uid="{00000000-0005-0000-0000-000033000000}"/>
    <cellStyle name="Normal 5" xfId="12" xr:uid="{00000000-0005-0000-0000-000034000000}"/>
    <cellStyle name="Normal 6" xfId="13" xr:uid="{00000000-0005-0000-0000-000035000000}"/>
    <cellStyle name="Normal_VARIAN2" xfId="3" xr:uid="{00000000-0005-0000-0000-000036000000}"/>
    <cellStyle name="Note" xfId="68" builtinId="10" customBuiltin="1"/>
    <cellStyle name="Output" xfId="63" builtinId="21" customBuiltin="1"/>
    <cellStyle name="per.style" xfId="14" xr:uid="{00000000-0005-0000-0000-000039000000}"/>
    <cellStyle name="Percent" xfId="2" builtinId="5"/>
    <cellStyle name="SAPBEXaggData" xfId="15" xr:uid="{00000000-0005-0000-0000-00003B000000}"/>
    <cellStyle name="SAPBEXaggDataEmph" xfId="16" xr:uid="{00000000-0005-0000-0000-00003C000000}"/>
    <cellStyle name="SAPBEXaggItem" xfId="17" xr:uid="{00000000-0005-0000-0000-00003D000000}"/>
    <cellStyle name="SAPBEXaggItemX" xfId="18" xr:uid="{00000000-0005-0000-0000-00003E000000}"/>
    <cellStyle name="SAPBEXchaText" xfId="19" xr:uid="{00000000-0005-0000-0000-00003F000000}"/>
    <cellStyle name="SAPBEXexcBad7" xfId="20" xr:uid="{00000000-0005-0000-0000-000040000000}"/>
    <cellStyle name="SAPBEXexcBad8" xfId="21" xr:uid="{00000000-0005-0000-0000-000041000000}"/>
    <cellStyle name="SAPBEXexcBad9" xfId="22" xr:uid="{00000000-0005-0000-0000-000042000000}"/>
    <cellStyle name="SAPBEXexcCritical4" xfId="23" xr:uid="{00000000-0005-0000-0000-000043000000}"/>
    <cellStyle name="SAPBEXexcCritical5" xfId="24" xr:uid="{00000000-0005-0000-0000-000044000000}"/>
    <cellStyle name="SAPBEXexcCritical6" xfId="25" xr:uid="{00000000-0005-0000-0000-000045000000}"/>
    <cellStyle name="SAPBEXexcGood1" xfId="26" xr:uid="{00000000-0005-0000-0000-000046000000}"/>
    <cellStyle name="SAPBEXexcGood2" xfId="27" xr:uid="{00000000-0005-0000-0000-000047000000}"/>
    <cellStyle name="SAPBEXexcGood3" xfId="28" xr:uid="{00000000-0005-0000-0000-000048000000}"/>
    <cellStyle name="SAPBEXfilterDrill" xfId="29" xr:uid="{00000000-0005-0000-0000-000049000000}"/>
    <cellStyle name="SAPBEXfilterItem" xfId="30" xr:uid="{00000000-0005-0000-0000-00004A000000}"/>
    <cellStyle name="SAPBEXfilterText" xfId="31" xr:uid="{00000000-0005-0000-0000-00004B000000}"/>
    <cellStyle name="SAPBEXformats" xfId="32" xr:uid="{00000000-0005-0000-0000-00004C000000}"/>
    <cellStyle name="SAPBEXheaderItem" xfId="33" xr:uid="{00000000-0005-0000-0000-00004D000000}"/>
    <cellStyle name="SAPBEXheaderText" xfId="34" xr:uid="{00000000-0005-0000-0000-00004E000000}"/>
    <cellStyle name="SAPBEXHLevel0" xfId="35" xr:uid="{00000000-0005-0000-0000-00004F000000}"/>
    <cellStyle name="SAPBEXHLevel0X" xfId="36" xr:uid="{00000000-0005-0000-0000-000050000000}"/>
    <cellStyle name="SAPBEXHLevel0X 2" xfId="37" xr:uid="{00000000-0005-0000-0000-000051000000}"/>
    <cellStyle name="SAPBEXHLevel1" xfId="38" xr:uid="{00000000-0005-0000-0000-000052000000}"/>
    <cellStyle name="SAPBEXHLevel1X" xfId="39" xr:uid="{00000000-0005-0000-0000-000053000000}"/>
    <cellStyle name="SAPBEXHLevel2" xfId="40" xr:uid="{00000000-0005-0000-0000-000054000000}"/>
    <cellStyle name="SAPBEXHLevel2X" xfId="41" xr:uid="{00000000-0005-0000-0000-000055000000}"/>
    <cellStyle name="SAPBEXHLevel3" xfId="42" xr:uid="{00000000-0005-0000-0000-000056000000}"/>
    <cellStyle name="SAPBEXHLevel3X" xfId="43" xr:uid="{00000000-0005-0000-0000-000057000000}"/>
    <cellStyle name="SAPBEXresData" xfId="44" xr:uid="{00000000-0005-0000-0000-000058000000}"/>
    <cellStyle name="SAPBEXresDataEmph" xfId="45" xr:uid="{00000000-0005-0000-0000-000059000000}"/>
    <cellStyle name="SAPBEXresItem" xfId="46" xr:uid="{00000000-0005-0000-0000-00005A000000}"/>
    <cellStyle name="SAPBEXresItemX" xfId="47" xr:uid="{00000000-0005-0000-0000-00005B000000}"/>
    <cellStyle name="SAPBEXstdData" xfId="48" xr:uid="{00000000-0005-0000-0000-00005C000000}"/>
    <cellStyle name="SAPBEXstdDataEmph" xfId="49" xr:uid="{00000000-0005-0000-0000-00005D000000}"/>
    <cellStyle name="SAPBEXstdItem" xfId="50" xr:uid="{00000000-0005-0000-0000-00005E000000}"/>
    <cellStyle name="SAPBEXstdItemX" xfId="51" xr:uid="{00000000-0005-0000-0000-00005F000000}"/>
    <cellStyle name="SAPBEXtitle" xfId="52" xr:uid="{00000000-0005-0000-0000-000060000000}"/>
    <cellStyle name="SAPBEXundefined" xfId="53" xr:uid="{00000000-0005-0000-0000-000061000000}"/>
    <cellStyle name="Title" xfId="54" builtinId="15" customBuiltin="1"/>
    <cellStyle name="Total" xfId="70" builtinId="25" customBuiltin="1"/>
    <cellStyle name="Warning Text" xfId="67" builtinId="11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Tons Sold &amp; Landed</a:t>
            </a:r>
            <a:r>
              <a:rPr lang="en-ZA" baseline="0"/>
              <a:t> Year to Date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'IS Flex'!$O$29</c:f>
              <c:strCache>
                <c:ptCount val="1"/>
                <c:pt idx="0">
                  <c:v>Actual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 Flex'!$N$31:$N$32</c:f>
              <c:strCache>
                <c:ptCount val="2"/>
                <c:pt idx="0">
                  <c:v> Tons Sold </c:v>
                </c:pt>
                <c:pt idx="1">
                  <c:v> Tons Landed </c:v>
                </c:pt>
              </c:strCache>
            </c:strRef>
          </c:cat>
          <c:val>
            <c:numRef>
              <c:f>'IS Flex'!$O$31:$O$32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A-480D-962F-FA28C1714263}"/>
            </c:ext>
          </c:extLst>
        </c:ser>
        <c:ser>
          <c:idx val="1"/>
          <c:order val="1"/>
          <c:tx>
            <c:strRef>
              <c:f>'IS Flex'!$P$29</c:f>
              <c:strCache>
                <c:ptCount val="1"/>
                <c:pt idx="0">
                  <c:v>Plan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 Flex'!$N$31:$N$32</c:f>
              <c:strCache>
                <c:ptCount val="2"/>
                <c:pt idx="0">
                  <c:v> Tons Sold </c:v>
                </c:pt>
                <c:pt idx="1">
                  <c:v> Tons Landed </c:v>
                </c:pt>
              </c:strCache>
            </c:strRef>
          </c:cat>
          <c:val>
            <c:numRef>
              <c:f>'IS Flex'!$P$31:$P$32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A-480D-962F-FA28C1714263}"/>
            </c:ext>
          </c:extLst>
        </c:ser>
        <c:ser>
          <c:idx val="2"/>
          <c:order val="2"/>
          <c:tx>
            <c:strRef>
              <c:f>'IS Flex'!$R$29</c:f>
              <c:strCache>
                <c:ptCount val="1"/>
                <c:pt idx="0">
                  <c:v>Forecast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 Flex'!$N$31:$N$32</c:f>
              <c:strCache>
                <c:ptCount val="2"/>
                <c:pt idx="0">
                  <c:v> Tons Sold </c:v>
                </c:pt>
                <c:pt idx="1">
                  <c:v> Tons Landed </c:v>
                </c:pt>
              </c:strCache>
            </c:strRef>
          </c:cat>
          <c:val>
            <c:numRef>
              <c:f>'IS Flex'!$R$31:$R$32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A-480D-962F-FA28C1714263}"/>
            </c:ext>
          </c:extLst>
        </c:ser>
        <c:ser>
          <c:idx val="3"/>
          <c:order val="3"/>
          <c:tx>
            <c:strRef>
              <c:f>'IS Flex'!$T$29</c:f>
              <c:strCache>
                <c:ptCount val="1"/>
                <c:pt idx="0">
                  <c:v>Prior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 Flex'!$N$31:$N$32</c:f>
              <c:strCache>
                <c:ptCount val="2"/>
                <c:pt idx="0">
                  <c:v> Tons Sold </c:v>
                </c:pt>
                <c:pt idx="1">
                  <c:v> Tons Landed </c:v>
                </c:pt>
              </c:strCache>
            </c:strRef>
          </c:cat>
          <c:val>
            <c:numRef>
              <c:f>'IS Flex'!$T$31:$T$32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A-480D-962F-FA28C17142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4170752"/>
        <c:axId val="204172288"/>
      </c:barChart>
      <c:catAx>
        <c:axId val="20417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172288"/>
        <c:crosses val="autoZero"/>
        <c:auto val="1"/>
        <c:lblAlgn val="ctr"/>
        <c:lblOffset val="100"/>
        <c:noMultiLvlLbl val="0"/>
      </c:catAx>
      <c:valAx>
        <c:axId val="20417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17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Sales &amp; Cost</a:t>
            </a:r>
            <a:r>
              <a:rPr lang="en-ZA" baseline="0"/>
              <a:t> per kg Year to Date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'IS Flex'!$O$29</c:f>
              <c:strCache>
                <c:ptCount val="1"/>
                <c:pt idx="0">
                  <c:v>Actual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('IS Flex'!$N$36,'IS Flex'!$N$38)</c:f>
              <c:strCache>
                <c:ptCount val="2"/>
                <c:pt idx="0">
                  <c:v> Sales Price per kg </c:v>
                </c:pt>
                <c:pt idx="1">
                  <c:v> Total Cost per kg </c:v>
                </c:pt>
              </c:strCache>
            </c:strRef>
          </c:cat>
          <c:val>
            <c:numRef>
              <c:f>('IS Flex'!$O$36,'IS Flex'!$O$38)</c:f>
              <c:numCache>
                <c:formatCode>#\ ##0.00_ ;\-#\ ##0.00\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E-4F9D-9AF1-5A625539DF8B}"/>
            </c:ext>
          </c:extLst>
        </c:ser>
        <c:ser>
          <c:idx val="1"/>
          <c:order val="1"/>
          <c:tx>
            <c:strRef>
              <c:f>'IS Flex'!$P$29</c:f>
              <c:strCache>
                <c:ptCount val="1"/>
                <c:pt idx="0">
                  <c:v>Plan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('IS Flex'!$N$36,'IS Flex'!$N$38)</c:f>
              <c:strCache>
                <c:ptCount val="2"/>
                <c:pt idx="0">
                  <c:v> Sales Price per kg </c:v>
                </c:pt>
                <c:pt idx="1">
                  <c:v> Total Cost per kg </c:v>
                </c:pt>
              </c:strCache>
            </c:strRef>
          </c:cat>
          <c:val>
            <c:numRef>
              <c:f>('IS Flex'!$P$36,'IS Flex'!$P$38)</c:f>
              <c:numCache>
                <c:formatCode>#\ ##0.00_ ;\-#\ ##0.00\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E-4F9D-9AF1-5A625539DF8B}"/>
            </c:ext>
          </c:extLst>
        </c:ser>
        <c:ser>
          <c:idx val="2"/>
          <c:order val="2"/>
          <c:tx>
            <c:strRef>
              <c:f>'IS Flex'!$R$29</c:f>
              <c:strCache>
                <c:ptCount val="1"/>
                <c:pt idx="0">
                  <c:v>Forecast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('IS Flex'!$N$36,'IS Flex'!$N$38)</c:f>
              <c:strCache>
                <c:ptCount val="2"/>
                <c:pt idx="0">
                  <c:v> Sales Price per kg </c:v>
                </c:pt>
                <c:pt idx="1">
                  <c:v> Total Cost per kg </c:v>
                </c:pt>
              </c:strCache>
            </c:strRef>
          </c:cat>
          <c:val>
            <c:numRef>
              <c:f>('IS Flex'!$R$36,'IS Flex'!$R$38)</c:f>
              <c:numCache>
                <c:formatCode>#\ ##0.00_ ;\-#\ ##0.00\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4E-4F9D-9AF1-5A625539DF8B}"/>
            </c:ext>
          </c:extLst>
        </c:ser>
        <c:ser>
          <c:idx val="3"/>
          <c:order val="3"/>
          <c:tx>
            <c:strRef>
              <c:f>'IS Flex'!$T$29</c:f>
              <c:strCache>
                <c:ptCount val="1"/>
                <c:pt idx="0">
                  <c:v>Prior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('IS Flex'!$N$36,'IS Flex'!$N$38)</c:f>
              <c:strCache>
                <c:ptCount val="2"/>
                <c:pt idx="0">
                  <c:v> Sales Price per kg </c:v>
                </c:pt>
                <c:pt idx="1">
                  <c:v> Total Cost per kg </c:v>
                </c:pt>
              </c:strCache>
            </c:strRef>
          </c:cat>
          <c:val>
            <c:numRef>
              <c:f>('IS Flex'!$T$36,'IS Flex'!$T$38)</c:f>
              <c:numCache>
                <c:formatCode>#\ ##0.00_ ;\-#\ ##0.00\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4E-4F9D-9AF1-5A625539DF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4034816"/>
        <c:axId val="204036352"/>
      </c:barChart>
      <c:catAx>
        <c:axId val="20403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36352"/>
        <c:crosses val="autoZero"/>
        <c:auto val="1"/>
        <c:lblAlgn val="ctr"/>
        <c:lblOffset val="100"/>
        <c:noMultiLvlLbl val="0"/>
      </c:catAx>
      <c:valAx>
        <c:axId val="20403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_ ;\-#\ 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3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Operating Expenditure by Section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per Component'!$M$2</c:f>
              <c:strCache>
                <c:ptCount val="1"/>
                <c:pt idx="0">
                  <c:v>Budget 2019/20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&quot;R&quot;* #,##0_);_(&quot;R&quot;* \(#,##0\);_(&quot;R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'Summary per Component'!$L$4:$L$9</c:f>
              <c:strCache>
                <c:ptCount val="6"/>
                <c:pt idx="0">
                  <c:v>Chief Executive Officer</c:v>
                </c:pt>
                <c:pt idx="1">
                  <c:v>Chief Financial Officer</c:v>
                </c:pt>
                <c:pt idx="2">
                  <c:v>Deputy Director: Communication, Education and Stakeholder Relations</c:v>
                </c:pt>
                <c:pt idx="3">
                  <c:v>Deputy Director: Compliance and Enforcement</c:v>
                </c:pt>
                <c:pt idx="4">
                  <c:v>Deputy Director: Corporate Services</c:v>
                </c:pt>
                <c:pt idx="5">
                  <c:v>Deputy Director: Liquor Licencing Administration</c:v>
                </c:pt>
              </c:strCache>
            </c:strRef>
          </c:cat>
          <c:val>
            <c:numRef>
              <c:f>'Summary per Component'!$M$4:$M$9</c:f>
              <c:numCache>
                <c:formatCode>_ * #\ ##0_ ;_ * \-#\ ##0_ ;_ * "-"??_ ;_ @_ </c:formatCode>
                <c:ptCount val="6"/>
                <c:pt idx="0">
                  <c:v>3216844.4249061993</c:v>
                </c:pt>
                <c:pt idx="1">
                  <c:v>12681434.706733271</c:v>
                </c:pt>
                <c:pt idx="2">
                  <c:v>4643270.9864315614</c:v>
                </c:pt>
                <c:pt idx="3">
                  <c:v>9688056.4238239359</c:v>
                </c:pt>
                <c:pt idx="4">
                  <c:v>10362608.577165477</c:v>
                </c:pt>
                <c:pt idx="5">
                  <c:v>14416198.215691088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A-418E-890F-1F6027CB9E69}"/>
            </c:ext>
          </c:extLst>
        </c:ser>
        <c:ser>
          <c:idx val="1"/>
          <c:order val="1"/>
          <c:tx>
            <c:strRef>
              <c:f>'Summary per Component'!$N$2</c:f>
              <c:strCache>
                <c:ptCount val="1"/>
                <c:pt idx="0">
                  <c:v>2019/20 YTD (Actual)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_(&quot;R&quot;* #,##0_);_(&quot;R&quot;* \(#,##0\);_(&quot;R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'Summary per Component'!$L$4:$L$9</c:f>
              <c:strCache>
                <c:ptCount val="6"/>
                <c:pt idx="0">
                  <c:v>Chief Executive Officer</c:v>
                </c:pt>
                <c:pt idx="1">
                  <c:v>Chief Financial Officer</c:v>
                </c:pt>
                <c:pt idx="2">
                  <c:v>Deputy Director: Communication, Education and Stakeholder Relations</c:v>
                </c:pt>
                <c:pt idx="3">
                  <c:v>Deputy Director: Compliance and Enforcement</c:v>
                </c:pt>
                <c:pt idx="4">
                  <c:v>Deputy Director: Corporate Services</c:v>
                </c:pt>
                <c:pt idx="5">
                  <c:v>Deputy Director: Liquor Licencing Administration</c:v>
                </c:pt>
              </c:strCache>
            </c:strRef>
          </c:cat>
          <c:val>
            <c:numRef>
              <c:f>'Summary per Component'!$N$4:$N$9</c:f>
              <c:numCache>
                <c:formatCode>_ * #\ ##0_ ;_ * \-#\ ##0_ ;_ * "-"??_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A-418E-890F-1F6027CB9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117504"/>
        <c:axId val="140119040"/>
      </c:barChart>
      <c:catAx>
        <c:axId val="14011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119040"/>
        <c:crosses val="autoZero"/>
        <c:auto val="1"/>
        <c:lblAlgn val="ctr"/>
        <c:lblOffset val="100"/>
        <c:noMultiLvlLbl val="0"/>
      </c:catAx>
      <c:valAx>
        <c:axId val="14011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11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Expenditure by Component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per Component (2)'!$S$2</c:f>
              <c:strCache>
                <c:ptCount val="1"/>
                <c:pt idx="0">
                  <c:v>Budget 2019/20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&quot;R&quot;* #,##0_);_(&quot;R&quot;* \(#,##0\);_(&quot;R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'Summary per Component (2)'!$R$4:$R$9</c:f>
              <c:strCache>
                <c:ptCount val="6"/>
                <c:pt idx="0">
                  <c:v>Liquor Licencing Administration</c:v>
                </c:pt>
                <c:pt idx="1">
                  <c:v>Liquor Licencing Tribunal</c:v>
                </c:pt>
                <c:pt idx="2">
                  <c:v>Communication, Education and Stakeholder Relations</c:v>
                </c:pt>
                <c:pt idx="3">
                  <c:v>Compliance and Enforcement</c:v>
                </c:pt>
                <c:pt idx="4">
                  <c:v>Finance</c:v>
                </c:pt>
                <c:pt idx="5">
                  <c:v>Corporate Services</c:v>
                </c:pt>
              </c:strCache>
            </c:strRef>
          </c:cat>
          <c:val>
            <c:numRef>
              <c:f>'Summary per Component (2)'!$S$4:$S$9</c:f>
              <c:numCache>
                <c:formatCode>_ * #\ ##0_ ;_ * \-#\ ##0_ ;_ * "-"??_ ;_ @_ </c:formatCode>
                <c:ptCount val="6"/>
                <c:pt idx="0">
                  <c:v>13406448.330675483</c:v>
                </c:pt>
                <c:pt idx="1">
                  <c:v>4381643.0970335314</c:v>
                </c:pt>
                <c:pt idx="2">
                  <c:v>5179411.723915928</c:v>
                </c:pt>
                <c:pt idx="3">
                  <c:v>9595932.0974608865</c:v>
                </c:pt>
                <c:pt idx="4">
                  <c:v>15307557.780217638</c:v>
                </c:pt>
                <c:pt idx="5">
                  <c:v>9805966.2056850716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7-446C-BBBC-ED63AA3B0EC4}"/>
            </c:ext>
          </c:extLst>
        </c:ser>
        <c:ser>
          <c:idx val="1"/>
          <c:order val="1"/>
          <c:tx>
            <c:strRef>
              <c:f>'Summary per Component (2)'!$T$2</c:f>
              <c:strCache>
                <c:ptCount val="1"/>
                <c:pt idx="0">
                  <c:v>2019/20 YTD (Actual)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_(&quot;R&quot;* #,##0_);_(&quot;R&quot;* \(#,##0\);_(&quot;R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'Summary per Component (2)'!$R$4:$R$9</c:f>
              <c:strCache>
                <c:ptCount val="6"/>
                <c:pt idx="0">
                  <c:v>Liquor Licencing Administration</c:v>
                </c:pt>
                <c:pt idx="1">
                  <c:v>Liquor Licencing Tribunal</c:v>
                </c:pt>
                <c:pt idx="2">
                  <c:v>Communication, Education and Stakeholder Relations</c:v>
                </c:pt>
                <c:pt idx="3">
                  <c:v>Compliance and Enforcement</c:v>
                </c:pt>
                <c:pt idx="4">
                  <c:v>Finance</c:v>
                </c:pt>
                <c:pt idx="5">
                  <c:v>Corporate Services</c:v>
                </c:pt>
              </c:strCache>
            </c:strRef>
          </c:cat>
          <c:val>
            <c:numRef>
              <c:f>'Summary per Component (2)'!$T$4:$T$9</c:f>
              <c:numCache>
                <c:formatCode>_ * #\ ##0_ ;_ * \-#\ ##0_ ;_ * "-"??_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632073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D7-446C-BBBC-ED63AA3B0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244864"/>
        <c:axId val="204246400"/>
      </c:barChart>
      <c:catAx>
        <c:axId val="20424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46400"/>
        <c:crosses val="autoZero"/>
        <c:auto val="1"/>
        <c:lblAlgn val="ctr"/>
        <c:lblOffset val="100"/>
        <c:noMultiLvlLbl val="0"/>
      </c:catAx>
      <c:valAx>
        <c:axId val="20424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4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Financial</a:t>
            </a:r>
            <a:r>
              <a:rPr lang="en-US" baseline="0"/>
              <a:t> Performance - 31 January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'Financial Performance'!$A$3</c:f>
              <c:strCache>
                <c:ptCount val="1"/>
                <c:pt idx="0">
                  <c:v>Budget 2019/20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4.4444444444444543E-2"/>
                  <c:y val="-7.407407407407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99-4E28-A3E1-B0F2FB219831}"/>
                </c:ext>
              </c:extLst>
            </c:dLbl>
            <c:numFmt formatCode="_(&quot;R&quot;* #,##0_);_(&quot;R&quot;* \(#,##0\);_(&quot;R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'Financial Performance'!$B$2:$D$2</c:f>
              <c:strCache>
                <c:ptCount val="3"/>
                <c:pt idx="0">
                  <c:v>Total Revenue</c:v>
                </c:pt>
                <c:pt idx="1">
                  <c:v>Total Expenditure</c:v>
                </c:pt>
                <c:pt idx="2">
                  <c:v>Total Capital Expenditure</c:v>
                </c:pt>
              </c:strCache>
            </c:strRef>
          </c:cat>
          <c:val>
            <c:numRef>
              <c:f>'Financial Performance'!$B$3:$D$3</c:f>
              <c:numCache>
                <c:formatCode>"R"#\ ##0</c:formatCode>
                <c:ptCount val="3"/>
                <c:pt idx="0">
                  <c:v>54980182.068000004</c:v>
                </c:pt>
                <c:pt idx="1">
                  <c:v>48573171.737600006</c:v>
                </c:pt>
                <c:pt idx="2">
                  <c:v>2163606.3303999999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9-4E28-A3E1-B0F2FB219831}"/>
            </c:ext>
          </c:extLst>
        </c:ser>
        <c:ser>
          <c:idx val="1"/>
          <c:order val="1"/>
          <c:tx>
            <c:strRef>
              <c:f>'Financial Performance'!$A$4</c:f>
              <c:strCache>
                <c:ptCount val="1"/>
                <c:pt idx="0">
                  <c:v>2019/20 YTD (Actual)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_(&quot;R&quot;* #,##0_);_(&quot;R&quot;* \(#,##0\);_(&quot;R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'Financial Performance'!$B$2:$D$2</c:f>
              <c:strCache>
                <c:ptCount val="3"/>
                <c:pt idx="0">
                  <c:v>Total Revenue</c:v>
                </c:pt>
                <c:pt idx="1">
                  <c:v>Total Expenditure</c:v>
                </c:pt>
                <c:pt idx="2">
                  <c:v>Total Capital Expenditure</c:v>
                </c:pt>
              </c:strCache>
            </c:strRef>
          </c:cat>
          <c:val>
            <c:numRef>
              <c:f>'Financial Performance'!$B$4:$D$4</c:f>
              <c:numCache>
                <c:formatCode>"R"#\ ##0</c:formatCode>
                <c:ptCount val="3"/>
                <c:pt idx="0">
                  <c:v>41082893.760000005</c:v>
                </c:pt>
                <c:pt idx="1">
                  <c:v>0</c:v>
                </c:pt>
                <c:pt idx="2">
                  <c:v>1848575.2800000005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99-4E28-A3E1-B0F2FB21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382976"/>
        <c:axId val="204384512"/>
      </c:barChart>
      <c:catAx>
        <c:axId val="2043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84512"/>
        <c:crosses val="autoZero"/>
        <c:auto val="1"/>
        <c:lblAlgn val="ctr"/>
        <c:lblOffset val="100"/>
        <c:noMultiLvlLbl val="0"/>
      </c:catAx>
      <c:valAx>
        <c:axId val="20438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&quot;* #,##0_);_(&quot;R&quot;* \(#,##0\);_(&quot;R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8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Operating Expenditure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'Monthly Operating Exp'!$A$3</c:f>
              <c:strCache>
                <c:ptCount val="1"/>
                <c:pt idx="0">
                  <c:v>2019/20 Budget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'Monthly Operating Exp'!$B$1:$M$2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'Monthly Operating Exp'!$B$3:$M$3</c:f>
              <c:numCache>
                <c:formatCode>_ * #\ ##0_ ;_ * \-#\ ##0_ ;_ * "-"??_ ;_ @_ </c:formatCode>
                <c:ptCount val="12"/>
                <c:pt idx="0">
                  <c:v>4107381.3114666673</c:v>
                </c:pt>
                <c:pt idx="1">
                  <c:v>8214762.6229333347</c:v>
                </c:pt>
                <c:pt idx="2">
                  <c:v>12322143.934400002</c:v>
                </c:pt>
                <c:pt idx="3">
                  <c:v>16429525.245866669</c:v>
                </c:pt>
                <c:pt idx="4">
                  <c:v>20536906.557333335</c:v>
                </c:pt>
                <c:pt idx="5">
                  <c:v>24644287.868800003</c:v>
                </c:pt>
                <c:pt idx="6">
                  <c:v>28751669.180266671</c:v>
                </c:pt>
                <c:pt idx="7">
                  <c:v>32859050.491733339</c:v>
                </c:pt>
                <c:pt idx="8">
                  <c:v>36966431.803200006</c:v>
                </c:pt>
                <c:pt idx="9">
                  <c:v>42249813.00698223</c:v>
                </c:pt>
                <c:pt idx="10">
                  <c:v>47533194.210764453</c:v>
                </c:pt>
                <c:pt idx="11">
                  <c:v>52816575.414546676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13-4F19-B8FB-0B7AA05A24F9}"/>
            </c:ext>
          </c:extLst>
        </c:ser>
        <c:ser>
          <c:idx val="1"/>
          <c:order val="1"/>
          <c:tx>
            <c:strRef>
              <c:f>'Monthly Operating Exp'!$A$4</c:f>
              <c:strCache>
                <c:ptCount val="1"/>
                <c:pt idx="0">
                  <c:v>2018/19 Actuals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'Monthly Operating Exp'!$B$1:$M$2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'Monthly Operating Exp'!$B$4:$M$4</c:f>
              <c:numCache>
                <c:formatCode>_ * #\ ##0_ ;_ * \-#\ ##0_ ;_ * "-"??_ ;_ @_ </c:formatCode>
                <c:ptCount val="12"/>
                <c:pt idx="0">
                  <c:v>4679187.3599999994</c:v>
                </c:pt>
                <c:pt idx="1">
                  <c:v>8099491.169999999</c:v>
                </c:pt>
                <c:pt idx="2">
                  <c:v>11350363.038095236</c:v>
                </c:pt>
                <c:pt idx="3">
                  <c:v>15950497.065095235</c:v>
                </c:pt>
                <c:pt idx="4">
                  <c:v>20888852.890095234</c:v>
                </c:pt>
                <c:pt idx="5">
                  <c:v>24339459.030095235</c:v>
                </c:pt>
                <c:pt idx="6">
                  <c:v>27849244.610095233</c:v>
                </c:pt>
                <c:pt idx="7">
                  <c:v>32959887.210095234</c:v>
                </c:pt>
                <c:pt idx="8">
                  <c:v>37005252.750095233</c:v>
                </c:pt>
                <c:pt idx="9">
                  <c:v>39959769.23009523</c:v>
                </c:pt>
                <c:pt idx="10">
                  <c:v>43157600.460095227</c:v>
                </c:pt>
                <c:pt idx="11">
                  <c:v>50125288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13-4F19-B8FB-0B7AA05A24F9}"/>
            </c:ext>
          </c:extLst>
        </c:ser>
        <c:ser>
          <c:idx val="2"/>
          <c:order val="2"/>
          <c:tx>
            <c:strRef>
              <c:f>'Monthly Operating Exp'!$A$5</c:f>
              <c:strCache>
                <c:ptCount val="1"/>
                <c:pt idx="0">
                  <c:v>2019/20 YTD (Actual)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13-4F19-B8FB-0B7AA05A24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13-4F19-B8FB-0B7AA05A24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13-4F19-B8FB-0B7AA05A24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13-4F19-B8FB-0B7AA05A24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13-4F19-B8FB-0B7AA05A24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13-4F19-B8FB-0B7AA05A24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13-4F19-B8FB-0B7AA05A24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13-4F19-B8FB-0B7AA05A24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13-4F19-B8FB-0B7AA05A24F9}"/>
                </c:ext>
              </c:extLst>
            </c:dLbl>
            <c:dLbl>
              <c:idx val="9"/>
              <c:layout>
                <c:manualLayout>
                  <c:x val="2.1013919984618473E-3"/>
                  <c:y val="4.1666666666666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13-4F19-B8FB-0B7AA05A24F9}"/>
                </c:ext>
              </c:extLst>
            </c:dLbl>
            <c:numFmt formatCode="_(&quot;R&quot;* #,##0_);_(&quot;R&quot;* \(#,##0\);_(&quot;R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'Monthly Operating Exp'!$B$1:$M$2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'Monthly Operating Exp'!$B$5:$M$5</c:f>
              <c:numCache>
                <c:formatCode>_ * #\ ##0_ ;_ * \-#\ ##0_ ;_ * "-"??_ ;_ @_ </c:formatCode>
                <c:ptCount val="12"/>
                <c:pt idx="0">
                  <c:v>2913263.1</c:v>
                </c:pt>
                <c:pt idx="1">
                  <c:v>6222320.9600000009</c:v>
                </c:pt>
                <c:pt idx="2">
                  <c:v>10720173.939999999</c:v>
                </c:pt>
                <c:pt idx="3">
                  <c:v>14544680.710000001</c:v>
                </c:pt>
                <c:pt idx="4">
                  <c:v>18794602.43</c:v>
                </c:pt>
                <c:pt idx="5">
                  <c:v>22516030.02</c:v>
                </c:pt>
                <c:pt idx="6">
                  <c:v>27011128.619999997</c:v>
                </c:pt>
                <c:pt idx="7">
                  <c:v>32061874.019999996</c:v>
                </c:pt>
                <c:pt idx="8">
                  <c:v>36463867.599999994</c:v>
                </c:pt>
                <c:pt idx="9">
                  <c:v>40485334.999999993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13-4F19-B8FB-0B7AA05A2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476416"/>
        <c:axId val="204477952"/>
      </c:lineChart>
      <c:dateAx>
        <c:axId val="204476416"/>
        <c:scaling>
          <c:orientation val="minMax"/>
          <c:max val="43921"/>
          <c:min val="43585"/>
        </c:scaling>
        <c:delete val="0"/>
        <c:axPos val="b"/>
        <c:numFmt formatCode="mmm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477952"/>
        <c:crosses val="autoZero"/>
        <c:auto val="1"/>
        <c:lblOffset val="100"/>
        <c:baseTimeUnit val="months"/>
      </c:dateAx>
      <c:valAx>
        <c:axId val="2044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&quot;* #,##0_);_(&quot;R&quot;* \(#,##0\);_(&quot;R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47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Capital Expenditure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'[3]Monthly Operating Exp'!$A$33</c:f>
              <c:strCache>
                <c:ptCount val="1"/>
                <c:pt idx="0">
                  <c:v>2019/20 Budget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'[3]Monthly Operating Exp'!$B$31:$M$32</c:f>
              <c:multiLvlStrCache>
                <c:ptCount val="12"/>
                <c:lvl>
                  <c:pt idx="0">
                    <c:v>43585</c:v>
                  </c:pt>
                  <c:pt idx="1">
                    <c:v>43616</c:v>
                  </c:pt>
                  <c:pt idx="2">
                    <c:v>43646</c:v>
                  </c:pt>
                  <c:pt idx="3">
                    <c:v>43677</c:v>
                  </c:pt>
                  <c:pt idx="4">
                    <c:v>43708</c:v>
                  </c:pt>
                  <c:pt idx="5">
                    <c:v>43738</c:v>
                  </c:pt>
                  <c:pt idx="6">
                    <c:v>43769</c:v>
                  </c:pt>
                  <c:pt idx="7">
                    <c:v>43799</c:v>
                  </c:pt>
                  <c:pt idx="8">
                    <c:v>43830</c:v>
                  </c:pt>
                  <c:pt idx="9">
                    <c:v>43861</c:v>
                  </c:pt>
                  <c:pt idx="10">
                    <c:v>43889</c:v>
                  </c:pt>
                  <c:pt idx="11">
                    <c:v>43921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'[3]Monthly Operating Exp'!$B$33:$M$33</c:f>
              <c:numCache>
                <c:formatCode>General</c:formatCode>
                <c:ptCount val="12"/>
                <c:pt idx="0">
                  <c:v>142309.86086666666</c:v>
                </c:pt>
                <c:pt idx="1">
                  <c:v>284619.72173333331</c:v>
                </c:pt>
                <c:pt idx="2">
                  <c:v>426929.58259999997</c:v>
                </c:pt>
                <c:pt idx="3">
                  <c:v>569239.44346666662</c:v>
                </c:pt>
                <c:pt idx="4">
                  <c:v>711549.30433333328</c:v>
                </c:pt>
                <c:pt idx="5">
                  <c:v>853859.16519999993</c:v>
                </c:pt>
                <c:pt idx="6">
                  <c:v>996169.02606666659</c:v>
                </c:pt>
                <c:pt idx="7">
                  <c:v>1138478.8869333332</c:v>
                </c:pt>
                <c:pt idx="8">
                  <c:v>1280788.7478</c:v>
                </c:pt>
                <c:pt idx="9">
                  <c:v>1639179.942</c:v>
                </c:pt>
                <c:pt idx="10">
                  <c:v>1997571.1362000001</c:v>
                </c:pt>
                <c:pt idx="11">
                  <c:v>2355962.3304000003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E-4F2D-B160-246C29889098}"/>
            </c:ext>
          </c:extLst>
        </c:ser>
        <c:ser>
          <c:idx val="1"/>
          <c:order val="1"/>
          <c:tx>
            <c:strRef>
              <c:f>'[3]Monthly Operating Exp'!$A$34</c:f>
              <c:strCache>
                <c:ptCount val="1"/>
                <c:pt idx="0">
                  <c:v>2018/19 Actuals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'[3]Monthly Operating Exp'!$B$31:$M$32</c:f>
              <c:multiLvlStrCache>
                <c:ptCount val="12"/>
                <c:lvl>
                  <c:pt idx="0">
                    <c:v>43585</c:v>
                  </c:pt>
                  <c:pt idx="1">
                    <c:v>43616</c:v>
                  </c:pt>
                  <c:pt idx="2">
                    <c:v>43646</c:v>
                  </c:pt>
                  <c:pt idx="3">
                    <c:v>43677</c:v>
                  </c:pt>
                  <c:pt idx="4">
                    <c:v>43708</c:v>
                  </c:pt>
                  <c:pt idx="5">
                    <c:v>43738</c:v>
                  </c:pt>
                  <c:pt idx="6">
                    <c:v>43769</c:v>
                  </c:pt>
                  <c:pt idx="7">
                    <c:v>43799</c:v>
                  </c:pt>
                  <c:pt idx="8">
                    <c:v>43830</c:v>
                  </c:pt>
                  <c:pt idx="9">
                    <c:v>43861</c:v>
                  </c:pt>
                  <c:pt idx="10">
                    <c:v>43889</c:v>
                  </c:pt>
                  <c:pt idx="11">
                    <c:v>43921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'[3]Monthly Operating Exp'!$B$34:$M$34</c:f>
              <c:numCache>
                <c:formatCode>General</c:formatCode>
                <c:ptCount val="12"/>
                <c:pt idx="0">
                  <c:v>169570.75</c:v>
                </c:pt>
                <c:pt idx="1">
                  <c:v>252805.89</c:v>
                </c:pt>
                <c:pt idx="2">
                  <c:v>427574.11</c:v>
                </c:pt>
                <c:pt idx="3">
                  <c:v>881432.51</c:v>
                </c:pt>
                <c:pt idx="4">
                  <c:v>1069228.6499999999</c:v>
                </c:pt>
                <c:pt idx="5">
                  <c:v>1275860.95</c:v>
                </c:pt>
                <c:pt idx="6">
                  <c:v>1381784.5</c:v>
                </c:pt>
                <c:pt idx="7">
                  <c:v>2096787.4100000001</c:v>
                </c:pt>
                <c:pt idx="8">
                  <c:v>2096787.4100000001</c:v>
                </c:pt>
                <c:pt idx="9">
                  <c:v>2281100.7800000003</c:v>
                </c:pt>
                <c:pt idx="10">
                  <c:v>2684779.56</c:v>
                </c:pt>
                <c:pt idx="11">
                  <c:v>4188711.16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E-4F2D-B160-246C29889098}"/>
            </c:ext>
          </c:extLst>
        </c:ser>
        <c:ser>
          <c:idx val="2"/>
          <c:order val="2"/>
          <c:tx>
            <c:strRef>
              <c:f>'[3]Monthly Operating Exp'!$A$35</c:f>
              <c:strCache>
                <c:ptCount val="1"/>
                <c:pt idx="0">
                  <c:v>2019/20 YTD (Actual)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1.2608351990771238E-2"/>
                  <c:y val="2.777777777777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8E-4F2D-B160-246C29889098}"/>
                </c:ext>
              </c:extLst>
            </c:dLbl>
            <c:numFmt formatCode="_(&quot;R&quot;* #,##0_);_(&quot;R&quot;* \(#,##0\);_(&quot;R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'[3]Monthly Operating Exp'!$B$31:$M$32</c:f>
              <c:multiLvlStrCache>
                <c:ptCount val="12"/>
                <c:lvl>
                  <c:pt idx="0">
                    <c:v>43585</c:v>
                  </c:pt>
                  <c:pt idx="1">
                    <c:v>43616</c:v>
                  </c:pt>
                  <c:pt idx="2">
                    <c:v>43646</c:v>
                  </c:pt>
                  <c:pt idx="3">
                    <c:v>43677</c:v>
                  </c:pt>
                  <c:pt idx="4">
                    <c:v>43708</c:v>
                  </c:pt>
                  <c:pt idx="5">
                    <c:v>43738</c:v>
                  </c:pt>
                  <c:pt idx="6">
                    <c:v>43769</c:v>
                  </c:pt>
                  <c:pt idx="7">
                    <c:v>43799</c:v>
                  </c:pt>
                  <c:pt idx="8">
                    <c:v>43830</c:v>
                  </c:pt>
                  <c:pt idx="9">
                    <c:v>43861</c:v>
                  </c:pt>
                  <c:pt idx="10">
                    <c:v>43889</c:v>
                  </c:pt>
                  <c:pt idx="11">
                    <c:v>43921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'[3]Monthly Operating Exp'!$B$35:$M$35</c:f>
              <c:numCache>
                <c:formatCode>General</c:formatCode>
                <c:ptCount val="12"/>
                <c:pt idx="0">
                  <c:v>15440.33</c:v>
                </c:pt>
                <c:pt idx="1">
                  <c:v>852675.41999999993</c:v>
                </c:pt>
                <c:pt idx="2">
                  <c:v>950410.92999999993</c:v>
                </c:pt>
                <c:pt idx="3">
                  <c:v>988140.34</c:v>
                </c:pt>
                <c:pt idx="4">
                  <c:v>1189852.6199999999</c:v>
                </c:pt>
                <c:pt idx="5">
                  <c:v>1296877.0299999998</c:v>
                </c:pt>
                <c:pt idx="6">
                  <c:v>1399746.3399999999</c:v>
                </c:pt>
                <c:pt idx="7">
                  <c:v>1510056.18</c:v>
                </c:pt>
                <c:pt idx="8">
                  <c:v>1640828.15</c:v>
                </c:pt>
                <c:pt idx="9">
                  <c:v>1734603.1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8E-4F2D-B160-246C29889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522240"/>
        <c:axId val="204523776"/>
      </c:lineChart>
      <c:catAx>
        <c:axId val="204522240"/>
        <c:scaling>
          <c:orientation val="minMax"/>
          <c:max val="43921"/>
          <c:min val="43585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23776"/>
        <c:crosses val="autoZero"/>
        <c:auto val="1"/>
        <c:lblAlgn val="ctr"/>
        <c:lblOffset val="100"/>
        <c:noMultiLvlLbl val="1"/>
      </c:catAx>
      <c:valAx>
        <c:axId val="20452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&quot;* #,##0_);_(&quot;R&quot;* \(#,##0\);_(&quot;R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2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46</xdr:row>
      <xdr:rowOff>21167</xdr:rowOff>
    </xdr:from>
    <xdr:to>
      <xdr:col>13</xdr:col>
      <xdr:colOff>1259417</xdr:colOff>
      <xdr:row>58</xdr:row>
      <xdr:rowOff>137584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1259417</xdr:colOff>
      <xdr:row>46</xdr:row>
      <xdr:rowOff>20108</xdr:rowOff>
    </xdr:from>
    <xdr:to>
      <xdr:col>21</xdr:col>
      <xdr:colOff>0</xdr:colOff>
      <xdr:row>58</xdr:row>
      <xdr:rowOff>137584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357187</xdr:colOff>
      <xdr:row>11</xdr:row>
      <xdr:rowOff>122632</xdr:rowOff>
    </xdr:from>
    <xdr:to>
      <xdr:col>18</xdr:col>
      <xdr:colOff>119062</xdr:colOff>
      <xdr:row>32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14</xdr:row>
      <xdr:rowOff>0</xdr:rowOff>
    </xdr:from>
    <xdr:to>
      <xdr:col>24</xdr:col>
      <xdr:colOff>539750</xdr:colOff>
      <xdr:row>33</xdr:row>
      <xdr:rowOff>182962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390524</xdr:colOff>
      <xdr:row>12</xdr:row>
      <xdr:rowOff>14287</xdr:rowOff>
    </xdr:from>
    <xdr:to>
      <xdr:col>13</xdr:col>
      <xdr:colOff>476249</xdr:colOff>
      <xdr:row>26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233361</xdr:colOff>
      <xdr:row>12</xdr:row>
      <xdr:rowOff>185737</xdr:rowOff>
    </xdr:from>
    <xdr:to>
      <xdr:col>13</xdr:col>
      <xdr:colOff>561974</xdr:colOff>
      <xdr:row>27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233361</xdr:colOff>
      <xdr:row>42</xdr:row>
      <xdr:rowOff>185737</xdr:rowOff>
    </xdr:from>
    <xdr:to>
      <xdr:col>13</xdr:col>
      <xdr:colOff>561974</xdr:colOff>
      <xdr:row>57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viljoen\monthly%20pack\Concentra%20-MARCH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s01vfs01\users\bobbyv\OPSCOM\June2002\SCORECARDAUG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isog/Documents/Assistant%20Director%20-%20Finance/Quaterly%20Reporting/CFO%20Report/Updated%20WCLA%20Monthly%20Pack%20December%202019%20-%20Final%201301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2"/>
      <sheetName val="RD4"/>
      <sheetName val="RD4(A)"/>
      <sheetName val="RD5 (M)"/>
      <sheetName val="RD7"/>
      <sheetName val="RD9"/>
      <sheetName val="RD 10"/>
      <sheetName val="RD22"/>
      <sheetName val="RD28AB"/>
      <sheetName val="RD27-28"/>
      <sheetName val="RD27(A)"/>
      <sheetName val="RD34.1"/>
      <sheetName val="RD-32"/>
      <sheetName val="RD34.2"/>
      <sheetName val="RD34.3"/>
      <sheetName val="WORKINGS"/>
      <sheetName val="VARIANCE REPORT"/>
      <sheetName val="Actual EUR"/>
      <sheetName val="RD4NEW Consolidation Act"/>
      <sheetName val="Actual Z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sComGraphs"/>
      <sheetName val="OpsComData"/>
      <sheetName val="OpsComData (2)"/>
      <sheetName val="Module1"/>
      <sheetName val="Module2"/>
      <sheetName val="Module3"/>
      <sheetName val="Module4"/>
    </sheetNames>
    <sheetDataSet>
      <sheetData sheetId="0">
        <row r="1">
          <cell r="F1" t="str">
            <v>FINANCIAL</v>
          </cell>
        </row>
        <row r="22">
          <cell r="J22" t="str">
            <v>PBIT   (R'000)</v>
          </cell>
        </row>
        <row r="23">
          <cell r="H23" t="str">
            <v>ROCE</v>
          </cell>
          <cell r="K23" t="str">
            <v>Plan</v>
          </cell>
          <cell r="L23" t="str">
            <v>Actual</v>
          </cell>
        </row>
        <row r="24">
          <cell r="H24">
            <v>0</v>
          </cell>
          <cell r="J24" t="str">
            <v>Month</v>
          </cell>
          <cell r="K24">
            <v>6156</v>
          </cell>
          <cell r="L24">
            <v>8185</v>
          </cell>
        </row>
        <row r="25">
          <cell r="H25">
            <v>0.29699999999999999</v>
          </cell>
          <cell r="J25" t="str">
            <v>YTD</v>
          </cell>
          <cell r="K25">
            <v>6156</v>
          </cell>
          <cell r="L25">
            <v>8185</v>
          </cell>
        </row>
        <row r="26">
          <cell r="H26">
            <v>0.31</v>
          </cell>
          <cell r="J26" t="str">
            <v>Forecast</v>
          </cell>
          <cell r="K26">
            <v>125951</v>
          </cell>
          <cell r="L26">
            <v>125951</v>
          </cell>
        </row>
        <row r="27">
          <cell r="H27">
            <v>0.34399999999999997</v>
          </cell>
          <cell r="J27" t="str">
            <v>Last Year</v>
          </cell>
          <cell r="K27">
            <v>131356</v>
          </cell>
          <cell r="L27">
            <v>126378</v>
          </cell>
        </row>
        <row r="32">
          <cell r="F32" t="str">
            <v>MARKETING &amp; SELLING</v>
          </cell>
        </row>
        <row r="64">
          <cell r="E64" t="str">
            <v>INTERNAL PROCESSESS</v>
          </cell>
        </row>
        <row r="98">
          <cell r="E98" t="str">
            <v>LEARNING &amp; DEVELOPMENT</v>
          </cell>
        </row>
      </sheetData>
      <sheetData sheetId="1">
        <row r="1">
          <cell r="A1" t="str">
            <v>BALANCE SCORE CARD</v>
          </cell>
        </row>
        <row r="5">
          <cell r="A5" t="str">
            <v>MARKETING</v>
          </cell>
        </row>
        <row r="6">
          <cell r="A6" t="str">
            <v>CONTACT : GRAHAM DUGDALE  /  (assist.: Megan)</v>
          </cell>
        </row>
        <row r="7">
          <cell r="A7" t="str">
            <v>SERVICE LEVELS</v>
          </cell>
        </row>
        <row r="8">
          <cell r="A8" t="str">
            <v>DOMESTIC</v>
          </cell>
        </row>
        <row r="9">
          <cell r="A9" t="str">
            <v>TOTAL "B" CODES</v>
          </cell>
        </row>
        <row r="10">
          <cell r="A10" t="str">
            <v>CCS - S&amp;D</v>
          </cell>
        </row>
        <row r="11">
          <cell r="A11" t="str">
            <v>RETAIL</v>
          </cell>
        </row>
        <row r="12">
          <cell r="A12" t="str">
            <v>FOODSERVICE</v>
          </cell>
        </row>
        <row r="13">
          <cell r="A13" t="str">
            <v>TOTAL "B" CODES</v>
          </cell>
        </row>
        <row r="14">
          <cell r="A14" t="str">
            <v>SPECIALITY</v>
          </cell>
        </row>
        <row r="15">
          <cell r="A15" t="str">
            <v>CHICKEN</v>
          </cell>
        </row>
        <row r="16">
          <cell r="A16" t="str">
            <v>BEEF</v>
          </cell>
        </row>
        <row r="17">
          <cell r="A17" t="str">
            <v>RETAIL MARKET SHARES (Nielsens)</v>
          </cell>
        </row>
        <row r="19">
          <cell r="A19" t="str">
            <v>RETAIL VALUE / VOLUME RATIO</v>
          </cell>
        </row>
        <row r="20">
          <cell r="A20" t="str">
            <v>I&amp;J</v>
          </cell>
        </row>
        <row r="21">
          <cell r="A21" t="str">
            <v>SEA HARVEST</v>
          </cell>
        </row>
        <row r="23">
          <cell r="A23" t="str">
            <v>INNOVATION</v>
          </cell>
        </row>
        <row r="24">
          <cell r="A24" t="str">
            <v>NEW PRODUCTS (last 3 years) AS A % OF TOTAL PORTFOLIO</v>
          </cell>
        </row>
        <row r="25">
          <cell r="A25" t="str">
            <v>RETAIL</v>
          </cell>
        </row>
        <row r="26">
          <cell r="A26" t="str">
            <v>FOODSERVICE</v>
          </cell>
        </row>
        <row r="27">
          <cell r="A27" t="str">
            <v>SPECIALITY</v>
          </cell>
        </row>
        <row r="28">
          <cell r="A28" t="str">
            <v>EXPORT "B" CODES</v>
          </cell>
        </row>
        <row r="29">
          <cell r="A29" t="str">
            <v>CHICKEN &amp; BEEF</v>
          </cell>
        </row>
        <row r="31">
          <cell r="A31" t="str">
            <v>PORTFOLIO PERFORMANCE FOR THE MONTH UNDER REVIEW (ratio to plan)</v>
          </cell>
        </row>
        <row r="32">
          <cell r="A32" t="str">
            <v>LOCAL SALES RETAIL &amp; FOOD SERVICE</v>
          </cell>
        </row>
        <row r="33">
          <cell r="A33" t="str">
            <v>TONS</v>
          </cell>
        </row>
        <row r="34">
          <cell r="A34" t="str">
            <v>NSV/TON</v>
          </cell>
        </row>
        <row r="35">
          <cell r="A35" t="str">
            <v>GM/TON</v>
          </cell>
        </row>
        <row r="36">
          <cell r="A36" t="str">
            <v>EXPORTS - A &amp; B GROUP</v>
          </cell>
        </row>
        <row r="37">
          <cell r="A37" t="str">
            <v>TONS</v>
          </cell>
        </row>
        <row r="38">
          <cell r="A38" t="str">
            <v>NSV/TON</v>
          </cell>
        </row>
        <row r="39">
          <cell r="A39" t="str">
            <v>GM/TON</v>
          </cell>
        </row>
        <row r="41">
          <cell r="A41" t="str">
            <v>CTT</v>
          </cell>
        </row>
        <row r="42">
          <cell r="A42" t="str">
            <v>CONTACT : MERVYN BURTON</v>
          </cell>
        </row>
        <row r="43">
          <cell r="A43" t="str">
            <v>Vessel Utilisation</v>
          </cell>
        </row>
        <row r="45">
          <cell r="A45" t="str">
            <v>Plan Vessel Utilisation</v>
          </cell>
        </row>
        <row r="46">
          <cell r="A46" t="str">
            <v>Actual Vessel Utilisation</v>
          </cell>
        </row>
        <row r="48">
          <cell r="A48" t="str">
            <v>Tons Per Sea Day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Flex"/>
      <sheetName val="CEO info"/>
      <sheetName val="WCLA Report"/>
      <sheetName val="Summary per Component"/>
      <sheetName val="Financial Performance"/>
      <sheetName val="Monthly Operating Exp"/>
      <sheetName val="Budget Report DOCs"/>
      <sheetName val="Variance vs Component summary"/>
      <sheetName val="Sheet10"/>
      <sheetName val="WCLA Consolidated Actuals"/>
      <sheetName val="Cost centre consolidation"/>
      <sheetName val="CC summary"/>
      <sheetName val="CEO"/>
      <sheetName val="CS"/>
      <sheetName val="CFO"/>
      <sheetName val="LLA"/>
      <sheetName val="C&amp;E"/>
      <sheetName val="CES"/>
      <sheetName val="LLT"/>
      <sheetName val="GB"/>
      <sheetName val="Governing Board Schedule"/>
      <sheetName val="LLT Summary"/>
      <sheetName val="Salary schedule"/>
      <sheetName val="CEO "/>
      <sheetName val="CEO  (2)"/>
    </sheetNames>
    <sheetDataSet>
      <sheetData sheetId="0"/>
      <sheetData sheetId="1"/>
      <sheetData sheetId="2"/>
      <sheetData sheetId="3"/>
      <sheetData sheetId="4"/>
      <sheetData sheetId="5"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43585</v>
          </cell>
          <cell r="C32">
            <v>43616</v>
          </cell>
          <cell r="D32">
            <v>43646</v>
          </cell>
          <cell r="E32">
            <v>43677</v>
          </cell>
          <cell r="F32">
            <v>43708</v>
          </cell>
          <cell r="G32">
            <v>43738</v>
          </cell>
          <cell r="H32">
            <v>43769</v>
          </cell>
          <cell r="I32">
            <v>43799</v>
          </cell>
          <cell r="J32">
            <v>43830</v>
          </cell>
          <cell r="K32">
            <v>43861</v>
          </cell>
          <cell r="L32">
            <v>43889</v>
          </cell>
          <cell r="M32">
            <v>43921</v>
          </cell>
        </row>
        <row r="33">
          <cell r="A33" t="str">
            <v xml:space="preserve">2019/20 Budget </v>
          </cell>
          <cell r="B33">
            <v>142309.86086666666</v>
          </cell>
          <cell r="C33">
            <v>284619.72173333331</v>
          </cell>
          <cell r="D33">
            <v>426929.58259999997</v>
          </cell>
          <cell r="E33">
            <v>569239.44346666662</v>
          </cell>
          <cell r="F33">
            <v>711549.30433333328</v>
          </cell>
          <cell r="G33">
            <v>853859.16519999993</v>
          </cell>
          <cell r="H33">
            <v>996169.02606666659</v>
          </cell>
          <cell r="I33">
            <v>1138478.8869333332</v>
          </cell>
          <cell r="J33">
            <v>1280788.7478</v>
          </cell>
          <cell r="K33">
            <v>1639179.942</v>
          </cell>
          <cell r="L33">
            <v>1997571.1362000001</v>
          </cell>
          <cell r="M33">
            <v>2355962.3304000003</v>
          </cell>
        </row>
        <row r="34">
          <cell r="A34" t="str">
            <v>2018/19 Actuals</v>
          </cell>
          <cell r="B34">
            <v>169570.75</v>
          </cell>
          <cell r="C34">
            <v>252805.89</v>
          </cell>
          <cell r="D34">
            <v>427574.11</v>
          </cell>
          <cell r="E34">
            <v>881432.51</v>
          </cell>
          <cell r="F34">
            <v>1069228.6499999999</v>
          </cell>
          <cell r="G34">
            <v>1275860.95</v>
          </cell>
          <cell r="H34">
            <v>1381784.5</v>
          </cell>
          <cell r="I34">
            <v>2096787.4100000001</v>
          </cell>
          <cell r="J34">
            <v>2096787.4100000001</v>
          </cell>
          <cell r="K34">
            <v>2281100.7800000003</v>
          </cell>
          <cell r="L34">
            <v>2684779.56</v>
          </cell>
          <cell r="M34">
            <v>4188711.16</v>
          </cell>
        </row>
        <row r="35">
          <cell r="A35" t="str">
            <v>2019/20 YTD (Actual)</v>
          </cell>
          <cell r="B35">
            <v>15440.33</v>
          </cell>
          <cell r="C35">
            <v>852675.41999999993</v>
          </cell>
          <cell r="D35">
            <v>950410.92999999993</v>
          </cell>
          <cell r="E35">
            <v>988140.34</v>
          </cell>
          <cell r="F35">
            <v>1189852.6199999999</v>
          </cell>
          <cell r="G35">
            <v>1296877.0299999998</v>
          </cell>
          <cell r="H35">
            <v>1399746.3399999999</v>
          </cell>
          <cell r="I35">
            <v>1510056.18</v>
          </cell>
          <cell r="J35">
            <v>1640828.15</v>
          </cell>
          <cell r="K35">
            <v>1734603.1</v>
          </cell>
          <cell r="L35">
            <v>0</v>
          </cell>
          <cell r="M3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D74"/>
  <sheetViews>
    <sheetView showGridLines="0" zoomScale="71" zoomScaleNormal="71" zoomScaleSheetLayoutView="80" workbookViewId="0">
      <selection activeCell="B13" sqref="B13"/>
    </sheetView>
  </sheetViews>
  <sheetFormatPr defaultColWidth="9.109375" defaultRowHeight="13.8" x14ac:dyDescent="0.3"/>
  <cols>
    <col min="1" max="1" width="9.109375" style="1"/>
    <col min="2" max="13" width="10.88671875" style="1" customWidth="1"/>
    <col min="14" max="14" width="43.109375" style="1" bestFit="1" customWidth="1"/>
    <col min="15" max="17" width="10.88671875" style="1" customWidth="1"/>
    <col min="18" max="18" width="12.33203125" style="1" customWidth="1"/>
    <col min="19" max="19" width="10" style="1" customWidth="1"/>
    <col min="20" max="21" width="10.88671875" style="1" customWidth="1"/>
    <col min="22" max="22" width="7.6640625" style="1" customWidth="1"/>
    <col min="23" max="23" width="3.6640625" style="1" customWidth="1"/>
    <col min="24" max="24" width="14" style="1" bestFit="1" customWidth="1"/>
    <col min="25" max="25" width="22.33203125" style="1" customWidth="1"/>
    <col min="26" max="26" width="9.109375" style="1"/>
    <col min="27" max="27" width="11.6640625" style="1" customWidth="1"/>
    <col min="28" max="29" width="9.109375" style="1"/>
    <col min="30" max="30" width="16.33203125" style="1" customWidth="1"/>
    <col min="31" max="16384" width="9.109375" style="1"/>
  </cols>
  <sheetData>
    <row r="1" spans="1:30" x14ac:dyDescent="0.3">
      <c r="B1" s="1" t="s">
        <v>16</v>
      </c>
      <c r="M1" s="1" t="s">
        <v>16</v>
      </c>
      <c r="O1" s="19"/>
    </row>
    <row r="2" spans="1:30" ht="3.75" customHeight="1" x14ac:dyDescent="0.3"/>
    <row r="3" spans="1:30" s="9" customFormat="1" ht="15.6" x14ac:dyDescent="0.3">
      <c r="B3" s="393" t="s">
        <v>15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5" t="s">
        <v>29</v>
      </c>
      <c r="O3" s="393" t="s">
        <v>14</v>
      </c>
      <c r="P3" s="394"/>
      <c r="Q3" s="394"/>
      <c r="R3" s="394"/>
      <c r="S3" s="394"/>
      <c r="T3" s="394"/>
      <c r="U3" s="397"/>
      <c r="V3" s="26"/>
    </row>
    <row r="4" spans="1:30" s="9" customFormat="1" ht="15" customHeight="1" x14ac:dyDescent="0.3">
      <c r="B4" s="73">
        <v>42552</v>
      </c>
      <c r="C4" s="73">
        <v>42583</v>
      </c>
      <c r="D4" s="73">
        <v>42614</v>
      </c>
      <c r="E4" s="73">
        <v>42644</v>
      </c>
      <c r="F4" s="73">
        <v>42675</v>
      </c>
      <c r="G4" s="73">
        <v>42705</v>
      </c>
      <c r="H4" s="73">
        <v>42736</v>
      </c>
      <c r="I4" s="73">
        <v>42767</v>
      </c>
      <c r="J4" s="73">
        <v>42795</v>
      </c>
      <c r="K4" s="73">
        <v>42826</v>
      </c>
      <c r="L4" s="73">
        <v>42856</v>
      </c>
      <c r="M4" s="73">
        <v>42887</v>
      </c>
      <c r="N4" s="396"/>
      <c r="O4" s="73">
        <f>M4</f>
        <v>42887</v>
      </c>
      <c r="P4" s="73">
        <f>O4</f>
        <v>42887</v>
      </c>
      <c r="Q4" s="57">
        <f>P4</f>
        <v>42887</v>
      </c>
      <c r="R4" s="73">
        <f>P4</f>
        <v>42887</v>
      </c>
      <c r="S4" s="57">
        <f>L4</f>
        <v>42856</v>
      </c>
      <c r="T4" s="73">
        <v>42522</v>
      </c>
      <c r="U4" s="68" t="e">
        <f>#REF!</f>
        <v>#REF!</v>
      </c>
      <c r="V4" s="26"/>
    </row>
    <row r="5" spans="1:30" s="9" customFormat="1" ht="15" customHeight="1" x14ac:dyDescent="0.3">
      <c r="B5" s="33" t="s">
        <v>2</v>
      </c>
      <c r="C5" s="33" t="s">
        <v>2</v>
      </c>
      <c r="D5" s="33" t="s">
        <v>2</v>
      </c>
      <c r="E5" s="33" t="s">
        <v>2</v>
      </c>
      <c r="F5" s="33" t="s">
        <v>2</v>
      </c>
      <c r="G5" s="33" t="s">
        <v>2</v>
      </c>
      <c r="H5" s="33" t="s">
        <v>2</v>
      </c>
      <c r="I5" s="33" t="s">
        <v>2</v>
      </c>
      <c r="J5" s="33" t="s">
        <v>2</v>
      </c>
      <c r="K5" s="33" t="s">
        <v>2</v>
      </c>
      <c r="L5" s="33" t="s">
        <v>2</v>
      </c>
      <c r="M5" s="33" t="s">
        <v>2</v>
      </c>
      <c r="N5" s="395" t="s">
        <v>62</v>
      </c>
      <c r="O5" s="33" t="s">
        <v>2</v>
      </c>
      <c r="P5" s="33" t="s">
        <v>4</v>
      </c>
      <c r="Q5" s="58" t="s">
        <v>4</v>
      </c>
      <c r="R5" s="33" t="s">
        <v>1</v>
      </c>
      <c r="S5" s="58" t="s">
        <v>1</v>
      </c>
      <c r="T5" s="33" t="s">
        <v>0</v>
      </c>
      <c r="U5" s="69" t="s">
        <v>0</v>
      </c>
      <c r="V5" s="26"/>
    </row>
    <row r="6" spans="1:30" s="9" customFormat="1" ht="15.6" x14ac:dyDescent="0.3">
      <c r="B6" s="34" t="s">
        <v>12</v>
      </c>
      <c r="C6" s="34" t="s">
        <v>12</v>
      </c>
      <c r="D6" s="34" t="s">
        <v>12</v>
      </c>
      <c r="E6" s="34" t="s">
        <v>12</v>
      </c>
      <c r="F6" s="34" t="s">
        <v>12</v>
      </c>
      <c r="G6" s="34" t="s">
        <v>12</v>
      </c>
      <c r="H6" s="34" t="s">
        <v>12</v>
      </c>
      <c r="I6" s="34" t="s">
        <v>12</v>
      </c>
      <c r="J6" s="34" t="s">
        <v>12</v>
      </c>
      <c r="K6" s="34" t="s">
        <v>12</v>
      </c>
      <c r="L6" s="34" t="s">
        <v>12</v>
      </c>
      <c r="M6" s="34" t="s">
        <v>12</v>
      </c>
      <c r="N6" s="396"/>
      <c r="O6" s="34" t="s">
        <v>12</v>
      </c>
      <c r="P6" s="34" t="s">
        <v>12</v>
      </c>
      <c r="Q6" s="59" t="s">
        <v>13</v>
      </c>
      <c r="R6" s="34" t="s">
        <v>12</v>
      </c>
      <c r="S6" s="59" t="s">
        <v>13</v>
      </c>
      <c r="T6" s="34" t="s">
        <v>12</v>
      </c>
      <c r="U6" s="70" t="s">
        <v>13</v>
      </c>
      <c r="V6" s="26"/>
      <c r="AA6" s="9" t="s">
        <v>65</v>
      </c>
    </row>
    <row r="7" spans="1:30" s="6" customFormat="1" ht="4.5" customHeight="1" x14ac:dyDescent="0.3">
      <c r="A7" s="3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28"/>
      <c r="X7" s="9"/>
      <c r="Y7" s="9"/>
      <c r="Z7" s="9"/>
    </row>
    <row r="8" spans="1:30" s="6" customFormat="1" ht="15.6" x14ac:dyDescent="0.3">
      <c r="B8" s="36" t="e">
        <f>HLOOKUP(B4,#REF!,2,0)/1000</f>
        <v>#REF!</v>
      </c>
      <c r="C8" s="36" t="e">
        <f>HLOOKUP(C4,#REF!,2,0)/1000</f>
        <v>#REF!</v>
      </c>
      <c r="D8" s="36" t="e">
        <f>HLOOKUP(D4,#REF!,2,0)/1000</f>
        <v>#REF!</v>
      </c>
      <c r="E8" s="36" t="e">
        <f>HLOOKUP(E4,#REF!,2,0)/1000</f>
        <v>#REF!</v>
      </c>
      <c r="F8" s="36" t="e">
        <f>HLOOKUP(F4,#REF!,2,0)/1000</f>
        <v>#REF!</v>
      </c>
      <c r="G8" s="36" t="e">
        <f>HLOOKUP(G4,#REF!,2,0)/1000</f>
        <v>#REF!</v>
      </c>
      <c r="H8" s="36" t="e">
        <f>HLOOKUP(H4,#REF!,2,0)/1000</f>
        <v>#REF!</v>
      </c>
      <c r="I8" s="36" t="e">
        <f>HLOOKUP(I4,#REF!,2,0)/1000</f>
        <v>#REF!</v>
      </c>
      <c r="J8" s="36" t="e">
        <f>HLOOKUP(J4,#REF!,2,0)/1000</f>
        <v>#REF!</v>
      </c>
      <c r="K8" s="36" t="e">
        <f>HLOOKUP(K4,#REF!,2,0)/1000</f>
        <v>#REF!</v>
      </c>
      <c r="L8" s="36" t="e">
        <f>HLOOKUP(L4,#REF!,2,0)/1000</f>
        <v>#REF!</v>
      </c>
      <c r="M8" s="36" t="e">
        <f>HLOOKUP(M4,#REF!,2,0)/1000</f>
        <v>#REF!</v>
      </c>
      <c r="N8" s="37" t="s">
        <v>11</v>
      </c>
      <c r="O8" s="36" t="e">
        <f>#REF!</f>
        <v>#REF!</v>
      </c>
      <c r="P8" s="36" t="e">
        <f>#REF!</f>
        <v>#REF!</v>
      </c>
      <c r="Q8" s="60">
        <f>IFERROR(O8/P8*100,0)</f>
        <v>0</v>
      </c>
      <c r="R8" s="36" t="e">
        <f>#REF!</f>
        <v>#REF!</v>
      </c>
      <c r="S8" s="60">
        <f>IFERROR(O8/R8*100,0)</f>
        <v>0</v>
      </c>
      <c r="T8" s="36" t="e">
        <f>#REF!</f>
        <v>#REF!</v>
      </c>
      <c r="U8" s="60">
        <f>IFERROR(O8/T8*100,0)</f>
        <v>0</v>
      </c>
      <c r="V8" s="27"/>
      <c r="X8" s="9"/>
      <c r="Y8" s="9"/>
      <c r="Z8" s="9"/>
      <c r="AA8" s="6" t="e">
        <f>'IS Flex'!O8</f>
        <v>#REF!</v>
      </c>
      <c r="AB8" s="6" t="e">
        <f>O8-AA8</f>
        <v>#REF!</v>
      </c>
    </row>
    <row r="9" spans="1:30" s="6" customFormat="1" ht="15.6" x14ac:dyDescent="0.3">
      <c r="A9" s="2"/>
      <c r="B9" s="36" t="e">
        <f>HLOOKUP(B4,#REF!,2,0)/1000</f>
        <v>#REF!</v>
      </c>
      <c r="C9" s="36" t="e">
        <f>HLOOKUP(C4,#REF!,2,0)/1000</f>
        <v>#REF!</v>
      </c>
      <c r="D9" s="36" t="e">
        <f>HLOOKUP(D4,#REF!,2,0)/1000</f>
        <v>#REF!</v>
      </c>
      <c r="E9" s="36" t="e">
        <f>HLOOKUP(E4,#REF!,2,0)/1000</f>
        <v>#REF!</v>
      </c>
      <c r="F9" s="36" t="e">
        <f>HLOOKUP(F4,#REF!,2,0)/1000</f>
        <v>#REF!</v>
      </c>
      <c r="G9" s="36" t="e">
        <f>HLOOKUP(G4,#REF!,2,0)/1000</f>
        <v>#REF!</v>
      </c>
      <c r="H9" s="36" t="e">
        <f>HLOOKUP(H4,#REF!,2,0)/1000</f>
        <v>#REF!</v>
      </c>
      <c r="I9" s="36" t="e">
        <f>HLOOKUP(I4,#REF!,2,0)/1000</f>
        <v>#REF!</v>
      </c>
      <c r="J9" s="36" t="e">
        <f>HLOOKUP(J4,#REF!,2,0)/1000</f>
        <v>#REF!</v>
      </c>
      <c r="K9" s="36" t="e">
        <f>HLOOKUP(K4,#REF!,2,0)/1000</f>
        <v>#REF!</v>
      </c>
      <c r="L9" s="36" t="e">
        <f>HLOOKUP(L4,#REF!,2,0)/1000</f>
        <v>#REF!</v>
      </c>
      <c r="M9" s="36" t="e">
        <f>HLOOKUP(M4,#REF!,2,0)/1000</f>
        <v>#REF!</v>
      </c>
      <c r="N9" s="37" t="s">
        <v>10</v>
      </c>
      <c r="O9" s="36" t="e">
        <f>#REF!</f>
        <v>#REF!</v>
      </c>
      <c r="P9" s="36" t="e">
        <f>#REF!</f>
        <v>#REF!</v>
      </c>
      <c r="Q9" s="60">
        <f>IFERROR(O9/P9*100,0)</f>
        <v>0</v>
      </c>
      <c r="R9" s="36" t="e">
        <f>#REF!</f>
        <v>#REF!</v>
      </c>
      <c r="S9" s="60">
        <f>IFERROR(O9/R9*100,0)</f>
        <v>0</v>
      </c>
      <c r="T9" s="36" t="e">
        <f>#REF!</f>
        <v>#REF!</v>
      </c>
      <c r="U9" s="60">
        <f>IFERROR(O9/T9*100,0)</f>
        <v>0</v>
      </c>
      <c r="V9" s="27"/>
      <c r="X9" s="72" t="e">
        <f>SUM(O13:O25)*1000</f>
        <v>#REF!</v>
      </c>
      <c r="Y9" s="9" t="s">
        <v>64</v>
      </c>
      <c r="Z9" s="9"/>
      <c r="AA9" s="6" t="e">
        <f>'IS Flex'!O9</f>
        <v>#REF!</v>
      </c>
      <c r="AB9" s="6" t="e">
        <f t="shared" ref="AB9:AB27" si="0">O9-AA9</f>
        <v>#REF!</v>
      </c>
    </row>
    <row r="10" spans="1:30" s="6" customFormat="1" ht="15.6" x14ac:dyDescent="0.3">
      <c r="B10" s="38" t="e">
        <f>B8-B9</f>
        <v>#REF!</v>
      </c>
      <c r="C10" s="38" t="e">
        <f t="shared" ref="C10:M10" si="1">C8-C9</f>
        <v>#REF!</v>
      </c>
      <c r="D10" s="38" t="e">
        <f t="shared" si="1"/>
        <v>#REF!</v>
      </c>
      <c r="E10" s="38" t="e">
        <f t="shared" si="1"/>
        <v>#REF!</v>
      </c>
      <c r="F10" s="38" t="e">
        <f t="shared" si="1"/>
        <v>#REF!</v>
      </c>
      <c r="G10" s="38" t="e">
        <f t="shared" si="1"/>
        <v>#REF!</v>
      </c>
      <c r="H10" s="38" t="e">
        <f t="shared" si="1"/>
        <v>#REF!</v>
      </c>
      <c r="I10" s="38" t="e">
        <f t="shared" si="1"/>
        <v>#REF!</v>
      </c>
      <c r="J10" s="38" t="e">
        <f t="shared" si="1"/>
        <v>#REF!</v>
      </c>
      <c r="K10" s="38" t="e">
        <f t="shared" si="1"/>
        <v>#REF!</v>
      </c>
      <c r="L10" s="38" t="e">
        <f t="shared" si="1"/>
        <v>#REF!</v>
      </c>
      <c r="M10" s="38" t="e">
        <f t="shared" si="1"/>
        <v>#REF!</v>
      </c>
      <c r="N10" s="39" t="s">
        <v>9</v>
      </c>
      <c r="O10" s="38" t="e">
        <f>O8-O9</f>
        <v>#REF!</v>
      </c>
      <c r="P10" s="38" t="e">
        <f>P8-P9</f>
        <v>#REF!</v>
      </c>
      <c r="Q10" s="61">
        <f>IFERROR(O10/P10*100,0)</f>
        <v>0</v>
      </c>
      <c r="R10" s="38" t="e">
        <f>R8-R9</f>
        <v>#REF!</v>
      </c>
      <c r="S10" s="61">
        <f>IFERROR(O10/R10*100,0)</f>
        <v>0</v>
      </c>
      <c r="T10" s="38" t="e">
        <f>T8-T9</f>
        <v>#REF!</v>
      </c>
      <c r="U10" s="61">
        <f>IFERROR(O10/T10*100,0)</f>
        <v>0</v>
      </c>
      <c r="V10" s="27"/>
      <c r="X10" s="9"/>
      <c r="Y10" s="9"/>
      <c r="Z10" s="9"/>
      <c r="AA10" s="6" t="e">
        <f>'IS Flex'!O10</f>
        <v>#REF!</v>
      </c>
      <c r="AB10" s="6" t="e">
        <f t="shared" si="0"/>
        <v>#REF!</v>
      </c>
    </row>
    <row r="11" spans="1:30" ht="4.5" customHeight="1" x14ac:dyDescent="0.3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29"/>
      <c r="X11" s="9"/>
      <c r="Y11" s="9"/>
      <c r="Z11" s="9"/>
      <c r="AA11" s="71">
        <f>'IS Flex'!O11</f>
        <v>0</v>
      </c>
      <c r="AB11" s="6">
        <f t="shared" si="0"/>
        <v>0</v>
      </c>
    </row>
    <row r="12" spans="1:30" s="6" customFormat="1" ht="15.6" x14ac:dyDescent="0.3">
      <c r="B12" s="41" t="e">
        <f>SUM(B13:B19)</f>
        <v>#REF!</v>
      </c>
      <c r="C12" s="41" t="e">
        <f t="shared" ref="C12:M12" si="2">SUM(C13:C19)</f>
        <v>#REF!</v>
      </c>
      <c r="D12" s="41" t="e">
        <f t="shared" si="2"/>
        <v>#REF!</v>
      </c>
      <c r="E12" s="41" t="e">
        <f t="shared" si="2"/>
        <v>#REF!</v>
      </c>
      <c r="F12" s="41" t="e">
        <f t="shared" si="2"/>
        <v>#REF!</v>
      </c>
      <c r="G12" s="41" t="e">
        <f t="shared" si="2"/>
        <v>#REF!</v>
      </c>
      <c r="H12" s="41" t="e">
        <f t="shared" si="2"/>
        <v>#REF!</v>
      </c>
      <c r="I12" s="41" t="e">
        <f t="shared" si="2"/>
        <v>#REF!</v>
      </c>
      <c r="J12" s="41" t="e">
        <f t="shared" si="2"/>
        <v>#REF!</v>
      </c>
      <c r="K12" s="41" t="e">
        <f t="shared" si="2"/>
        <v>#REF!</v>
      </c>
      <c r="L12" s="41" t="e">
        <f t="shared" si="2"/>
        <v>#REF!</v>
      </c>
      <c r="M12" s="41" t="e">
        <f t="shared" si="2"/>
        <v>#REF!</v>
      </c>
      <c r="N12" s="42" t="s">
        <v>24</v>
      </c>
      <c r="O12" s="41" t="e">
        <f t="shared" ref="O12:U12" si="3">SUM(O13:O19)</f>
        <v>#REF!</v>
      </c>
      <c r="P12" s="41" t="e">
        <f t="shared" si="3"/>
        <v>#REF!</v>
      </c>
      <c r="Q12" s="61">
        <f t="shared" si="3"/>
        <v>0</v>
      </c>
      <c r="R12" s="41" t="e">
        <f t="shared" si="3"/>
        <v>#REF!</v>
      </c>
      <c r="S12" s="61">
        <f t="shared" si="3"/>
        <v>0</v>
      </c>
      <c r="T12" s="41" t="e">
        <f t="shared" si="3"/>
        <v>#REF!</v>
      </c>
      <c r="U12" s="61">
        <f t="shared" si="3"/>
        <v>0</v>
      </c>
      <c r="V12" s="27"/>
      <c r="X12" s="9"/>
      <c r="Y12" s="9"/>
      <c r="Z12" s="9"/>
      <c r="AA12" s="6" t="e">
        <f>'IS Flex'!O12</f>
        <v>#REF!</v>
      </c>
      <c r="AB12" s="6" t="e">
        <f t="shared" si="0"/>
        <v>#REF!</v>
      </c>
    </row>
    <row r="13" spans="1:30" s="6" customFormat="1" ht="15.6" x14ac:dyDescent="0.3">
      <c r="A13" s="12"/>
      <c r="B13" s="36" t="e">
        <f>HLOOKUP(B4,#REF!,2,0)/1000</f>
        <v>#REF!</v>
      </c>
      <c r="C13" s="36" t="e">
        <f>HLOOKUP(C4,#REF!,2,0)/1000</f>
        <v>#REF!</v>
      </c>
      <c r="D13" s="36" t="e">
        <f>HLOOKUP(D4,#REF!,2,0)/1000</f>
        <v>#REF!</v>
      </c>
      <c r="E13" s="36" t="e">
        <f>HLOOKUP(E4,#REF!,2,0)/1000</f>
        <v>#REF!</v>
      </c>
      <c r="F13" s="36" t="e">
        <f>HLOOKUP(F4,#REF!,2,0)/1000</f>
        <v>#REF!</v>
      </c>
      <c r="G13" s="36" t="e">
        <f>HLOOKUP(G4,#REF!,2,0)/1000</f>
        <v>#REF!</v>
      </c>
      <c r="H13" s="36" t="e">
        <f>HLOOKUP(H4,#REF!,2,0)/1000</f>
        <v>#REF!</v>
      </c>
      <c r="I13" s="36" t="e">
        <f>HLOOKUP(I4,#REF!,2,0)/1000</f>
        <v>#REF!</v>
      </c>
      <c r="J13" s="36" t="e">
        <f>HLOOKUP(J4,#REF!,2,0)/1000</f>
        <v>#REF!</v>
      </c>
      <c r="K13" s="36" t="e">
        <f>HLOOKUP(K4,#REF!,2,0)/1000</f>
        <v>#REF!</v>
      </c>
      <c r="L13" s="36" t="e">
        <f>HLOOKUP(L4,#REF!,2,0)/1000</f>
        <v>#REF!</v>
      </c>
      <c r="M13" s="36" t="e">
        <f>HLOOKUP(M4,#REF!,2,0)/1000</f>
        <v>#REF!</v>
      </c>
      <c r="N13" s="43" t="s">
        <v>19</v>
      </c>
      <c r="O13" s="36" t="e">
        <f>#REF!</f>
        <v>#REF!</v>
      </c>
      <c r="P13" s="36" t="e">
        <f>#REF!</f>
        <v>#REF!</v>
      </c>
      <c r="Q13" s="60">
        <f>IFERROR(O13/P13*100,0)</f>
        <v>0</v>
      </c>
      <c r="R13" s="36" t="e">
        <f>#REF!</f>
        <v>#REF!</v>
      </c>
      <c r="S13" s="60">
        <f t="shared" ref="S13:S25" si="4">IFERROR(O13/R13*100,0)</f>
        <v>0</v>
      </c>
      <c r="T13" s="36" t="e">
        <f>#REF!</f>
        <v>#REF!</v>
      </c>
      <c r="U13" s="60">
        <f t="shared" ref="U13:U25" si="5">IFERROR(O13/T13*100,0)</f>
        <v>0</v>
      </c>
      <c r="V13" s="27"/>
      <c r="X13" s="72" t="e">
        <f>O13-R13</f>
        <v>#REF!</v>
      </c>
      <c r="Y13" s="9"/>
      <c r="Z13" s="9"/>
      <c r="AA13" s="6" t="e">
        <f>'IS Flex'!O13</f>
        <v>#REF!</v>
      </c>
      <c r="AB13" s="6" t="e">
        <f t="shared" si="0"/>
        <v>#REF!</v>
      </c>
      <c r="AC13" s="6">
        <f>103+54</f>
        <v>157</v>
      </c>
      <c r="AD13" s="67" t="e">
        <f>O13+AC13</f>
        <v>#REF!</v>
      </c>
    </row>
    <row r="14" spans="1:30" s="6" customFormat="1" ht="15.6" x14ac:dyDescent="0.3">
      <c r="A14" s="12"/>
      <c r="B14" s="44" t="e">
        <f>HLOOKUP(B4,#REF!,3,0)/1000</f>
        <v>#REF!</v>
      </c>
      <c r="C14" s="44" t="e">
        <f>HLOOKUP(C4,#REF!,3,0)/1000</f>
        <v>#REF!</v>
      </c>
      <c r="D14" s="44" t="e">
        <f>HLOOKUP(D4,#REF!,3,0)/1000</f>
        <v>#REF!</v>
      </c>
      <c r="E14" s="44" t="e">
        <f>HLOOKUP(E4,#REF!,3,0)/1000</f>
        <v>#REF!</v>
      </c>
      <c r="F14" s="44" t="e">
        <f>HLOOKUP(F4,#REF!,3,0)/1000</f>
        <v>#REF!</v>
      </c>
      <c r="G14" s="44" t="e">
        <f>HLOOKUP(G4,#REF!,3,0)/1000</f>
        <v>#REF!</v>
      </c>
      <c r="H14" s="44" t="e">
        <f>HLOOKUP(H4,#REF!,3,0)/1000</f>
        <v>#REF!</v>
      </c>
      <c r="I14" s="44" t="e">
        <f>HLOOKUP(I4,#REF!,3,0)/1000</f>
        <v>#REF!</v>
      </c>
      <c r="J14" s="44" t="e">
        <f>HLOOKUP(J4,#REF!,3,0)/1000</f>
        <v>#REF!</v>
      </c>
      <c r="K14" s="44" t="e">
        <f>HLOOKUP(K4,#REF!,3,0)/1000</f>
        <v>#REF!</v>
      </c>
      <c r="L14" s="44" t="e">
        <f>HLOOKUP(L4,#REF!,3,0)/1000</f>
        <v>#REF!</v>
      </c>
      <c r="M14" s="44" t="e">
        <f>HLOOKUP(M4,#REF!,3,0)/1000</f>
        <v>#REF!</v>
      </c>
      <c r="N14" s="45" t="s">
        <v>8</v>
      </c>
      <c r="O14" s="44" t="e">
        <f>#REF!</f>
        <v>#REF!</v>
      </c>
      <c r="P14" s="44" t="e">
        <f>#REF!</f>
        <v>#REF!</v>
      </c>
      <c r="Q14" s="62">
        <f t="shared" ref="Q14:Q25" si="6">IFERROR(O14/P14*100,0)</f>
        <v>0</v>
      </c>
      <c r="R14" s="44" t="e">
        <f>#REF!</f>
        <v>#REF!</v>
      </c>
      <c r="S14" s="62">
        <f t="shared" si="4"/>
        <v>0</v>
      </c>
      <c r="T14" s="44" t="e">
        <f>#REF!</f>
        <v>#REF!</v>
      </c>
      <c r="U14" s="62">
        <f t="shared" si="5"/>
        <v>0</v>
      </c>
      <c r="V14" s="27"/>
      <c r="X14" s="72" t="e">
        <f t="shared" ref="X14:X26" si="7">O14-R14</f>
        <v>#REF!</v>
      </c>
      <c r="Y14" s="9"/>
      <c r="Z14" s="9"/>
      <c r="AA14" s="6" t="e">
        <f>'IS Flex'!O14</f>
        <v>#REF!</v>
      </c>
      <c r="AB14" s="6" t="e">
        <f t="shared" si="0"/>
        <v>#REF!</v>
      </c>
      <c r="AD14" s="67" t="e">
        <f t="shared" ref="AD14:AD25" si="8">O14+AC14</f>
        <v>#REF!</v>
      </c>
    </row>
    <row r="15" spans="1:30" s="6" customFormat="1" ht="15.6" x14ac:dyDescent="0.3">
      <c r="A15" s="12"/>
      <c r="B15" s="44" t="e">
        <f>HLOOKUP(B4,#REF!,4,0)/1000</f>
        <v>#REF!</v>
      </c>
      <c r="C15" s="44" t="e">
        <f>HLOOKUP(C4,#REF!,4,0)/1000</f>
        <v>#REF!</v>
      </c>
      <c r="D15" s="44" t="e">
        <f>HLOOKUP(D4,#REF!,4,0)/1000</f>
        <v>#REF!</v>
      </c>
      <c r="E15" s="44" t="e">
        <f>HLOOKUP(E4,#REF!,4,0)/1000</f>
        <v>#REF!</v>
      </c>
      <c r="F15" s="44" t="e">
        <f>HLOOKUP(F4,#REF!,4,0)/1000</f>
        <v>#REF!</v>
      </c>
      <c r="G15" s="44" t="e">
        <f>HLOOKUP(G4,#REF!,4,0)/1000</f>
        <v>#REF!</v>
      </c>
      <c r="H15" s="44" t="e">
        <f>HLOOKUP(H4,#REF!,4,0)/1000</f>
        <v>#REF!</v>
      </c>
      <c r="I15" s="44" t="e">
        <f>HLOOKUP(I4,#REF!,4,0)/1000</f>
        <v>#REF!</v>
      </c>
      <c r="J15" s="44" t="e">
        <f>HLOOKUP(J4,#REF!,4,0)/1000</f>
        <v>#REF!</v>
      </c>
      <c r="K15" s="44" t="e">
        <f>HLOOKUP(K4,#REF!,4,0)/1000</f>
        <v>#REF!</v>
      </c>
      <c r="L15" s="44" t="e">
        <f>HLOOKUP(L4,#REF!,4,0)/1000</f>
        <v>#REF!</v>
      </c>
      <c r="M15" s="44" t="e">
        <f>HLOOKUP(M4,#REF!,4,0)/1000</f>
        <v>#REF!</v>
      </c>
      <c r="N15" s="45" t="s">
        <v>7</v>
      </c>
      <c r="O15" s="44" t="e">
        <f>#REF!</f>
        <v>#REF!</v>
      </c>
      <c r="P15" s="44" t="e">
        <f>#REF!</f>
        <v>#REF!</v>
      </c>
      <c r="Q15" s="62">
        <f t="shared" si="6"/>
        <v>0</v>
      </c>
      <c r="R15" s="44" t="e">
        <f>#REF!</f>
        <v>#REF!</v>
      </c>
      <c r="S15" s="62">
        <f t="shared" si="4"/>
        <v>0</v>
      </c>
      <c r="T15" s="44" t="e">
        <f>#REF!</f>
        <v>#REF!</v>
      </c>
      <c r="U15" s="62">
        <f t="shared" si="5"/>
        <v>0</v>
      </c>
      <c r="V15" s="27"/>
      <c r="X15" s="72" t="e">
        <f t="shared" si="7"/>
        <v>#REF!</v>
      </c>
      <c r="Y15" s="9"/>
      <c r="Z15" s="9"/>
      <c r="AA15" s="6" t="e">
        <f>'IS Flex'!O15</f>
        <v>#REF!</v>
      </c>
      <c r="AB15" s="6" t="e">
        <f t="shared" si="0"/>
        <v>#REF!</v>
      </c>
      <c r="AD15" s="67" t="e">
        <f t="shared" si="8"/>
        <v>#REF!</v>
      </c>
    </row>
    <row r="16" spans="1:30" s="6" customFormat="1" ht="15.6" x14ac:dyDescent="0.3">
      <c r="A16" s="12"/>
      <c r="B16" s="44" t="e">
        <f>HLOOKUP(B4,#REF!,5,0)/1000</f>
        <v>#REF!</v>
      </c>
      <c r="C16" s="44" t="e">
        <f>HLOOKUP(C4,#REF!,5,0)/1000</f>
        <v>#REF!</v>
      </c>
      <c r="D16" s="44" t="e">
        <f>HLOOKUP(D4,#REF!,5,0)/1000</f>
        <v>#REF!</v>
      </c>
      <c r="E16" s="44" t="e">
        <f>HLOOKUP(E4,#REF!,5,0)/1000</f>
        <v>#REF!</v>
      </c>
      <c r="F16" s="44" t="e">
        <f>HLOOKUP(F4,#REF!,5,0)/1000</f>
        <v>#REF!</v>
      </c>
      <c r="G16" s="44" t="e">
        <f>HLOOKUP(G4,#REF!,5,0)/1000</f>
        <v>#REF!</v>
      </c>
      <c r="H16" s="44" t="e">
        <f>HLOOKUP(H4,#REF!,5,0)/1000</f>
        <v>#REF!</v>
      </c>
      <c r="I16" s="44" t="e">
        <f>HLOOKUP(I4,#REF!,5,0)/1000</f>
        <v>#REF!</v>
      </c>
      <c r="J16" s="44" t="e">
        <f>HLOOKUP(J4,#REF!,5,0)/1000</f>
        <v>#REF!</v>
      </c>
      <c r="K16" s="44" t="e">
        <f>HLOOKUP(K4,#REF!,5,0)/1000</f>
        <v>#REF!</v>
      </c>
      <c r="L16" s="44" t="e">
        <f>HLOOKUP(L4,#REF!,5,0)/1000</f>
        <v>#REF!</v>
      </c>
      <c r="M16" s="44" t="e">
        <f>HLOOKUP(M4,#REF!,5,0)/1000</f>
        <v>#REF!</v>
      </c>
      <c r="N16" s="45" t="s">
        <v>20</v>
      </c>
      <c r="O16" s="44" t="e">
        <f>#REF!</f>
        <v>#REF!</v>
      </c>
      <c r="P16" s="44" t="e">
        <f>#REF!</f>
        <v>#REF!</v>
      </c>
      <c r="Q16" s="62">
        <f t="shared" si="6"/>
        <v>0</v>
      </c>
      <c r="R16" s="44" t="e">
        <f>#REF!</f>
        <v>#REF!</v>
      </c>
      <c r="S16" s="62">
        <f t="shared" si="4"/>
        <v>0</v>
      </c>
      <c r="T16" s="44" t="e">
        <f>#REF!</f>
        <v>#REF!</v>
      </c>
      <c r="U16" s="62">
        <f t="shared" si="5"/>
        <v>0</v>
      </c>
      <c r="V16" s="27"/>
      <c r="X16" s="72" t="e">
        <f t="shared" si="7"/>
        <v>#REF!</v>
      </c>
      <c r="Y16" s="9"/>
      <c r="Z16" s="9"/>
      <c r="AA16" s="6" t="e">
        <f>'IS Flex'!O16</f>
        <v>#REF!</v>
      </c>
      <c r="AB16" s="6" t="e">
        <f t="shared" si="0"/>
        <v>#REF!</v>
      </c>
      <c r="AD16" s="67" t="e">
        <f t="shared" si="8"/>
        <v>#REF!</v>
      </c>
    </row>
    <row r="17" spans="1:30" s="6" customFormat="1" ht="15.6" x14ac:dyDescent="0.3">
      <c r="A17" s="12"/>
      <c r="B17" s="44" t="e">
        <f>HLOOKUP(B4,#REF!,6,0)/1000</f>
        <v>#REF!</v>
      </c>
      <c r="C17" s="44" t="e">
        <f>HLOOKUP(C4,#REF!,6,0)/1000</f>
        <v>#REF!</v>
      </c>
      <c r="D17" s="44" t="e">
        <f>HLOOKUP(D4,#REF!,6,0)/1000</f>
        <v>#REF!</v>
      </c>
      <c r="E17" s="44" t="e">
        <f>HLOOKUP(E4,#REF!,6,0)/1000</f>
        <v>#REF!</v>
      </c>
      <c r="F17" s="44" t="e">
        <f>HLOOKUP(F4,#REF!,6,0)/1000</f>
        <v>#REF!</v>
      </c>
      <c r="G17" s="44" t="e">
        <f>HLOOKUP(G4,#REF!,6,0)/1000</f>
        <v>#REF!</v>
      </c>
      <c r="H17" s="44" t="e">
        <f>HLOOKUP(H4,#REF!,6,0)/1000</f>
        <v>#REF!</v>
      </c>
      <c r="I17" s="44" t="e">
        <f>HLOOKUP(I4,#REF!,6,0)/1000</f>
        <v>#REF!</v>
      </c>
      <c r="J17" s="44" t="e">
        <f>HLOOKUP(J4,#REF!,6,0)/1000</f>
        <v>#REF!</v>
      </c>
      <c r="K17" s="44" t="e">
        <f>HLOOKUP(K4,#REF!,6,0)/1000</f>
        <v>#REF!</v>
      </c>
      <c r="L17" s="44" t="e">
        <f>HLOOKUP(L4,#REF!,6,0)/1000</f>
        <v>#REF!</v>
      </c>
      <c r="M17" s="44" t="e">
        <f>HLOOKUP(M4,#REF!,6,0)/1000</f>
        <v>#REF!</v>
      </c>
      <c r="N17" s="45" t="s">
        <v>66</v>
      </c>
      <c r="O17" s="44" t="e">
        <f>#REF!</f>
        <v>#REF!</v>
      </c>
      <c r="P17" s="44" t="e">
        <f>#REF!</f>
        <v>#REF!</v>
      </c>
      <c r="Q17" s="62">
        <f t="shared" si="6"/>
        <v>0</v>
      </c>
      <c r="R17" s="44" t="e">
        <f>#REF!</f>
        <v>#REF!</v>
      </c>
      <c r="S17" s="62">
        <f t="shared" si="4"/>
        <v>0</v>
      </c>
      <c r="T17" s="44" t="e">
        <f>#REF!</f>
        <v>#REF!</v>
      </c>
      <c r="U17" s="62">
        <f t="shared" si="5"/>
        <v>0</v>
      </c>
      <c r="V17" s="27"/>
      <c r="X17" s="72" t="e">
        <f t="shared" si="7"/>
        <v>#REF!</v>
      </c>
      <c r="Y17" s="9"/>
      <c r="Z17" s="9"/>
      <c r="AA17" s="6" t="e">
        <f>'IS Flex'!O17</f>
        <v>#REF!</v>
      </c>
      <c r="AB17" s="6" t="e">
        <f t="shared" si="0"/>
        <v>#REF!</v>
      </c>
      <c r="AD17" s="67" t="e">
        <f t="shared" si="8"/>
        <v>#REF!</v>
      </c>
    </row>
    <row r="18" spans="1:30" s="6" customFormat="1" ht="15.6" x14ac:dyDescent="0.3">
      <c r="A18" s="12"/>
      <c r="B18" s="44" t="e">
        <f>HLOOKUP(B4,#REF!,7,0)/1000</f>
        <v>#REF!</v>
      </c>
      <c r="C18" s="44" t="e">
        <f>HLOOKUP(C4,#REF!,7,0)/1000</f>
        <v>#REF!</v>
      </c>
      <c r="D18" s="44" t="e">
        <f>HLOOKUP(D4,#REF!,7,0)/1000</f>
        <v>#REF!</v>
      </c>
      <c r="E18" s="44" t="e">
        <f>HLOOKUP(E4,#REF!,7,0)/1000</f>
        <v>#REF!</v>
      </c>
      <c r="F18" s="44" t="e">
        <f>HLOOKUP(F4,#REF!,7,0)/1000</f>
        <v>#REF!</v>
      </c>
      <c r="G18" s="44" t="e">
        <f>HLOOKUP(G4,#REF!,7,0)/1000</f>
        <v>#REF!</v>
      </c>
      <c r="H18" s="44" t="e">
        <f>HLOOKUP(H4,#REF!,7,0)/1000</f>
        <v>#REF!</v>
      </c>
      <c r="I18" s="44" t="e">
        <f>HLOOKUP(I4,#REF!,7,0)/1000</f>
        <v>#REF!</v>
      </c>
      <c r="J18" s="44" t="e">
        <f>HLOOKUP(J4,#REF!,7,0)/1000</f>
        <v>#REF!</v>
      </c>
      <c r="K18" s="44" t="e">
        <f>HLOOKUP(K4,#REF!,7,0)/1000</f>
        <v>#REF!</v>
      </c>
      <c r="L18" s="44" t="e">
        <f>HLOOKUP(L4,#REF!,7,0)/1000</f>
        <v>#REF!</v>
      </c>
      <c r="M18" s="44" t="e">
        <f>HLOOKUP(M4,#REF!,7,0)/1000</f>
        <v>#REF!</v>
      </c>
      <c r="N18" s="45" t="s">
        <v>21</v>
      </c>
      <c r="O18" s="44" t="e">
        <f>#REF!</f>
        <v>#REF!</v>
      </c>
      <c r="P18" s="44" t="e">
        <f>#REF!</f>
        <v>#REF!</v>
      </c>
      <c r="Q18" s="62">
        <f>IFERROR(O18/P18*100,0)</f>
        <v>0</v>
      </c>
      <c r="R18" s="44" t="e">
        <f>#REF!</f>
        <v>#REF!</v>
      </c>
      <c r="S18" s="62">
        <f>IFERROR(O18/R18*100,0)</f>
        <v>0</v>
      </c>
      <c r="T18" s="44" t="e">
        <f>#REF!</f>
        <v>#REF!</v>
      </c>
      <c r="U18" s="62">
        <f>IFERROR(O18/T18*100,0)</f>
        <v>0</v>
      </c>
      <c r="V18" s="27"/>
      <c r="X18" s="72" t="e">
        <f t="shared" si="7"/>
        <v>#REF!</v>
      </c>
      <c r="Y18" s="9"/>
      <c r="Z18" s="9"/>
      <c r="AA18" s="6" t="e">
        <f>'IS Flex'!O18</f>
        <v>#REF!</v>
      </c>
      <c r="AB18" s="6" t="e">
        <f t="shared" si="0"/>
        <v>#REF!</v>
      </c>
      <c r="AD18" s="67" t="e">
        <f t="shared" si="8"/>
        <v>#REF!</v>
      </c>
    </row>
    <row r="19" spans="1:30" s="6" customFormat="1" ht="15.6" x14ac:dyDescent="0.3">
      <c r="A19" s="12"/>
      <c r="B19" s="44" t="e">
        <f>HLOOKUP(B4,#REF!,8,0)/1000</f>
        <v>#REF!</v>
      </c>
      <c r="C19" s="44" t="e">
        <f>HLOOKUP(C4,#REF!,8,0)/1000</f>
        <v>#REF!</v>
      </c>
      <c r="D19" s="44" t="e">
        <f>HLOOKUP(D4,#REF!,8,0)/1000</f>
        <v>#REF!</v>
      </c>
      <c r="E19" s="44" t="e">
        <f>HLOOKUP(E4,#REF!,8,0)/1000</f>
        <v>#REF!</v>
      </c>
      <c r="F19" s="44" t="e">
        <f>HLOOKUP(F4,#REF!,8,0)/1000</f>
        <v>#REF!</v>
      </c>
      <c r="G19" s="44" t="e">
        <f>HLOOKUP(G4,#REF!,8,0)/1000</f>
        <v>#REF!</v>
      </c>
      <c r="H19" s="44" t="e">
        <f>HLOOKUP(H4,#REF!,8,0)/1000</f>
        <v>#REF!</v>
      </c>
      <c r="I19" s="44" t="e">
        <f>HLOOKUP(I4,#REF!,8,0)/1000</f>
        <v>#REF!</v>
      </c>
      <c r="J19" s="44" t="e">
        <f>HLOOKUP(J4,#REF!,8,0)/1000</f>
        <v>#REF!</v>
      </c>
      <c r="K19" s="44" t="e">
        <f>HLOOKUP(K4,#REF!,8,0)/1000</f>
        <v>#REF!</v>
      </c>
      <c r="L19" s="44" t="e">
        <f>HLOOKUP(L4,#REF!,8,0)/1000</f>
        <v>#REF!</v>
      </c>
      <c r="M19" s="44" t="e">
        <f>HLOOKUP(M4,#REF!,8,0)/1000</f>
        <v>#REF!</v>
      </c>
      <c r="N19" s="46" t="s">
        <v>6</v>
      </c>
      <c r="O19" s="44" t="e">
        <f>#REF!</f>
        <v>#REF!</v>
      </c>
      <c r="P19" s="44" t="e">
        <f>#REF!</f>
        <v>#REF!</v>
      </c>
      <c r="Q19" s="62">
        <f t="shared" si="6"/>
        <v>0</v>
      </c>
      <c r="R19" s="44" t="e">
        <f>#REF!</f>
        <v>#REF!</v>
      </c>
      <c r="S19" s="62">
        <f t="shared" si="4"/>
        <v>0</v>
      </c>
      <c r="T19" s="44" t="e">
        <f>#REF!</f>
        <v>#REF!</v>
      </c>
      <c r="U19" s="62">
        <f t="shared" si="5"/>
        <v>0</v>
      </c>
      <c r="V19" s="27"/>
      <c r="X19" s="72" t="e">
        <f t="shared" si="7"/>
        <v>#REF!</v>
      </c>
      <c r="Y19" s="9"/>
      <c r="Z19" s="9"/>
      <c r="AA19" s="6" t="e">
        <f>'IS Flex'!O19</f>
        <v>#REF!</v>
      </c>
      <c r="AB19" s="6" t="e">
        <f t="shared" si="0"/>
        <v>#REF!</v>
      </c>
      <c r="AC19" s="6">
        <v>-54</v>
      </c>
      <c r="AD19" s="67" t="e">
        <f t="shared" si="8"/>
        <v>#REF!</v>
      </c>
    </row>
    <row r="20" spans="1:30" s="6" customFormat="1" ht="15.6" x14ac:dyDescent="0.3">
      <c r="B20" s="41" t="e">
        <f>HLOOKUP(B4,#REF!,10,0)/1000</f>
        <v>#REF!</v>
      </c>
      <c r="C20" s="41" t="e">
        <f>HLOOKUP(C4,#REF!,10,0)/1000</f>
        <v>#REF!</v>
      </c>
      <c r="D20" s="41" t="e">
        <f>HLOOKUP(D4,#REF!,10,0)/1000</f>
        <v>#REF!</v>
      </c>
      <c r="E20" s="41" t="e">
        <f>HLOOKUP(E4,#REF!,10,0)/1000</f>
        <v>#REF!</v>
      </c>
      <c r="F20" s="41" t="e">
        <f>HLOOKUP(F4,#REF!,10,0)/1000</f>
        <v>#REF!</v>
      </c>
      <c r="G20" s="41" t="e">
        <f>HLOOKUP(G4,#REF!,10,0)/1000</f>
        <v>#REF!</v>
      </c>
      <c r="H20" s="41" t="e">
        <f>HLOOKUP(H4,#REF!,10,0)/1000</f>
        <v>#REF!</v>
      </c>
      <c r="I20" s="41" t="e">
        <f>HLOOKUP(I4,#REF!,10,0)/1000</f>
        <v>#REF!</v>
      </c>
      <c r="J20" s="41" t="e">
        <f>HLOOKUP(J4,#REF!,10,0)/1000</f>
        <v>#REF!</v>
      </c>
      <c r="K20" s="41" t="e">
        <f>HLOOKUP(K4,#REF!,10,0)/1000</f>
        <v>#REF!</v>
      </c>
      <c r="L20" s="41" t="e">
        <f>HLOOKUP(L4,#REF!,10,0)/1000</f>
        <v>#REF!</v>
      </c>
      <c r="M20" s="41" t="e">
        <f>HLOOKUP(M4,#REF!,10,0)/1000</f>
        <v>#REF!</v>
      </c>
      <c r="N20" s="42" t="s">
        <v>61</v>
      </c>
      <c r="O20" s="41" t="e">
        <f>#REF!</f>
        <v>#REF!</v>
      </c>
      <c r="P20" s="41" t="e">
        <f>#REF!</f>
        <v>#REF!</v>
      </c>
      <c r="Q20" s="61">
        <f t="shared" si="6"/>
        <v>0</v>
      </c>
      <c r="R20" s="41" t="e">
        <f>#REF!</f>
        <v>#REF!</v>
      </c>
      <c r="S20" s="61">
        <f t="shared" si="4"/>
        <v>0</v>
      </c>
      <c r="T20" s="41" t="e">
        <f>#REF!</f>
        <v>#REF!</v>
      </c>
      <c r="U20" s="61">
        <f t="shared" si="5"/>
        <v>0</v>
      </c>
      <c r="V20" s="27"/>
      <c r="X20" s="72" t="e">
        <f t="shared" si="7"/>
        <v>#REF!</v>
      </c>
      <c r="Y20" s="9"/>
      <c r="Z20" s="9"/>
      <c r="AA20" s="6" t="e">
        <f>'IS Flex'!O20</f>
        <v>#REF!</v>
      </c>
      <c r="AB20" s="6" t="e">
        <f t="shared" si="0"/>
        <v>#REF!</v>
      </c>
      <c r="AD20" s="67" t="e">
        <f t="shared" si="8"/>
        <v>#REF!</v>
      </c>
    </row>
    <row r="21" spans="1:30" s="6" customFormat="1" ht="15.6" x14ac:dyDescent="0.3">
      <c r="B21" s="41" t="e">
        <f>HLOOKUP(B4,#REF!,6,0)/1000</f>
        <v>#REF!</v>
      </c>
      <c r="C21" s="41" t="e">
        <f>HLOOKUP(C4,#REF!,6,0)/1000</f>
        <v>#REF!</v>
      </c>
      <c r="D21" s="41" t="e">
        <f>HLOOKUP(D4,#REF!,6,0)/1000</f>
        <v>#REF!</v>
      </c>
      <c r="E21" s="41" t="e">
        <f>HLOOKUP(E4,#REF!,6,0)/1000</f>
        <v>#REF!</v>
      </c>
      <c r="F21" s="41" t="e">
        <f>HLOOKUP(F4,#REF!,6,0)/1000</f>
        <v>#REF!</v>
      </c>
      <c r="G21" s="41" t="e">
        <f>HLOOKUP(G4,#REF!,6,0)/1000</f>
        <v>#REF!</v>
      </c>
      <c r="H21" s="41" t="e">
        <f>HLOOKUP(H4,#REF!,6,0)/1000</f>
        <v>#REF!</v>
      </c>
      <c r="I21" s="41" t="e">
        <f>HLOOKUP(I4,#REF!,6,0)/1000</f>
        <v>#REF!</v>
      </c>
      <c r="J21" s="41" t="e">
        <f>HLOOKUP(J4,#REF!,6,0)/1000</f>
        <v>#REF!</v>
      </c>
      <c r="K21" s="41" t="e">
        <f>HLOOKUP(K4,#REF!,6,0)/1000</f>
        <v>#REF!</v>
      </c>
      <c r="L21" s="41" t="e">
        <f>HLOOKUP(L4,#REF!,6,0)/1000</f>
        <v>#REF!</v>
      </c>
      <c r="M21" s="41" t="e">
        <f>HLOOKUP(M4,#REF!,6,0)/1000</f>
        <v>#REF!</v>
      </c>
      <c r="N21" s="42" t="s">
        <v>60</v>
      </c>
      <c r="O21" s="41" t="e">
        <f>#REF!</f>
        <v>#REF!</v>
      </c>
      <c r="P21" s="41" t="e">
        <f>#REF!</f>
        <v>#REF!</v>
      </c>
      <c r="Q21" s="61">
        <f t="shared" si="6"/>
        <v>0</v>
      </c>
      <c r="R21" s="41" t="e">
        <f>#REF!</f>
        <v>#REF!</v>
      </c>
      <c r="S21" s="61">
        <f t="shared" si="4"/>
        <v>0</v>
      </c>
      <c r="T21" s="41" t="e">
        <f>#REF!</f>
        <v>#REF!</v>
      </c>
      <c r="U21" s="61">
        <f t="shared" si="5"/>
        <v>0</v>
      </c>
      <c r="V21" s="27"/>
      <c r="X21" s="72" t="e">
        <f t="shared" si="7"/>
        <v>#REF!</v>
      </c>
      <c r="Y21" s="9"/>
      <c r="Z21" s="9"/>
      <c r="AA21" s="6" t="e">
        <f>'IS Flex'!O21</f>
        <v>#REF!</v>
      </c>
      <c r="AB21" s="6" t="e">
        <f t="shared" si="0"/>
        <v>#REF!</v>
      </c>
      <c r="AC21" s="6">
        <v>60</v>
      </c>
      <c r="AD21" s="67" t="e">
        <f t="shared" si="8"/>
        <v>#REF!</v>
      </c>
    </row>
    <row r="22" spans="1:30" s="6" customFormat="1" ht="15.6" x14ac:dyDescent="0.3">
      <c r="B22" s="41" t="e">
        <f>(B10-B12-B20-B23-B24-B21-B25)-B27</f>
        <v>#REF!</v>
      </c>
      <c r="C22" s="41" t="e">
        <f t="shared" ref="C22:M22" si="9">(C10-C12-C20-C23-C24-C21-C25)-C27</f>
        <v>#REF!</v>
      </c>
      <c r="D22" s="41" t="e">
        <f t="shared" si="9"/>
        <v>#REF!</v>
      </c>
      <c r="E22" s="41" t="e">
        <f t="shared" si="9"/>
        <v>#REF!</v>
      </c>
      <c r="F22" s="41" t="e">
        <f t="shared" si="9"/>
        <v>#REF!</v>
      </c>
      <c r="G22" s="41" t="e">
        <f t="shared" si="9"/>
        <v>#REF!</v>
      </c>
      <c r="H22" s="41" t="e">
        <f t="shared" si="9"/>
        <v>#REF!</v>
      </c>
      <c r="I22" s="41" t="e">
        <f t="shared" si="9"/>
        <v>#REF!</v>
      </c>
      <c r="J22" s="41" t="e">
        <f t="shared" si="9"/>
        <v>#REF!</v>
      </c>
      <c r="K22" s="41" t="e">
        <f t="shared" si="9"/>
        <v>#REF!</v>
      </c>
      <c r="L22" s="41" t="e">
        <f t="shared" si="9"/>
        <v>#REF!</v>
      </c>
      <c r="M22" s="41" t="e">
        <f t="shared" si="9"/>
        <v>#REF!</v>
      </c>
      <c r="N22" s="42" t="s">
        <v>25</v>
      </c>
      <c r="O22" s="41" t="e">
        <f>#REF!</f>
        <v>#REF!</v>
      </c>
      <c r="P22" s="41" t="e">
        <f>#REF!</f>
        <v>#REF!</v>
      </c>
      <c r="Q22" s="61">
        <f t="shared" si="6"/>
        <v>0</v>
      </c>
      <c r="R22" s="41" t="e">
        <f>#REF!</f>
        <v>#REF!</v>
      </c>
      <c r="S22" s="61">
        <f t="shared" si="4"/>
        <v>0</v>
      </c>
      <c r="T22" s="41" t="e">
        <f>#REF!</f>
        <v>#REF!</v>
      </c>
      <c r="U22" s="61">
        <f t="shared" si="5"/>
        <v>0</v>
      </c>
      <c r="V22" s="27"/>
      <c r="X22" s="72" t="e">
        <f t="shared" si="7"/>
        <v>#REF!</v>
      </c>
      <c r="Y22" s="9"/>
      <c r="Z22" s="9"/>
      <c r="AA22" s="6" t="e">
        <f>'IS Flex'!O22</f>
        <v>#REF!</v>
      </c>
      <c r="AB22" s="6" t="e">
        <f t="shared" si="0"/>
        <v>#REF!</v>
      </c>
      <c r="AC22" s="6">
        <v>-163</v>
      </c>
      <c r="AD22" s="67" t="e">
        <f t="shared" si="8"/>
        <v>#REF!</v>
      </c>
    </row>
    <row r="23" spans="1:30" s="6" customFormat="1" ht="15.6" x14ac:dyDescent="0.3">
      <c r="B23" s="41" t="e">
        <f>HLOOKUP(B4,#REF!,2,0)/1000</f>
        <v>#REF!</v>
      </c>
      <c r="C23" s="41" t="e">
        <f>HLOOKUP(C4,#REF!,2,0)/1000</f>
        <v>#REF!</v>
      </c>
      <c r="D23" s="41" t="e">
        <f>HLOOKUP(D4,#REF!,2,0)/1000</f>
        <v>#REF!</v>
      </c>
      <c r="E23" s="41" t="e">
        <f>HLOOKUP(E4,#REF!,2,0)/1000</f>
        <v>#REF!</v>
      </c>
      <c r="F23" s="41" t="e">
        <f>HLOOKUP(F4,#REF!,2,0)/1000</f>
        <v>#REF!</v>
      </c>
      <c r="G23" s="41" t="e">
        <f>HLOOKUP(G4,#REF!,2,0)/1000</f>
        <v>#REF!</v>
      </c>
      <c r="H23" s="41" t="e">
        <f>HLOOKUP(H4,#REF!,2,0)/1000</f>
        <v>#REF!</v>
      </c>
      <c r="I23" s="41" t="e">
        <f>HLOOKUP(I4,#REF!,2,0)/1000</f>
        <v>#REF!</v>
      </c>
      <c r="J23" s="41" t="e">
        <f>HLOOKUP(J4,#REF!,2,0)/1000</f>
        <v>#REF!</v>
      </c>
      <c r="K23" s="41" t="e">
        <f>HLOOKUP(K4,#REF!,2,0)/1000</f>
        <v>#REF!</v>
      </c>
      <c r="L23" s="41" t="e">
        <f>HLOOKUP(L4,#REF!,2,0)/1000</f>
        <v>#REF!</v>
      </c>
      <c r="M23" s="41" t="e">
        <f>HLOOKUP(M4,#REF!,2,0)/1000</f>
        <v>#REF!</v>
      </c>
      <c r="N23" s="42" t="s">
        <v>22</v>
      </c>
      <c r="O23" s="41" t="e">
        <f>#REF!</f>
        <v>#REF!</v>
      </c>
      <c r="P23" s="41" t="e">
        <f>#REF!</f>
        <v>#REF!</v>
      </c>
      <c r="Q23" s="61">
        <f>IFERROR(O23/P23*100,0)</f>
        <v>0</v>
      </c>
      <c r="R23" s="41" t="e">
        <f>#REF!</f>
        <v>#REF!</v>
      </c>
      <c r="S23" s="61">
        <f>IFERROR(O23/R23*100,0)</f>
        <v>0</v>
      </c>
      <c r="T23" s="41" t="e">
        <f>#REF!</f>
        <v>#REF!</v>
      </c>
      <c r="U23" s="61">
        <f>IFERROR(O23/T23*100,0)</f>
        <v>0</v>
      </c>
      <c r="V23" s="27"/>
      <c r="X23" s="72" t="e">
        <f t="shared" si="7"/>
        <v>#REF!</v>
      </c>
      <c r="Y23" s="9"/>
      <c r="Z23" s="9"/>
      <c r="AA23" s="6" t="e">
        <f>'IS Flex'!O23</f>
        <v>#REF!</v>
      </c>
      <c r="AB23" s="6" t="e">
        <f t="shared" si="0"/>
        <v>#REF!</v>
      </c>
      <c r="AD23" s="67" t="e">
        <f t="shared" si="8"/>
        <v>#REF!</v>
      </c>
    </row>
    <row r="24" spans="1:30" s="6" customFormat="1" ht="15.6" x14ac:dyDescent="0.3">
      <c r="B24" s="41" t="e">
        <f>HLOOKUP(B4,#REF!,4,0)/1000</f>
        <v>#REF!</v>
      </c>
      <c r="C24" s="41" t="e">
        <f>HLOOKUP(C4,#REF!,4,0)/1000</f>
        <v>#REF!</v>
      </c>
      <c r="D24" s="41" t="e">
        <f>HLOOKUP(D4,#REF!,4,0)/1000</f>
        <v>#REF!</v>
      </c>
      <c r="E24" s="41" t="e">
        <f>HLOOKUP(E4,#REF!,4,0)/1000</f>
        <v>#REF!</v>
      </c>
      <c r="F24" s="41" t="e">
        <f>HLOOKUP(F4,#REF!,4,0)/1000</f>
        <v>#REF!</v>
      </c>
      <c r="G24" s="41" t="e">
        <f>HLOOKUP(G4,#REF!,4,0)/1000</f>
        <v>#REF!</v>
      </c>
      <c r="H24" s="41" t="e">
        <f>HLOOKUP(H4,#REF!,4,0)/1000</f>
        <v>#REF!</v>
      </c>
      <c r="I24" s="41" t="e">
        <f>HLOOKUP(I4,#REF!,4,0)/1000</f>
        <v>#REF!</v>
      </c>
      <c r="J24" s="41" t="e">
        <f>HLOOKUP(J4,#REF!,4,0)/1000</f>
        <v>#REF!</v>
      </c>
      <c r="K24" s="41" t="e">
        <f>HLOOKUP(K4,#REF!,4,0)/1000</f>
        <v>#REF!</v>
      </c>
      <c r="L24" s="41" t="e">
        <f>HLOOKUP(L4,#REF!,4,0)/1000</f>
        <v>#REF!</v>
      </c>
      <c r="M24" s="41" t="e">
        <f>HLOOKUP(M4,#REF!,4,0)/1000</f>
        <v>#REF!</v>
      </c>
      <c r="N24" s="42" t="s">
        <v>23</v>
      </c>
      <c r="O24" s="41" t="e">
        <f>#REF!</f>
        <v>#REF!</v>
      </c>
      <c r="P24" s="41" t="e">
        <f>#REF!</f>
        <v>#REF!</v>
      </c>
      <c r="Q24" s="61">
        <f>IFERROR(O24/P24*100,0)</f>
        <v>0</v>
      </c>
      <c r="R24" s="41" t="e">
        <f>#REF!</f>
        <v>#REF!</v>
      </c>
      <c r="S24" s="61">
        <f>IFERROR(O24/R24*100,0)</f>
        <v>0</v>
      </c>
      <c r="T24" s="41" t="e">
        <f>#REF!</f>
        <v>#REF!</v>
      </c>
      <c r="U24" s="61">
        <f>IFERROR(O24/T24*100,0)</f>
        <v>0</v>
      </c>
      <c r="V24" s="27"/>
      <c r="X24" s="72" t="e">
        <f t="shared" si="7"/>
        <v>#REF!</v>
      </c>
      <c r="Y24" s="9"/>
      <c r="Z24" s="9"/>
      <c r="AA24" s="6" t="e">
        <f>'IS Flex'!O24</f>
        <v>#REF!</v>
      </c>
      <c r="AB24" s="6" t="e">
        <f t="shared" si="0"/>
        <v>#REF!</v>
      </c>
      <c r="AD24" s="67" t="e">
        <f t="shared" si="8"/>
        <v>#REF!</v>
      </c>
    </row>
    <row r="25" spans="1:30" s="6" customFormat="1" ht="16.5" customHeight="1" x14ac:dyDescent="0.3">
      <c r="B25" s="41" t="e">
        <f>HLOOKUP(B4,#REF!,8,0)/1000</f>
        <v>#REF!</v>
      </c>
      <c r="C25" s="41" t="e">
        <f>HLOOKUP(C4,#REF!,8,0)/1000</f>
        <v>#REF!</v>
      </c>
      <c r="D25" s="41" t="e">
        <f>HLOOKUP(D4,#REF!,8,0)/1000</f>
        <v>#REF!</v>
      </c>
      <c r="E25" s="41" t="e">
        <f>HLOOKUP(E4,#REF!,8,0)/1000</f>
        <v>#REF!</v>
      </c>
      <c r="F25" s="41" t="e">
        <f>HLOOKUP(F4,#REF!,8,0)/1000</f>
        <v>#REF!</v>
      </c>
      <c r="G25" s="41" t="e">
        <f>HLOOKUP(G4,#REF!,8,0)/1000</f>
        <v>#REF!</v>
      </c>
      <c r="H25" s="41" t="e">
        <f>HLOOKUP(H4,#REF!,8,0)/1000</f>
        <v>#REF!</v>
      </c>
      <c r="I25" s="41" t="e">
        <f>HLOOKUP(I4,#REF!,8,0)/1000</f>
        <v>#REF!</v>
      </c>
      <c r="J25" s="41" t="e">
        <f>HLOOKUP(J4,#REF!,8,0)/1000</f>
        <v>#REF!</v>
      </c>
      <c r="K25" s="41" t="e">
        <f>HLOOKUP(K4,#REF!,8,0)/1000</f>
        <v>#REF!</v>
      </c>
      <c r="L25" s="41" t="e">
        <f>HLOOKUP(L4,#REF!,8,0)/1000</f>
        <v>#REF!</v>
      </c>
      <c r="M25" s="41" t="e">
        <f>HLOOKUP(M4,#REF!,8,0)/1000</f>
        <v>#REF!</v>
      </c>
      <c r="N25" s="42" t="s">
        <v>5</v>
      </c>
      <c r="O25" s="41" t="e">
        <f>#REF!</f>
        <v>#REF!</v>
      </c>
      <c r="P25" s="41" t="e">
        <f>#REF!</f>
        <v>#REF!</v>
      </c>
      <c r="Q25" s="61">
        <f t="shared" si="6"/>
        <v>0</v>
      </c>
      <c r="R25" s="41" t="e">
        <f>#REF!</f>
        <v>#REF!</v>
      </c>
      <c r="S25" s="61">
        <f t="shared" si="4"/>
        <v>0</v>
      </c>
      <c r="T25" s="41" t="e">
        <f>#REF!</f>
        <v>#REF!</v>
      </c>
      <c r="U25" s="61">
        <f t="shared" si="5"/>
        <v>0</v>
      </c>
      <c r="V25" s="27"/>
      <c r="X25" s="72" t="e">
        <f t="shared" si="7"/>
        <v>#REF!</v>
      </c>
      <c r="Y25" s="9"/>
      <c r="Z25" s="9"/>
      <c r="AA25" s="6" t="e">
        <f>'IS Flex'!O25</f>
        <v>#REF!</v>
      </c>
      <c r="AB25" s="6" t="e">
        <f t="shared" si="0"/>
        <v>#REF!</v>
      </c>
      <c r="AD25" s="67" t="e">
        <f t="shared" si="8"/>
        <v>#REF!</v>
      </c>
    </row>
    <row r="26" spans="1:30" ht="4.5" customHeight="1" x14ac:dyDescent="0.3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29"/>
      <c r="X26" s="72">
        <f t="shared" si="7"/>
        <v>0</v>
      </c>
      <c r="Y26" s="9"/>
      <c r="Z26" s="9"/>
      <c r="AA26" s="71">
        <f>'IS Flex'!O26</f>
        <v>0</v>
      </c>
      <c r="AB26" s="6">
        <f t="shared" si="0"/>
        <v>0</v>
      </c>
    </row>
    <row r="27" spans="1:30" s="6" customFormat="1" ht="15.6" x14ac:dyDescent="0.3">
      <c r="B27" s="38" t="e">
        <f>-HLOOKUP(B4,#REF!,12,0)/1000</f>
        <v>#REF!</v>
      </c>
      <c r="C27" s="38" t="e">
        <f>-HLOOKUP(C4,#REF!,12,0)/1000</f>
        <v>#REF!</v>
      </c>
      <c r="D27" s="38" t="e">
        <f>-HLOOKUP(D4,#REF!,12,0)/1000</f>
        <v>#REF!</v>
      </c>
      <c r="E27" s="38" t="e">
        <f>-HLOOKUP(E4,#REF!,12,0)/1000</f>
        <v>#REF!</v>
      </c>
      <c r="F27" s="38" t="e">
        <f>-HLOOKUP(F4,#REF!,12,0)/1000</f>
        <v>#REF!</v>
      </c>
      <c r="G27" s="38" t="e">
        <f>-HLOOKUP(G4,#REF!,12,0)/1000</f>
        <v>#REF!</v>
      </c>
      <c r="H27" s="38" t="e">
        <f>-HLOOKUP(H4,#REF!,12,0)/1000</f>
        <v>#REF!</v>
      </c>
      <c r="I27" s="38" t="e">
        <f>-HLOOKUP(I4,#REF!,12,0)/1000</f>
        <v>#REF!</v>
      </c>
      <c r="J27" s="38" t="e">
        <f>-HLOOKUP(J4,#REF!,12,0)/1000</f>
        <v>#REF!</v>
      </c>
      <c r="K27" s="38" t="e">
        <f>-HLOOKUP(K4,#REF!,12,0)/1000</f>
        <v>#REF!</v>
      </c>
      <c r="L27" s="38" t="e">
        <f>-HLOOKUP(L4,#REF!,12,0)/1000</f>
        <v>#REF!</v>
      </c>
      <c r="M27" s="38" t="e">
        <f>-HLOOKUP(M4,#REF!,12,0)/1000</f>
        <v>#REF!</v>
      </c>
      <c r="N27" s="39" t="s">
        <v>28</v>
      </c>
      <c r="O27" s="38" t="e">
        <f>-HLOOKUP(O4,#REF!,13,0)/1000</f>
        <v>#REF!</v>
      </c>
      <c r="P27" s="38" t="e">
        <f>HLOOKUP(P$4,#REF!,22,0)</f>
        <v>#REF!</v>
      </c>
      <c r="Q27" s="61">
        <f>IFERROR(O27/P27*100,0)</f>
        <v>0</v>
      </c>
      <c r="R27" s="38" t="e">
        <f>HLOOKUP(R$4,#REF!,22,0)</f>
        <v>#REF!</v>
      </c>
      <c r="S27" s="61">
        <f>IFERROR(O27/R27*100,0)</f>
        <v>0</v>
      </c>
      <c r="T27" s="38" t="e">
        <f>HLOOKUP(T$4,#REF!,22,0)</f>
        <v>#REF!</v>
      </c>
      <c r="U27" s="61">
        <f>IFERROR(O27/T27*100,0)</f>
        <v>0</v>
      </c>
      <c r="V27" s="27"/>
      <c r="X27" s="9"/>
      <c r="Y27" s="9"/>
      <c r="Z27" s="9"/>
      <c r="AA27" s="6" t="e">
        <f>'IS Flex'!O27</f>
        <v>#REF!</v>
      </c>
      <c r="AB27" s="6" t="e">
        <f t="shared" si="0"/>
        <v>#REF!</v>
      </c>
    </row>
    <row r="28" spans="1:30" ht="5.25" customHeight="1" x14ac:dyDescent="0.3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29"/>
      <c r="X28" s="9"/>
      <c r="Y28" s="9"/>
      <c r="Z28" s="9"/>
    </row>
    <row r="29" spans="1:30" s="9" customFormat="1" ht="15.6" x14ac:dyDescent="0.3">
      <c r="B29" s="48" t="s">
        <v>2</v>
      </c>
      <c r="C29" s="48" t="s">
        <v>2</v>
      </c>
      <c r="D29" s="48" t="s">
        <v>2</v>
      </c>
      <c r="E29" s="48" t="s">
        <v>2</v>
      </c>
      <c r="F29" s="48" t="s">
        <v>2</v>
      </c>
      <c r="G29" s="48" t="s">
        <v>2</v>
      </c>
      <c r="H29" s="48" t="s">
        <v>2</v>
      </c>
      <c r="I29" s="48" t="s">
        <v>2</v>
      </c>
      <c r="J29" s="48" t="s">
        <v>2</v>
      </c>
      <c r="K29" s="48" t="s">
        <v>2</v>
      </c>
      <c r="L29" s="48" t="s">
        <v>2</v>
      </c>
      <c r="M29" s="48" t="s">
        <v>2</v>
      </c>
      <c r="N29" s="49" t="s">
        <v>26</v>
      </c>
      <c r="O29" s="48" t="s">
        <v>2</v>
      </c>
      <c r="P29" s="48" t="s">
        <v>4</v>
      </c>
      <c r="Q29" s="63" t="s">
        <v>43</v>
      </c>
      <c r="R29" s="48" t="s">
        <v>1</v>
      </c>
      <c r="S29" s="63" t="s">
        <v>45</v>
      </c>
      <c r="T29" s="33" t="s">
        <v>44</v>
      </c>
      <c r="U29" s="63" t="s">
        <v>46</v>
      </c>
      <c r="V29" s="30"/>
    </row>
    <row r="30" spans="1:30" ht="5.25" customHeight="1" x14ac:dyDescent="0.3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29"/>
    </row>
    <row r="31" spans="1:30" ht="15.6" x14ac:dyDescent="0.3">
      <c r="B31" s="50" t="e">
        <f>HLOOKUP(B4,#REF!,2,0)</f>
        <v>#REF!</v>
      </c>
      <c r="C31" s="50" t="e">
        <f>HLOOKUP(C4,#REF!,2,0)</f>
        <v>#REF!</v>
      </c>
      <c r="D31" s="50" t="e">
        <f>HLOOKUP(D4,#REF!,2,0)</f>
        <v>#REF!</v>
      </c>
      <c r="E31" s="50" t="e">
        <f>HLOOKUP(E4,#REF!,2,0)</f>
        <v>#REF!</v>
      </c>
      <c r="F31" s="50" t="e">
        <f>HLOOKUP(F4,#REF!,2,0)</f>
        <v>#REF!</v>
      </c>
      <c r="G31" s="50" t="e">
        <f>HLOOKUP(G4,#REF!,2,0)</f>
        <v>#REF!</v>
      </c>
      <c r="H31" s="50" t="e">
        <f>HLOOKUP(H4,#REF!,2,0)</f>
        <v>#REF!</v>
      </c>
      <c r="I31" s="50" t="e">
        <f>HLOOKUP(I4,#REF!,2,0)</f>
        <v>#REF!</v>
      </c>
      <c r="J31" s="50" t="e">
        <f>HLOOKUP(J4,#REF!,2,0)</f>
        <v>#REF!</v>
      </c>
      <c r="K31" s="50" t="e">
        <f>HLOOKUP(K4,#REF!,2,0)</f>
        <v>#REF!</v>
      </c>
      <c r="L31" s="50" t="e">
        <f>HLOOKUP(L4,#REF!,2,0)</f>
        <v>#REF!</v>
      </c>
      <c r="M31" s="50" t="e">
        <f>HLOOKUP(M4,#REF!,2,0)</f>
        <v>#REF!</v>
      </c>
      <c r="N31" s="42" t="s">
        <v>41</v>
      </c>
      <c r="O31" s="50" t="e">
        <f>#REF!</f>
        <v>#REF!</v>
      </c>
      <c r="P31" s="50" t="e">
        <f>#REF!</f>
        <v>#REF!</v>
      </c>
      <c r="Q31" s="64">
        <f>IFERROR(O31/P31*100,0)</f>
        <v>0</v>
      </c>
      <c r="R31" s="50" t="e">
        <f>#REF!</f>
        <v>#REF!</v>
      </c>
      <c r="S31" s="64">
        <f>IFERROR(O31/R31*100,0)</f>
        <v>0</v>
      </c>
      <c r="T31" s="50" t="e">
        <f>#REF!</f>
        <v>#REF!</v>
      </c>
      <c r="U31" s="64">
        <f>IFERROR(O31/T31*100,0)</f>
        <v>0</v>
      </c>
      <c r="V31" s="29"/>
    </row>
    <row r="32" spans="1:30" s="2" customFormat="1" ht="15.6" x14ac:dyDescent="0.3">
      <c r="B32" s="51" t="e">
        <f>HLOOKUP(B4,#REF!,2,0)</f>
        <v>#REF!</v>
      </c>
      <c r="C32" s="51" t="e">
        <f>HLOOKUP(C4,#REF!,2,0)</f>
        <v>#REF!</v>
      </c>
      <c r="D32" s="51" t="e">
        <f>HLOOKUP(D4,#REF!,2,0)</f>
        <v>#REF!</v>
      </c>
      <c r="E32" s="51" t="e">
        <f>HLOOKUP(E4,#REF!,2,0)</f>
        <v>#REF!</v>
      </c>
      <c r="F32" s="51" t="e">
        <f>HLOOKUP(F4,#REF!,2,0)</f>
        <v>#REF!</v>
      </c>
      <c r="G32" s="51" t="e">
        <f>HLOOKUP(G4,#REF!,2,0)</f>
        <v>#REF!</v>
      </c>
      <c r="H32" s="51" t="e">
        <f>HLOOKUP(H4,#REF!,2,0)</f>
        <v>#REF!</v>
      </c>
      <c r="I32" s="51" t="e">
        <f>HLOOKUP(I4,#REF!,2,0)</f>
        <v>#REF!</v>
      </c>
      <c r="J32" s="51" t="e">
        <f>HLOOKUP(J4,#REF!,2,0)</f>
        <v>#REF!</v>
      </c>
      <c r="K32" s="51" t="e">
        <f>HLOOKUP(K4,#REF!,2,0)</f>
        <v>#REF!</v>
      </c>
      <c r="L32" s="51" t="e">
        <f>HLOOKUP(L4,#REF!,2,0)</f>
        <v>#REF!</v>
      </c>
      <c r="M32" s="51" t="e">
        <f>HLOOKUP(M4,#REF!,2,0)</f>
        <v>#REF!</v>
      </c>
      <c r="N32" s="42" t="s">
        <v>27</v>
      </c>
      <c r="O32" s="51" t="e">
        <f>#REF!</f>
        <v>#REF!</v>
      </c>
      <c r="P32" s="51" t="e">
        <f>#REF!</f>
        <v>#REF!</v>
      </c>
      <c r="Q32" s="65">
        <f>IFERROR(O32/P32*100,0)</f>
        <v>0</v>
      </c>
      <c r="R32" s="51" t="e">
        <f>#REF!</f>
        <v>#REF!</v>
      </c>
      <c r="S32" s="65">
        <f>IFERROR(O32/R32*100,0)</f>
        <v>0</v>
      </c>
      <c r="T32" s="51" t="e">
        <f>#REF!</f>
        <v>#REF!</v>
      </c>
      <c r="U32" s="65">
        <f>IFERROR(O32/T32*100,0)</f>
        <v>0</v>
      </c>
      <c r="V32" s="31"/>
    </row>
    <row r="33" spans="2:25" s="2" customFormat="1" ht="15.6" x14ac:dyDescent="0.3">
      <c r="B33" s="51" t="e">
        <f>HLOOKUP(B4,#REF!,2,0)</f>
        <v>#REF!</v>
      </c>
      <c r="C33" s="51" t="e">
        <f>HLOOKUP(C4,#REF!,2,0)</f>
        <v>#REF!</v>
      </c>
      <c r="D33" s="51" t="e">
        <f>HLOOKUP(D4,#REF!,2,0)</f>
        <v>#REF!</v>
      </c>
      <c r="E33" s="51" t="e">
        <f>HLOOKUP(E4,#REF!,2,0)</f>
        <v>#REF!</v>
      </c>
      <c r="F33" s="51" t="e">
        <f>HLOOKUP(F4,#REF!,2,0)</f>
        <v>#REF!</v>
      </c>
      <c r="G33" s="51" t="e">
        <f>HLOOKUP(G4,#REF!,2,0)</f>
        <v>#REF!</v>
      </c>
      <c r="H33" s="51" t="e">
        <f>HLOOKUP(H4,#REF!,2,0)</f>
        <v>#REF!</v>
      </c>
      <c r="I33" s="51" t="e">
        <f>HLOOKUP(I4,#REF!,2,0)</f>
        <v>#REF!</v>
      </c>
      <c r="J33" s="51" t="e">
        <f>HLOOKUP(J4,#REF!,2,0)</f>
        <v>#REF!</v>
      </c>
      <c r="K33" s="51" t="e">
        <f>HLOOKUP(K4,#REF!,2,0)</f>
        <v>#REF!</v>
      </c>
      <c r="L33" s="51" t="e">
        <f>HLOOKUP(L4,#REF!,2,0)</f>
        <v>#REF!</v>
      </c>
      <c r="M33" s="51" t="e">
        <f>HLOOKUP(M4,#REF!,2,0)</f>
        <v>#REF!</v>
      </c>
      <c r="N33" s="52" t="s">
        <v>39</v>
      </c>
      <c r="O33" s="51" t="e">
        <f>#REF!</f>
        <v>#REF!</v>
      </c>
      <c r="P33" s="51" t="e">
        <f>#REF!</f>
        <v>#REF!</v>
      </c>
      <c r="Q33" s="65">
        <f>IFERROR(O33/P33*100,0)</f>
        <v>0</v>
      </c>
      <c r="R33" s="51" t="e">
        <f>#REF!</f>
        <v>#REF!</v>
      </c>
      <c r="S33" s="65">
        <f>IFERROR(O33/R33*100,0)</f>
        <v>0</v>
      </c>
      <c r="T33" s="51" t="e">
        <f>#REF!</f>
        <v>#REF!</v>
      </c>
      <c r="U33" s="65">
        <f>IFERROR(O33/T33*100,0)</f>
        <v>0</v>
      </c>
      <c r="V33" s="31"/>
    </row>
    <row r="34" spans="2:25" s="2" customFormat="1" ht="15.6" x14ac:dyDescent="0.3">
      <c r="B34" s="51" t="e">
        <f>HLOOKUP(B4,#REF!,2,0)</f>
        <v>#REF!</v>
      </c>
      <c r="C34" s="51" t="e">
        <f>HLOOKUP(C4,#REF!,2,0)</f>
        <v>#REF!</v>
      </c>
      <c r="D34" s="51" t="e">
        <f>HLOOKUP(D4,#REF!,2,0)</f>
        <v>#REF!</v>
      </c>
      <c r="E34" s="51" t="e">
        <f>HLOOKUP(E4,#REF!,2,0)</f>
        <v>#REF!</v>
      </c>
      <c r="F34" s="51" t="e">
        <f>HLOOKUP(F4,#REF!,2,0)</f>
        <v>#REF!</v>
      </c>
      <c r="G34" s="51" t="e">
        <f>HLOOKUP(G4,#REF!,2,0)</f>
        <v>#REF!</v>
      </c>
      <c r="H34" s="51" t="e">
        <f>HLOOKUP(H4,#REF!,2,0)</f>
        <v>#REF!</v>
      </c>
      <c r="I34" s="51" t="e">
        <f>HLOOKUP(I4,#REF!,2,0)</f>
        <v>#REF!</v>
      </c>
      <c r="J34" s="51" t="e">
        <f>HLOOKUP(J4,#REF!,2,0)</f>
        <v>#REF!</v>
      </c>
      <c r="K34" s="51" t="e">
        <f>HLOOKUP(K4,#REF!,2,0)</f>
        <v>#REF!</v>
      </c>
      <c r="L34" s="51" t="e">
        <f>HLOOKUP(L4,#REF!,2,0)</f>
        <v>#REF!</v>
      </c>
      <c r="M34" s="51" t="e">
        <f>HLOOKUP(M4,#REF!,2,0)</f>
        <v>#REF!</v>
      </c>
      <c r="N34" s="42" t="s">
        <v>17</v>
      </c>
      <c r="O34" s="51" t="e">
        <f>#REF!</f>
        <v>#REF!</v>
      </c>
      <c r="P34" s="51" t="e">
        <f>#REF!</f>
        <v>#REF!</v>
      </c>
      <c r="Q34" s="65">
        <f>IFERROR(O34/P34*100,0)</f>
        <v>0</v>
      </c>
      <c r="R34" s="51" t="e">
        <f>#REF!</f>
        <v>#REF!</v>
      </c>
      <c r="S34" s="65">
        <f>IFERROR(O34/R34*100,0)</f>
        <v>0</v>
      </c>
      <c r="T34" s="51" t="e">
        <f>#REF!</f>
        <v>#REF!</v>
      </c>
      <c r="U34" s="65">
        <f>IFERROR(O34/T34*100,0)</f>
        <v>0</v>
      </c>
      <c r="V34" s="31" t="e">
        <f>O9/O31</f>
        <v>#REF!</v>
      </c>
    </row>
    <row r="35" spans="2:25" ht="4.5" customHeight="1" x14ac:dyDescent="0.3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29"/>
    </row>
    <row r="36" spans="2:25" ht="15" customHeight="1" x14ac:dyDescent="0.3">
      <c r="B36" s="54">
        <f>IFERROR(B8/B31,0)</f>
        <v>0</v>
      </c>
      <c r="C36" s="54">
        <f t="shared" ref="C36:M36" si="10">IFERROR(C8/C31,0)</f>
        <v>0</v>
      </c>
      <c r="D36" s="54">
        <f t="shared" si="10"/>
        <v>0</v>
      </c>
      <c r="E36" s="54">
        <f t="shared" si="10"/>
        <v>0</v>
      </c>
      <c r="F36" s="54">
        <f t="shared" si="10"/>
        <v>0</v>
      </c>
      <c r="G36" s="54">
        <f t="shared" si="10"/>
        <v>0</v>
      </c>
      <c r="H36" s="54">
        <f t="shared" si="10"/>
        <v>0</v>
      </c>
      <c r="I36" s="54">
        <f t="shared" si="10"/>
        <v>0</v>
      </c>
      <c r="J36" s="54">
        <f t="shared" si="10"/>
        <v>0</v>
      </c>
      <c r="K36" s="54">
        <f t="shared" si="10"/>
        <v>0</v>
      </c>
      <c r="L36" s="54">
        <f t="shared" si="10"/>
        <v>0</v>
      </c>
      <c r="M36" s="54">
        <f t="shared" si="10"/>
        <v>0</v>
      </c>
      <c r="N36" s="55" t="s">
        <v>42</v>
      </c>
      <c r="O36" s="54">
        <f>IFERROR(O8/O31,0)</f>
        <v>0</v>
      </c>
      <c r="P36" s="54">
        <f>IFERROR(P8/P31,0)</f>
        <v>0</v>
      </c>
      <c r="Q36" s="66">
        <f>IFERROR(O36/P36*100,0)</f>
        <v>0</v>
      </c>
      <c r="R36" s="54">
        <f>IFERROR(R8/R31,0)</f>
        <v>0</v>
      </c>
      <c r="S36" s="66">
        <f>IFERROR(O36/R36*100,0)</f>
        <v>0</v>
      </c>
      <c r="T36" s="54">
        <f>IFERROR(T8/T31,0)</f>
        <v>0</v>
      </c>
      <c r="U36" s="66">
        <f>IFERROR(O36/T36*100,0)</f>
        <v>0</v>
      </c>
      <c r="V36" s="29"/>
    </row>
    <row r="37" spans="2:25" s="2" customFormat="1" ht="15.6" x14ac:dyDescent="0.3">
      <c r="B37" s="54">
        <f>IFERROR(B12/B32,0)</f>
        <v>0</v>
      </c>
      <c r="C37" s="54">
        <f t="shared" ref="C37:M37" si="11">IFERROR(C12/C32,0)</f>
        <v>0</v>
      </c>
      <c r="D37" s="54">
        <f t="shared" si="11"/>
        <v>0</v>
      </c>
      <c r="E37" s="54">
        <f t="shared" si="11"/>
        <v>0</v>
      </c>
      <c r="F37" s="54">
        <f t="shared" si="11"/>
        <v>0</v>
      </c>
      <c r="G37" s="54">
        <f t="shared" si="11"/>
        <v>0</v>
      </c>
      <c r="H37" s="54">
        <f t="shared" si="11"/>
        <v>0</v>
      </c>
      <c r="I37" s="54">
        <f t="shared" si="11"/>
        <v>0</v>
      </c>
      <c r="J37" s="54">
        <f t="shared" si="11"/>
        <v>0</v>
      </c>
      <c r="K37" s="54">
        <f t="shared" si="11"/>
        <v>0</v>
      </c>
      <c r="L37" s="54">
        <f t="shared" si="11"/>
        <v>0</v>
      </c>
      <c r="M37" s="54">
        <f t="shared" si="11"/>
        <v>0</v>
      </c>
      <c r="N37" s="55" t="s">
        <v>36</v>
      </c>
      <c r="O37" s="54">
        <f>IFERROR(O12/O32,0)</f>
        <v>0</v>
      </c>
      <c r="P37" s="54">
        <f>IFERROR(P12/P32,0)</f>
        <v>0</v>
      </c>
      <c r="Q37" s="66">
        <f>IFERROR(O37/P37*100,0)</f>
        <v>0</v>
      </c>
      <c r="R37" s="54">
        <f>IFERROR(R12/R32,0)</f>
        <v>0</v>
      </c>
      <c r="S37" s="66">
        <f>IFERROR(O37/R37*100,0)</f>
        <v>0</v>
      </c>
      <c r="T37" s="54">
        <f>IFERROR(T12/T32,0)</f>
        <v>0</v>
      </c>
      <c r="U37" s="66">
        <f>IFERROR(O37/T37*100,0)</f>
        <v>0</v>
      </c>
      <c r="V37" s="31"/>
    </row>
    <row r="38" spans="2:25" s="2" customFormat="1" ht="15.6" x14ac:dyDescent="0.3">
      <c r="B38" s="54">
        <f>IFERROR(SUM(B13:B24)/B32,0)</f>
        <v>0</v>
      </c>
      <c r="C38" s="54">
        <f t="shared" ref="C38:M38" si="12">IFERROR(SUM(C13:C24)/C32,0)</f>
        <v>0</v>
      </c>
      <c r="D38" s="54">
        <f t="shared" si="12"/>
        <v>0</v>
      </c>
      <c r="E38" s="54">
        <f t="shared" si="12"/>
        <v>0</v>
      </c>
      <c r="F38" s="54">
        <f t="shared" si="12"/>
        <v>0</v>
      </c>
      <c r="G38" s="54">
        <f t="shared" si="12"/>
        <v>0</v>
      </c>
      <c r="H38" s="54">
        <f t="shared" si="12"/>
        <v>0</v>
      </c>
      <c r="I38" s="54">
        <f t="shared" si="12"/>
        <v>0</v>
      </c>
      <c r="J38" s="54">
        <f t="shared" si="12"/>
        <v>0</v>
      </c>
      <c r="K38" s="54">
        <f t="shared" si="12"/>
        <v>0</v>
      </c>
      <c r="L38" s="54">
        <f t="shared" si="12"/>
        <v>0</v>
      </c>
      <c r="M38" s="54">
        <f t="shared" si="12"/>
        <v>0</v>
      </c>
      <c r="N38" s="55" t="s">
        <v>35</v>
      </c>
      <c r="O38" s="54">
        <f>IFERROR(SUM(O13:O24)/O32,0)</f>
        <v>0</v>
      </c>
      <c r="P38" s="54">
        <f>IFERROR(SUM(P13:P24)/P32,0)</f>
        <v>0</v>
      </c>
      <c r="Q38" s="66">
        <f>IFERROR(O38/P38*100,0)</f>
        <v>0</v>
      </c>
      <c r="R38" s="54">
        <f>IFERROR(SUM(R13:R24)/R32,0)</f>
        <v>0</v>
      </c>
      <c r="S38" s="66">
        <f>IFERROR(O38/R38*100,0)</f>
        <v>0</v>
      </c>
      <c r="T38" s="54">
        <f>IFERROR(SUM(T13:T24)/T32,0)</f>
        <v>0</v>
      </c>
      <c r="U38" s="66">
        <f>IFERROR(O38/T38*100,0)</f>
        <v>0</v>
      </c>
      <c r="V38" s="31"/>
      <c r="Y38" s="2">
        <v>325679.46000000002</v>
      </c>
    </row>
    <row r="39" spans="2:25" s="2" customFormat="1" ht="15.6" x14ac:dyDescent="0.3">
      <c r="B39" s="54">
        <f>-IFERROR(B25/B32,0)</f>
        <v>0</v>
      </c>
      <c r="C39" s="54">
        <f t="shared" ref="C39:M39" si="13">-IFERROR(C25/C32,0)</f>
        <v>0</v>
      </c>
      <c r="D39" s="54">
        <f t="shared" si="13"/>
        <v>0</v>
      </c>
      <c r="E39" s="54">
        <f t="shared" si="13"/>
        <v>0</v>
      </c>
      <c r="F39" s="54">
        <f t="shared" si="13"/>
        <v>0</v>
      </c>
      <c r="G39" s="54">
        <f t="shared" si="13"/>
        <v>0</v>
      </c>
      <c r="H39" s="54">
        <f t="shared" si="13"/>
        <v>0</v>
      </c>
      <c r="I39" s="54">
        <f t="shared" si="13"/>
        <v>0</v>
      </c>
      <c r="J39" s="54">
        <f t="shared" si="13"/>
        <v>0</v>
      </c>
      <c r="K39" s="54">
        <f t="shared" si="13"/>
        <v>0</v>
      </c>
      <c r="L39" s="54">
        <f t="shared" si="13"/>
        <v>0</v>
      </c>
      <c r="M39" s="54">
        <f t="shared" si="13"/>
        <v>0</v>
      </c>
      <c r="N39" s="55" t="s">
        <v>34</v>
      </c>
      <c r="O39" s="54">
        <f>-IFERROR(O25/O32,0)</f>
        <v>0</v>
      </c>
      <c r="P39" s="54">
        <f>-IFERROR(P25/P32,0)</f>
        <v>0</v>
      </c>
      <c r="Q39" s="66">
        <f>IFERROR(O39/P39*100,0)</f>
        <v>0</v>
      </c>
      <c r="R39" s="54">
        <f>-IFERROR(R25/R32,0)</f>
        <v>0</v>
      </c>
      <c r="S39" s="66">
        <f>IFERROR(O39/R39*100,0)</f>
        <v>0</v>
      </c>
      <c r="T39" s="54">
        <f>-IFERROR(T25/T32,0)</f>
        <v>0</v>
      </c>
      <c r="U39" s="66">
        <f>IFERROR(O39/T39*100,0)</f>
        <v>0</v>
      </c>
      <c r="V39" s="31"/>
      <c r="Y39" s="2" t="e">
        <f>O38*O33*1000</f>
        <v>#REF!</v>
      </c>
    </row>
    <row r="40" spans="2:25" ht="4.5" customHeight="1" x14ac:dyDescent="0.3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29"/>
    </row>
    <row r="41" spans="2:25" s="2" customFormat="1" ht="15.6" x14ac:dyDescent="0.3">
      <c r="B41" s="54">
        <f>IFERROR(B13/B32,0)</f>
        <v>0</v>
      </c>
      <c r="C41" s="54">
        <f t="shared" ref="C41:M41" si="14">IFERROR(C13/C32,0)</f>
        <v>0</v>
      </c>
      <c r="D41" s="54">
        <f t="shared" si="14"/>
        <v>0</v>
      </c>
      <c r="E41" s="54">
        <f t="shared" si="14"/>
        <v>0</v>
      </c>
      <c r="F41" s="54">
        <f t="shared" si="14"/>
        <v>0</v>
      </c>
      <c r="G41" s="54">
        <f t="shared" si="14"/>
        <v>0</v>
      </c>
      <c r="H41" s="54">
        <f t="shared" si="14"/>
        <v>0</v>
      </c>
      <c r="I41" s="54">
        <f t="shared" si="14"/>
        <v>0</v>
      </c>
      <c r="J41" s="54">
        <f t="shared" si="14"/>
        <v>0</v>
      </c>
      <c r="K41" s="54">
        <f t="shared" si="14"/>
        <v>0</v>
      </c>
      <c r="L41" s="54">
        <f t="shared" si="14"/>
        <v>0</v>
      </c>
      <c r="M41" s="54">
        <f t="shared" si="14"/>
        <v>0</v>
      </c>
      <c r="N41" s="52" t="s">
        <v>33</v>
      </c>
      <c r="O41" s="54">
        <f>IFERROR(O13/O32,0)</f>
        <v>0</v>
      </c>
      <c r="P41" s="54">
        <f>IFERROR(P13/P32,0)</f>
        <v>0</v>
      </c>
      <c r="Q41" s="66">
        <f>IFERROR(O41/P41*100,0)</f>
        <v>0</v>
      </c>
      <c r="R41" s="54">
        <f>IFERROR(R13/R32,0)</f>
        <v>0</v>
      </c>
      <c r="S41" s="66">
        <f>IFERROR(O41/R41*100,0)</f>
        <v>0</v>
      </c>
      <c r="T41" s="54">
        <f>IFERROR(T13/T32,0)</f>
        <v>0</v>
      </c>
      <c r="U41" s="66">
        <f>IFERROR(O41/T41*100,0)</f>
        <v>0</v>
      </c>
      <c r="V41" s="31"/>
      <c r="Y41" s="2" t="e">
        <f>Y38-Y39</f>
        <v>#REF!</v>
      </c>
    </row>
    <row r="42" spans="2:25" s="2" customFormat="1" ht="15.6" x14ac:dyDescent="0.3">
      <c r="B42" s="56">
        <f>IFERROR(B14/B34*1000,0)</f>
        <v>0</v>
      </c>
      <c r="C42" s="56">
        <f t="shared" ref="C42:M42" si="15">IFERROR(C14/C34*1000,0)</f>
        <v>0</v>
      </c>
      <c r="D42" s="56">
        <f t="shared" si="15"/>
        <v>0</v>
      </c>
      <c r="E42" s="56">
        <f t="shared" si="15"/>
        <v>0</v>
      </c>
      <c r="F42" s="56">
        <f t="shared" si="15"/>
        <v>0</v>
      </c>
      <c r="G42" s="56">
        <f t="shared" si="15"/>
        <v>0</v>
      </c>
      <c r="H42" s="56">
        <f t="shared" si="15"/>
        <v>0</v>
      </c>
      <c r="I42" s="56">
        <f t="shared" si="15"/>
        <v>0</v>
      </c>
      <c r="J42" s="56">
        <f t="shared" si="15"/>
        <v>0</v>
      </c>
      <c r="K42" s="56">
        <f t="shared" si="15"/>
        <v>0</v>
      </c>
      <c r="L42" s="56">
        <f t="shared" si="15"/>
        <v>0</v>
      </c>
      <c r="M42" s="56">
        <f t="shared" si="15"/>
        <v>0</v>
      </c>
      <c r="N42" s="52" t="s">
        <v>30</v>
      </c>
      <c r="O42" s="56">
        <f>IFERROR(O14/O34*1000,0)</f>
        <v>0</v>
      </c>
      <c r="P42" s="56">
        <f>IFERROR(P14/P34*1000,0)</f>
        <v>0</v>
      </c>
      <c r="Q42" s="66">
        <f>IFERROR(O42/P42*100,0)</f>
        <v>0</v>
      </c>
      <c r="R42" s="56">
        <f>IFERROR(R14/R34*1000,0)</f>
        <v>0</v>
      </c>
      <c r="S42" s="66">
        <f>IFERROR(O42/R42*100,0)</f>
        <v>0</v>
      </c>
      <c r="T42" s="56">
        <f>IFERROR(T14/T34*1000,0)</f>
        <v>0</v>
      </c>
      <c r="U42" s="66">
        <f>IFERROR(O42/T42*100,0)</f>
        <v>0</v>
      </c>
      <c r="V42" s="31"/>
    </row>
    <row r="43" spans="2:25" s="2" customFormat="1" ht="15.6" x14ac:dyDescent="0.3">
      <c r="B43" s="56">
        <f>IFERROR(B15/B34*1000,0)</f>
        <v>0</v>
      </c>
      <c r="C43" s="56">
        <f t="shared" ref="C43:M43" si="16">IFERROR(C15/C34*1000,0)</f>
        <v>0</v>
      </c>
      <c r="D43" s="56">
        <f t="shared" si="16"/>
        <v>0</v>
      </c>
      <c r="E43" s="56">
        <f t="shared" si="16"/>
        <v>0</v>
      </c>
      <c r="F43" s="56">
        <f t="shared" si="16"/>
        <v>0</v>
      </c>
      <c r="G43" s="56">
        <f t="shared" si="16"/>
        <v>0</v>
      </c>
      <c r="H43" s="56">
        <f t="shared" si="16"/>
        <v>0</v>
      </c>
      <c r="I43" s="56">
        <f t="shared" si="16"/>
        <v>0</v>
      </c>
      <c r="J43" s="56">
        <f t="shared" si="16"/>
        <v>0</v>
      </c>
      <c r="K43" s="56">
        <f t="shared" si="16"/>
        <v>0</v>
      </c>
      <c r="L43" s="56">
        <f t="shared" si="16"/>
        <v>0</v>
      </c>
      <c r="M43" s="56">
        <f t="shared" si="16"/>
        <v>0</v>
      </c>
      <c r="N43" s="52" t="s">
        <v>31</v>
      </c>
      <c r="O43" s="56">
        <f>IFERROR(O15/O34*1000,0)</f>
        <v>0</v>
      </c>
      <c r="P43" s="56">
        <f>IFERROR(P15/P34*1000,0)</f>
        <v>0</v>
      </c>
      <c r="Q43" s="66">
        <f>IFERROR(O43/P43*100,0)</f>
        <v>0</v>
      </c>
      <c r="R43" s="56">
        <f>IFERROR(R15/R34*1000,0)</f>
        <v>0</v>
      </c>
      <c r="S43" s="66">
        <f>IFERROR(O43/R43*100,0)</f>
        <v>0</v>
      </c>
      <c r="T43" s="56">
        <f>IFERROR(T15/T34*1000,0)</f>
        <v>0</v>
      </c>
      <c r="U43" s="66">
        <f>IFERROR(O43/T43*100,0)</f>
        <v>0</v>
      </c>
      <c r="V43" s="31"/>
    </row>
    <row r="44" spans="2:25" s="2" customFormat="1" ht="15.6" x14ac:dyDescent="0.3">
      <c r="B44" s="56">
        <f>IFERROR(B16/B34*1000,0)</f>
        <v>0</v>
      </c>
      <c r="C44" s="56">
        <f t="shared" ref="C44:M44" si="17">IFERROR(C16/C34*1000,0)</f>
        <v>0</v>
      </c>
      <c r="D44" s="56">
        <f t="shared" si="17"/>
        <v>0</v>
      </c>
      <c r="E44" s="56">
        <f t="shared" si="17"/>
        <v>0</v>
      </c>
      <c r="F44" s="56">
        <f t="shared" si="17"/>
        <v>0</v>
      </c>
      <c r="G44" s="56">
        <f t="shared" si="17"/>
        <v>0</v>
      </c>
      <c r="H44" s="56">
        <f t="shared" si="17"/>
        <v>0</v>
      </c>
      <c r="I44" s="56">
        <f t="shared" si="17"/>
        <v>0</v>
      </c>
      <c r="J44" s="56">
        <f t="shared" si="17"/>
        <v>0</v>
      </c>
      <c r="K44" s="56">
        <f t="shared" si="17"/>
        <v>0</v>
      </c>
      <c r="L44" s="56">
        <f t="shared" si="17"/>
        <v>0</v>
      </c>
      <c r="M44" s="56">
        <f t="shared" si="17"/>
        <v>0</v>
      </c>
      <c r="N44" s="52" t="s">
        <v>32</v>
      </c>
      <c r="O44" s="56">
        <f>IFERROR(O16/O34*1000,0)</f>
        <v>0</v>
      </c>
      <c r="P44" s="56">
        <f>IFERROR(P16/P34*1000,0)</f>
        <v>0</v>
      </c>
      <c r="Q44" s="66">
        <f>IFERROR(O44/P44*100,0)</f>
        <v>0</v>
      </c>
      <c r="R44" s="56">
        <f>IFERROR(R16/R34*1000,0)</f>
        <v>0</v>
      </c>
      <c r="S44" s="66">
        <f>IFERROR(O44/R44*100,0)</f>
        <v>0</v>
      </c>
      <c r="T44" s="56">
        <f>IFERROR(T16/T34*1000,0)</f>
        <v>0</v>
      </c>
      <c r="U44" s="66">
        <f>IFERROR(O44/T44*100,0)</f>
        <v>0</v>
      </c>
      <c r="V44" s="31"/>
    </row>
    <row r="45" spans="2:25" s="2" customFormat="1" ht="15.6" x14ac:dyDescent="0.3">
      <c r="B45" s="56">
        <f>IFERROR(B12/B34*1000,0)</f>
        <v>0</v>
      </c>
      <c r="C45" s="56">
        <f t="shared" ref="C45:M45" si="18">IFERROR(C12/C34*1000,0)</f>
        <v>0</v>
      </c>
      <c r="D45" s="56">
        <f t="shared" si="18"/>
        <v>0</v>
      </c>
      <c r="E45" s="56">
        <f t="shared" si="18"/>
        <v>0</v>
      </c>
      <c r="F45" s="56">
        <f t="shared" si="18"/>
        <v>0</v>
      </c>
      <c r="G45" s="56">
        <f t="shared" si="18"/>
        <v>0</v>
      </c>
      <c r="H45" s="56">
        <f t="shared" si="18"/>
        <v>0</v>
      </c>
      <c r="I45" s="56">
        <f t="shared" si="18"/>
        <v>0</v>
      </c>
      <c r="J45" s="56">
        <f t="shared" si="18"/>
        <v>0</v>
      </c>
      <c r="K45" s="56">
        <f t="shared" si="18"/>
        <v>0</v>
      </c>
      <c r="L45" s="56">
        <f t="shared" si="18"/>
        <v>0</v>
      </c>
      <c r="M45" s="56">
        <f t="shared" si="18"/>
        <v>0</v>
      </c>
      <c r="N45" s="52" t="s">
        <v>63</v>
      </c>
      <c r="O45" s="56">
        <f>IFERROR(O12/O34*1000,0)</f>
        <v>0</v>
      </c>
      <c r="P45" s="56">
        <f>IFERROR(P12/P34*1000,0)</f>
        <v>0</v>
      </c>
      <c r="Q45" s="66">
        <f>IFERROR(O45/P45*100,0)</f>
        <v>0</v>
      </c>
      <c r="R45" s="56">
        <f>IFERROR(R12/R34*1000,0)</f>
        <v>0</v>
      </c>
      <c r="S45" s="66">
        <f>IFERROR(O45/R45*100,0)</f>
        <v>0</v>
      </c>
      <c r="T45" s="56">
        <f>IFERROR(T12/T34*1000,0)</f>
        <v>0</v>
      </c>
      <c r="U45" s="66">
        <f>IFERROR(O45/T45*100,0)</f>
        <v>0</v>
      </c>
      <c r="V45" s="31"/>
    </row>
    <row r="46" spans="2:25" s="2" customFormat="1" ht="5.0999999999999996" customHeight="1" x14ac:dyDescent="0.3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31"/>
    </row>
    <row r="47" spans="2:25" ht="14.4" x14ac:dyDescent="0.3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</row>
    <row r="48" spans="2:25" ht="14.4" x14ac:dyDescent="0.3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29"/>
      <c r="M48" s="29"/>
      <c r="N48" s="29"/>
      <c r="O48" s="32"/>
      <c r="P48" s="29"/>
      <c r="Q48" s="29"/>
      <c r="R48" s="29"/>
      <c r="S48" s="29"/>
      <c r="T48" s="29"/>
      <c r="U48" s="29"/>
      <c r="V48" s="29"/>
    </row>
    <row r="49" spans="2:22" ht="14.4" x14ac:dyDescent="0.3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29"/>
      <c r="M49" s="29"/>
      <c r="N49" s="29"/>
      <c r="O49" s="32"/>
      <c r="P49" s="29"/>
      <c r="Q49" s="29"/>
      <c r="R49" s="29"/>
      <c r="S49" s="29"/>
      <c r="T49" s="29"/>
      <c r="U49" s="29"/>
      <c r="V49" s="29"/>
    </row>
    <row r="50" spans="2:22" ht="14.4" x14ac:dyDescent="0.3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29"/>
      <c r="M50" s="29"/>
      <c r="N50" s="29"/>
      <c r="O50" s="32"/>
      <c r="P50" s="29"/>
      <c r="Q50" s="29"/>
      <c r="R50" s="29"/>
      <c r="S50" s="29"/>
      <c r="T50" s="29"/>
      <c r="U50" s="29"/>
      <c r="V50" s="29"/>
    </row>
    <row r="51" spans="2:22" ht="14.4" x14ac:dyDescent="0.3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29"/>
      <c r="M51" s="29"/>
      <c r="N51" s="29"/>
      <c r="O51" s="32"/>
      <c r="P51" s="29"/>
      <c r="Q51" s="29"/>
      <c r="R51" s="29"/>
      <c r="S51" s="29"/>
      <c r="T51" s="29"/>
      <c r="U51" s="29"/>
      <c r="V51" s="29"/>
    </row>
    <row r="52" spans="2:22" ht="14.4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29"/>
      <c r="M52" s="29"/>
      <c r="N52" s="29"/>
      <c r="O52" s="32"/>
      <c r="P52" s="29"/>
      <c r="Q52" s="29"/>
      <c r="R52" s="29"/>
      <c r="S52" s="29"/>
      <c r="T52" s="29"/>
      <c r="U52" s="29"/>
      <c r="V52" s="29"/>
    </row>
    <row r="53" spans="2:22" ht="14.4" x14ac:dyDescent="0.3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29"/>
      <c r="M53" s="29"/>
      <c r="N53" s="29"/>
      <c r="O53" s="32"/>
      <c r="P53" s="29"/>
      <c r="Q53" s="29"/>
      <c r="R53" s="29"/>
      <c r="S53" s="29"/>
      <c r="T53" s="29"/>
      <c r="U53" s="29"/>
      <c r="V53" s="29"/>
    </row>
    <row r="54" spans="2:22" ht="14.4" x14ac:dyDescent="0.3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29"/>
      <c r="M54" s="29"/>
      <c r="N54" s="29"/>
      <c r="O54" s="32"/>
      <c r="P54" s="29"/>
      <c r="Q54" s="29"/>
      <c r="R54" s="29"/>
      <c r="S54" s="29"/>
      <c r="T54" s="29"/>
      <c r="U54" s="29"/>
      <c r="V54" s="29"/>
    </row>
    <row r="55" spans="2:22" ht="14.4" x14ac:dyDescent="0.3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29"/>
      <c r="M55" s="29"/>
      <c r="N55" s="29"/>
      <c r="O55" s="32"/>
      <c r="P55" s="29"/>
      <c r="Q55" s="29"/>
      <c r="R55" s="29"/>
      <c r="S55" s="29"/>
      <c r="T55" s="29"/>
      <c r="U55" s="29"/>
      <c r="V55" s="29"/>
    </row>
    <row r="56" spans="2:22" ht="14.4" x14ac:dyDescent="0.3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29"/>
      <c r="M56" s="29"/>
      <c r="N56" s="29"/>
      <c r="O56" s="32"/>
      <c r="P56" s="29"/>
      <c r="Q56" s="29"/>
      <c r="R56" s="29"/>
      <c r="S56" s="29"/>
      <c r="T56" s="29"/>
      <c r="U56" s="29"/>
      <c r="V56" s="29"/>
    </row>
    <row r="57" spans="2:22" ht="14.4" x14ac:dyDescent="0.3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32"/>
      <c r="P57" s="29"/>
      <c r="Q57" s="29"/>
      <c r="R57" s="29"/>
      <c r="S57" s="29"/>
      <c r="T57" s="29"/>
      <c r="U57" s="29"/>
      <c r="V57" s="29"/>
    </row>
    <row r="58" spans="2:22" ht="14.4" x14ac:dyDescent="0.3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29"/>
      <c r="M58" s="29"/>
      <c r="N58" s="29"/>
      <c r="O58" s="32"/>
      <c r="P58" s="29"/>
      <c r="Q58" s="29"/>
      <c r="R58" s="29"/>
      <c r="S58" s="29"/>
      <c r="T58" s="29"/>
      <c r="U58" s="29"/>
      <c r="V58" s="29"/>
    </row>
    <row r="59" spans="2:22" ht="14.4" x14ac:dyDescent="0.3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29"/>
      <c r="M59" s="29"/>
      <c r="N59" s="29"/>
      <c r="O59" s="32"/>
      <c r="P59" s="29"/>
      <c r="Q59" s="29"/>
      <c r="R59" s="29"/>
      <c r="S59" s="29"/>
      <c r="T59" s="29"/>
      <c r="U59" s="29"/>
      <c r="V59" s="29"/>
    </row>
    <row r="60" spans="2:22" ht="14.4" x14ac:dyDescent="0.3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29"/>
      <c r="M60" s="29"/>
      <c r="N60" s="29"/>
      <c r="O60" s="32"/>
      <c r="P60" s="29"/>
      <c r="Q60" s="29"/>
      <c r="R60" s="29"/>
      <c r="S60" s="29"/>
      <c r="T60" s="29"/>
      <c r="U60" s="29"/>
      <c r="V60" s="29"/>
    </row>
    <row r="61" spans="2:22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O61" s="19"/>
    </row>
    <row r="62" spans="2:22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O62" s="19"/>
    </row>
    <row r="63" spans="2:22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O63" s="19"/>
    </row>
    <row r="64" spans="2:22" x14ac:dyDescent="0.3">
      <c r="B64" s="19"/>
      <c r="C64" s="19"/>
      <c r="D64" s="19"/>
      <c r="E64" s="19"/>
      <c r="F64" s="19"/>
      <c r="G64" s="19"/>
      <c r="H64" s="19"/>
      <c r="N64" s="1" t="s">
        <v>40</v>
      </c>
      <c r="O64" s="19" t="e">
        <f>(O38-O39)*O32</f>
        <v>#REF!</v>
      </c>
      <c r="R64" s="19" t="e">
        <f>(R38-R39)*R32</f>
        <v>#REF!</v>
      </c>
    </row>
    <row r="65" spans="2:20" x14ac:dyDescent="0.3">
      <c r="B65" s="19"/>
      <c r="C65" s="19"/>
      <c r="D65" s="19"/>
      <c r="E65" s="19"/>
      <c r="F65" s="19"/>
      <c r="G65" s="19"/>
      <c r="H65" s="19"/>
    </row>
    <row r="67" spans="2:20" x14ac:dyDescent="0.3">
      <c r="B67" s="1" t="s">
        <v>37</v>
      </c>
    </row>
    <row r="68" spans="2:20" x14ac:dyDescent="0.3">
      <c r="B68" s="1" t="s">
        <v>38</v>
      </c>
    </row>
    <row r="69" spans="2:20" ht="46.8" x14ac:dyDescent="0.3">
      <c r="B69" s="20" t="s">
        <v>47</v>
      </c>
      <c r="C69" s="74"/>
      <c r="D69" s="74"/>
      <c r="E69" s="74"/>
      <c r="F69" s="74"/>
      <c r="G69" s="74"/>
      <c r="H69" s="74"/>
      <c r="I69" s="21" t="s">
        <v>48</v>
      </c>
      <c r="J69" s="21" t="s">
        <v>49</v>
      </c>
      <c r="K69" s="21" t="s">
        <v>50</v>
      </c>
      <c r="L69" s="22" t="s">
        <v>51</v>
      </c>
    </row>
    <row r="70" spans="2:20" ht="23.4" x14ac:dyDescent="0.3">
      <c r="B70" s="23" t="s">
        <v>52</v>
      </c>
      <c r="C70" s="21"/>
      <c r="D70" s="21"/>
      <c r="E70" s="21"/>
      <c r="F70" s="21"/>
      <c r="G70" s="21"/>
      <c r="H70" s="21"/>
      <c r="I70" s="24" t="e">
        <f>B27/1000</f>
        <v>#REF!</v>
      </c>
      <c r="J70" s="24" t="e">
        <f>K27/1000</f>
        <v>#REF!</v>
      </c>
      <c r="K70" s="25" t="e">
        <f>I70-J70</f>
        <v>#REF!</v>
      </c>
      <c r="L70" s="24" t="e">
        <f>M27/1000</f>
        <v>#REF!</v>
      </c>
    </row>
    <row r="73" spans="2:20" x14ac:dyDescent="0.3">
      <c r="B73" s="1" t="e">
        <f>B32/B34*1000</f>
        <v>#REF!</v>
      </c>
      <c r="I73" s="1" t="e">
        <f>I32/I34*1000</f>
        <v>#REF!</v>
      </c>
      <c r="M73" s="1" t="e">
        <f>M32/M34*1000</f>
        <v>#REF!</v>
      </c>
      <c r="O73" s="1" t="e">
        <f>O32/O34*1000</f>
        <v>#REF!</v>
      </c>
      <c r="P73" s="1" t="e">
        <f>P32/P34*1000</f>
        <v>#REF!</v>
      </c>
      <c r="T73" s="1" t="e">
        <f>T32/T34*1000</f>
        <v>#REF!</v>
      </c>
    </row>
    <row r="74" spans="2:20" x14ac:dyDescent="0.3">
      <c r="I74" s="3" t="e">
        <f>B73/I73</f>
        <v>#REF!</v>
      </c>
      <c r="J74" s="3"/>
      <c r="K74" s="3"/>
      <c r="L74" s="3"/>
      <c r="M74" s="3" t="e">
        <f>B73/M73</f>
        <v>#REF!</v>
      </c>
      <c r="P74" s="3" t="e">
        <f>O73/P73</f>
        <v>#REF!</v>
      </c>
      <c r="Q74" s="3"/>
      <c r="R74" s="3"/>
      <c r="S74" s="3"/>
      <c r="T74" s="3" t="e">
        <f>O73/T73</f>
        <v>#REF!</v>
      </c>
    </row>
  </sheetData>
  <mergeCells count="4">
    <mergeCell ref="B3:M3"/>
    <mergeCell ref="N3:N4"/>
    <mergeCell ref="O3:U3"/>
    <mergeCell ref="N5:N6"/>
  </mergeCells>
  <conditionalFormatting sqref="I70:L70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9"/>
  <sheetViews>
    <sheetView workbookViewId="0">
      <selection activeCell="B14" sqref="B14"/>
    </sheetView>
  </sheetViews>
  <sheetFormatPr defaultRowHeight="14.4" x14ac:dyDescent="0.3"/>
  <cols>
    <col min="1" max="1" width="12.88671875" bestFit="1" customWidth="1"/>
    <col min="2" max="2" width="16.5546875" customWidth="1"/>
    <col min="3" max="3" width="12.88671875" bestFit="1" customWidth="1"/>
    <col min="4" max="4" width="12.6640625" bestFit="1" customWidth="1"/>
    <col min="5" max="5" width="12.88671875" bestFit="1" customWidth="1"/>
    <col min="6" max="6" width="12.6640625" bestFit="1" customWidth="1"/>
    <col min="7" max="7" width="12.88671875" bestFit="1" customWidth="1"/>
    <col min="8" max="8" width="12.6640625" bestFit="1" customWidth="1"/>
    <col min="9" max="9" width="12.88671875" bestFit="1" customWidth="1"/>
    <col min="10" max="10" width="12.6640625" bestFit="1" customWidth="1"/>
    <col min="11" max="11" width="12.88671875" bestFit="1" customWidth="1"/>
    <col min="12" max="12" width="12.6640625" bestFit="1" customWidth="1"/>
    <col min="13" max="13" width="12.88671875" bestFit="1" customWidth="1"/>
    <col min="14" max="14" width="12.6640625" bestFit="1" customWidth="1"/>
    <col min="15" max="16" width="9" bestFit="1" customWidth="1"/>
  </cols>
  <sheetData>
    <row r="1" spans="1:16" ht="15" thickBot="1" x14ac:dyDescent="0.35"/>
    <row r="2" spans="1:16" ht="15" thickBot="1" x14ac:dyDescent="0.35">
      <c r="A2" s="398" t="s">
        <v>252</v>
      </c>
      <c r="B2" s="399"/>
      <c r="C2" s="399"/>
      <c r="D2" s="399"/>
      <c r="E2" s="399"/>
      <c r="F2" s="400"/>
      <c r="G2" s="401" t="s">
        <v>253</v>
      </c>
      <c r="H2" s="402"/>
      <c r="I2" s="402"/>
      <c r="J2" s="402"/>
      <c r="K2" s="402"/>
      <c r="L2" s="403"/>
      <c r="M2" s="404" t="s">
        <v>254</v>
      </c>
      <c r="N2" s="405"/>
      <c r="O2" s="405"/>
      <c r="P2" s="406"/>
    </row>
    <row r="3" spans="1:16" ht="15" thickBot="1" x14ac:dyDescent="0.35">
      <c r="A3" s="398" t="s">
        <v>58</v>
      </c>
      <c r="B3" s="400"/>
      <c r="C3" s="398" t="s">
        <v>59</v>
      </c>
      <c r="D3" s="400"/>
      <c r="E3" s="398" t="s">
        <v>255</v>
      </c>
      <c r="F3" s="400"/>
      <c r="G3" s="401" t="s">
        <v>53</v>
      </c>
      <c r="H3" s="403"/>
      <c r="I3" s="401" t="s">
        <v>54</v>
      </c>
      <c r="J3" s="403"/>
      <c r="K3" s="401" t="s">
        <v>256</v>
      </c>
      <c r="L3" s="403"/>
      <c r="M3" s="404" t="s">
        <v>55</v>
      </c>
      <c r="N3" s="406"/>
      <c r="O3" s="189" t="s">
        <v>56</v>
      </c>
      <c r="P3" s="189" t="s">
        <v>57</v>
      </c>
    </row>
    <row r="4" spans="1:16" ht="15" thickBot="1" x14ac:dyDescent="0.35">
      <c r="A4" s="190" t="s">
        <v>257</v>
      </c>
      <c r="B4" s="191" t="s">
        <v>258</v>
      </c>
      <c r="C4" s="191" t="s">
        <v>257</v>
      </c>
      <c r="D4" s="191" t="s">
        <v>258</v>
      </c>
      <c r="E4" s="191" t="s">
        <v>257</v>
      </c>
      <c r="F4" s="191" t="s">
        <v>258</v>
      </c>
      <c r="G4" s="192" t="s">
        <v>257</v>
      </c>
      <c r="H4" s="192" t="s">
        <v>258</v>
      </c>
      <c r="I4" s="192" t="s">
        <v>257</v>
      </c>
      <c r="J4" s="192" t="s">
        <v>258</v>
      </c>
      <c r="K4" s="192" t="s">
        <v>257</v>
      </c>
      <c r="L4" s="192" t="s">
        <v>258</v>
      </c>
      <c r="M4" s="189" t="s">
        <v>257</v>
      </c>
      <c r="N4" s="189" t="s">
        <v>258</v>
      </c>
      <c r="O4" s="193"/>
      <c r="P4" s="193"/>
    </row>
    <row r="5" spans="1:16" ht="15" thickBot="1" x14ac:dyDescent="0.35">
      <c r="A5" s="197">
        <v>4249691.1723333336</v>
      </c>
      <c r="B5" s="198">
        <v>2864595.8600000003</v>
      </c>
      <c r="C5" s="198">
        <v>4249691.1723333336</v>
      </c>
      <c r="D5" s="198">
        <v>4132837.92</v>
      </c>
      <c r="E5" s="198">
        <v>4249691.1723333336</v>
      </c>
      <c r="F5" s="198">
        <v>4755755.34</v>
      </c>
      <c r="G5" s="199">
        <v>4249691.1723333336</v>
      </c>
      <c r="H5" s="199">
        <v>3890268.12</v>
      </c>
      <c r="I5" s="199">
        <v>4249691.1723333336</v>
      </c>
      <c r="J5" s="199">
        <v>4272682.49</v>
      </c>
      <c r="K5" s="199">
        <v>4249691.1723333336</v>
      </c>
      <c r="L5" s="199">
        <v>3892757.9400000004</v>
      </c>
      <c r="M5" s="200">
        <v>4249691.1723333336</v>
      </c>
      <c r="N5" s="200">
        <v>4599809.5999999987</v>
      </c>
      <c r="O5" s="200">
        <v>0</v>
      </c>
      <c r="P5" s="200">
        <v>0</v>
      </c>
    </row>
    <row r="6" spans="1:16" ht="15" thickBot="1" x14ac:dyDescent="0.35">
      <c r="A6" s="194"/>
      <c r="B6" s="195"/>
      <c r="C6" s="195"/>
      <c r="D6" s="195"/>
      <c r="E6" s="195"/>
      <c r="F6" s="195"/>
      <c r="G6" s="196"/>
      <c r="H6" s="196"/>
      <c r="I6" s="196"/>
      <c r="J6" s="196"/>
      <c r="K6" s="196"/>
      <c r="L6" s="196"/>
      <c r="M6" s="193"/>
      <c r="N6" s="193"/>
      <c r="O6" s="193"/>
      <c r="P6" s="193"/>
    </row>
    <row r="7" spans="1:16" ht="15" thickBot="1" x14ac:dyDescent="0.35">
      <c r="A7" s="194"/>
      <c r="B7" s="195"/>
      <c r="C7" s="195"/>
      <c r="D7" s="195"/>
      <c r="E7" s="195"/>
      <c r="F7" s="195"/>
      <c r="G7" s="196"/>
      <c r="H7" s="196"/>
      <c r="I7" s="196"/>
      <c r="J7" s="196"/>
      <c r="K7" s="196"/>
      <c r="L7" s="196"/>
      <c r="M7" s="193"/>
      <c r="N7" s="193"/>
      <c r="O7" s="193"/>
      <c r="P7" s="193"/>
    </row>
    <row r="8" spans="1:16" ht="15" thickBot="1" x14ac:dyDescent="0.35">
      <c r="A8" s="194"/>
      <c r="B8" s="195"/>
      <c r="C8" s="195"/>
      <c r="D8" s="195"/>
      <c r="E8" s="195"/>
      <c r="F8" s="195"/>
      <c r="G8" s="196"/>
      <c r="H8" s="196"/>
      <c r="I8" s="196"/>
      <c r="J8" s="196"/>
      <c r="K8" s="196"/>
      <c r="L8" s="196"/>
      <c r="M8" s="193"/>
      <c r="N8" s="193"/>
      <c r="O8" s="193"/>
      <c r="P8" s="193"/>
    </row>
    <row r="9" spans="1:16" ht="15" thickBot="1" x14ac:dyDescent="0.35">
      <c r="A9" s="194"/>
      <c r="B9" s="195"/>
      <c r="C9" s="195"/>
      <c r="D9" s="195"/>
      <c r="E9" s="195"/>
      <c r="F9" s="195"/>
      <c r="G9" s="196"/>
      <c r="H9" s="196"/>
      <c r="I9" s="196"/>
      <c r="J9" s="196"/>
      <c r="K9" s="196"/>
      <c r="L9" s="196"/>
      <c r="M9" s="193"/>
      <c r="N9" s="193"/>
      <c r="O9" s="193"/>
      <c r="P9" s="193"/>
    </row>
  </sheetData>
  <mergeCells count="10">
    <mergeCell ref="A2:F2"/>
    <mergeCell ref="G2:L2"/>
    <mergeCell ref="M2:P2"/>
    <mergeCell ref="A3:B3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X185"/>
  <sheetViews>
    <sheetView topLeftCell="K4" zoomScale="84" zoomScaleNormal="84" workbookViewId="0">
      <selection activeCell="W129" sqref="W129"/>
    </sheetView>
  </sheetViews>
  <sheetFormatPr defaultColWidth="8.88671875" defaultRowHeight="14.4" x14ac:dyDescent="0.3"/>
  <cols>
    <col min="1" max="1" width="11.88671875" style="107" hidden="1" customWidth="1"/>
    <col min="2" max="2" width="11.88671875" style="108" hidden="1" customWidth="1"/>
    <col min="3" max="3" width="28.5546875" style="78" hidden="1" customWidth="1"/>
    <col min="4" max="4" width="16.109375" style="78" hidden="1" customWidth="1"/>
    <col min="5" max="5" width="17.88671875" style="78" hidden="1" customWidth="1"/>
    <col min="6" max="6" width="18.5546875" style="78" hidden="1" customWidth="1"/>
    <col min="7" max="7" width="15.6640625" style="77" hidden="1" customWidth="1"/>
    <col min="8" max="8" width="12.33203125" style="78" hidden="1" customWidth="1"/>
    <col min="9" max="10" width="12.33203125" style="79" hidden="1" customWidth="1"/>
    <col min="11" max="11" width="59.44140625" style="121" customWidth="1"/>
    <col min="12" max="12" width="11" style="107" hidden="1" customWidth="1"/>
    <col min="13" max="13" width="14.6640625" style="107" customWidth="1"/>
    <col min="14" max="14" width="13.5546875" style="108" bestFit="1" customWidth="1"/>
    <col min="15" max="15" width="28.5546875" style="78" hidden="1" customWidth="1"/>
    <col min="16" max="16" width="16.109375" style="78" hidden="1" customWidth="1"/>
    <col min="17" max="17" width="17.88671875" style="78" hidden="1" customWidth="1"/>
    <col min="18" max="18" width="18.5546875" style="78" hidden="1" customWidth="1"/>
    <col min="19" max="19" width="15.6640625" style="77" hidden="1" customWidth="1"/>
    <col min="20" max="20" width="13.5546875" style="78" bestFit="1" customWidth="1"/>
    <col min="21" max="22" width="11.88671875" style="79" customWidth="1"/>
    <col min="23" max="23" width="8.88671875" style="167"/>
    <col min="24" max="24" width="17.6640625" style="167" bestFit="1" customWidth="1"/>
    <col min="25" max="16384" width="8.88671875" style="167"/>
  </cols>
  <sheetData>
    <row r="1" spans="1:22" ht="17.399999999999999" x14ac:dyDescent="0.3">
      <c r="A1" s="167"/>
      <c r="B1" s="166">
        <f>1/12</f>
        <v>8.3333333333333329E-2</v>
      </c>
      <c r="C1" s="167"/>
      <c r="D1" s="167"/>
      <c r="E1" s="167"/>
      <c r="F1" s="167"/>
      <c r="G1" s="167"/>
      <c r="H1" s="167"/>
      <c r="I1" s="167"/>
      <c r="J1" s="167"/>
      <c r="K1" s="407" t="s">
        <v>67</v>
      </c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</row>
    <row r="2" spans="1:22" ht="24.6" hidden="1" customHeight="1" x14ac:dyDescent="0.4">
      <c r="A2" s="75"/>
      <c r="B2" s="76"/>
      <c r="C2" s="75"/>
      <c r="D2" s="75"/>
      <c r="E2" s="75"/>
      <c r="F2" s="75"/>
      <c r="K2" s="120" t="s">
        <v>68</v>
      </c>
      <c r="L2" s="75"/>
      <c r="M2" s="75"/>
      <c r="N2" s="76">
        <v>5.7</v>
      </c>
      <c r="O2" s="75"/>
      <c r="P2" s="75"/>
      <c r="Q2" s="75"/>
      <c r="R2" s="75"/>
    </row>
    <row r="3" spans="1:22" ht="17.399999999999999" customHeight="1" x14ac:dyDescent="0.4">
      <c r="A3" s="408" t="s">
        <v>225</v>
      </c>
      <c r="B3" s="408"/>
      <c r="C3" s="408"/>
      <c r="D3" s="408"/>
      <c r="E3" s="408"/>
      <c r="F3" s="408"/>
      <c r="G3" s="408"/>
      <c r="H3" s="408"/>
      <c r="I3" s="408"/>
      <c r="J3" s="408"/>
      <c r="K3" s="14" t="s">
        <v>69</v>
      </c>
      <c r="L3" s="75"/>
      <c r="M3" s="408" t="s">
        <v>226</v>
      </c>
      <c r="N3" s="408"/>
      <c r="O3" s="408"/>
      <c r="P3" s="408"/>
      <c r="Q3" s="408"/>
      <c r="R3" s="408"/>
      <c r="S3" s="408"/>
      <c r="T3" s="408"/>
      <c r="U3" s="408"/>
      <c r="V3" s="408"/>
    </row>
    <row r="4" spans="1:22" ht="18.600000000000001" customHeight="1" x14ac:dyDescent="0.4">
      <c r="A4" s="125">
        <v>43647</v>
      </c>
      <c r="B4" s="125">
        <f>A4</f>
        <v>43647</v>
      </c>
      <c r="C4" s="125">
        <f t="shared" ref="C4:J4" si="0">B4</f>
        <v>43647</v>
      </c>
      <c r="D4" s="125">
        <f t="shared" si="0"/>
        <v>43647</v>
      </c>
      <c r="E4" s="125">
        <f t="shared" si="0"/>
        <v>43647</v>
      </c>
      <c r="F4" s="125">
        <f t="shared" si="0"/>
        <v>43647</v>
      </c>
      <c r="G4" s="125">
        <f t="shared" si="0"/>
        <v>43647</v>
      </c>
      <c r="H4" s="125">
        <f t="shared" si="0"/>
        <v>43647</v>
      </c>
      <c r="I4" s="125">
        <f t="shared" si="0"/>
        <v>43647</v>
      </c>
      <c r="J4" s="125">
        <f t="shared" si="0"/>
        <v>43647</v>
      </c>
      <c r="K4" s="395" t="s">
        <v>230</v>
      </c>
      <c r="L4" s="75"/>
      <c r="M4" s="125">
        <f>A4</f>
        <v>43647</v>
      </c>
      <c r="N4" s="125">
        <f t="shared" ref="N4:V4" si="1">B4</f>
        <v>43647</v>
      </c>
      <c r="O4" s="125">
        <f t="shared" si="1"/>
        <v>43647</v>
      </c>
      <c r="P4" s="125">
        <f t="shared" si="1"/>
        <v>43647</v>
      </c>
      <c r="Q4" s="125">
        <f t="shared" si="1"/>
        <v>43647</v>
      </c>
      <c r="R4" s="125">
        <f t="shared" si="1"/>
        <v>43647</v>
      </c>
      <c r="S4" s="125">
        <f t="shared" si="1"/>
        <v>43647</v>
      </c>
      <c r="T4" s="125">
        <f t="shared" si="1"/>
        <v>43647</v>
      </c>
      <c r="U4" s="165">
        <f>T4</f>
        <v>43647</v>
      </c>
      <c r="V4" s="125">
        <f t="shared" si="1"/>
        <v>43647</v>
      </c>
    </row>
    <row r="5" spans="1:22" ht="32.4" customHeight="1" x14ac:dyDescent="0.3">
      <c r="A5" s="10" t="s">
        <v>2</v>
      </c>
      <c r="B5" s="10" t="s">
        <v>241</v>
      </c>
      <c r="C5" s="10" t="s">
        <v>70</v>
      </c>
      <c r="D5" s="10" t="s">
        <v>71</v>
      </c>
      <c r="E5" s="10" t="s">
        <v>72</v>
      </c>
      <c r="F5" s="10" t="s">
        <v>73</v>
      </c>
      <c r="G5" s="10" t="s">
        <v>74</v>
      </c>
      <c r="H5" s="10" t="s">
        <v>242</v>
      </c>
      <c r="I5" s="10" t="s">
        <v>75</v>
      </c>
      <c r="J5" s="10" t="s">
        <v>76</v>
      </c>
      <c r="K5" s="396"/>
      <c r="L5" s="109"/>
      <c r="M5" s="10" t="s">
        <v>2</v>
      </c>
      <c r="N5" s="10" t="s">
        <v>241</v>
      </c>
      <c r="O5" s="10" t="s">
        <v>70</v>
      </c>
      <c r="P5" s="10" t="s">
        <v>71</v>
      </c>
      <c r="Q5" s="10" t="s">
        <v>72</v>
      </c>
      <c r="R5" s="10" t="s">
        <v>73</v>
      </c>
      <c r="S5" s="10" t="s">
        <v>74</v>
      </c>
      <c r="T5" s="10" t="s">
        <v>242</v>
      </c>
      <c r="U5" s="10" t="s">
        <v>75</v>
      </c>
      <c r="V5" s="10" t="s">
        <v>76</v>
      </c>
    </row>
    <row r="6" spans="1:22" ht="3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24"/>
      <c r="L6" s="109"/>
      <c r="M6" s="1"/>
      <c r="N6" s="1"/>
      <c r="O6" s="1"/>
      <c r="P6" s="1"/>
      <c r="Q6" s="1"/>
      <c r="R6" s="1"/>
      <c r="S6" s="1"/>
      <c r="T6" s="1"/>
      <c r="U6" s="3"/>
      <c r="V6" s="3"/>
    </row>
    <row r="7" spans="1:22" hidden="1" x14ac:dyDescent="0.3">
      <c r="A7" s="8">
        <f>'WCLA Consolidated MTEF Budget'!A7</f>
        <v>0</v>
      </c>
      <c r="B7" s="8">
        <f>N7/12</f>
        <v>29108.516872499997</v>
      </c>
      <c r="C7" s="8"/>
      <c r="D7" s="8"/>
      <c r="E7" s="8"/>
      <c r="F7" s="8"/>
      <c r="G7" s="8"/>
      <c r="H7" s="8">
        <f>B7-A7</f>
        <v>29108.516872499997</v>
      </c>
      <c r="I7" s="158">
        <f t="shared" ref="I7:I15" si="2">IFERROR(H7/B7,)</f>
        <v>1</v>
      </c>
      <c r="J7" s="158">
        <f>IFERROR(A7/B7,)</f>
        <v>0</v>
      </c>
      <c r="K7" s="155" t="s">
        <v>77</v>
      </c>
      <c r="L7" s="110">
        <v>1</v>
      </c>
      <c r="M7" s="8">
        <f>'WCLA Consolidated MTEF Budget'!N7</f>
        <v>300547.57966666669</v>
      </c>
      <c r="N7" s="8">
        <v>349302.20246999996</v>
      </c>
      <c r="O7" s="8"/>
      <c r="P7" s="8"/>
      <c r="Q7" s="8"/>
      <c r="R7" s="8"/>
      <c r="S7" s="8"/>
      <c r="T7" s="8">
        <f>N7-M7</f>
        <v>48754.622803333274</v>
      </c>
      <c r="U7" s="158">
        <f t="shared" ref="U7:U15" si="3">IFERROR(T7/N7,)</f>
        <v>0.13957719836456112</v>
      </c>
      <c r="V7" s="158">
        <f>IFERROR(M7/N7,)</f>
        <v>0.86042280163543894</v>
      </c>
    </row>
    <row r="8" spans="1:22" hidden="1" x14ac:dyDescent="0.3">
      <c r="A8" s="7">
        <f>'WCLA Consolidated MTEF Budget'!A8</f>
        <v>2610331.1068600002</v>
      </c>
      <c r="B8" s="7">
        <f t="shared" ref="B8:B16" si="4">N8/12</f>
        <v>2401035.0475050001</v>
      </c>
      <c r="C8" s="7"/>
      <c r="D8" s="7"/>
      <c r="E8" s="7"/>
      <c r="F8" s="7"/>
      <c r="G8" s="7"/>
      <c r="H8" s="7">
        <f t="shared" ref="H8:H16" si="5">B8-A8</f>
        <v>-209296.05935500003</v>
      </c>
      <c r="I8" s="159">
        <f t="shared" si="2"/>
        <v>-8.7169097999001272E-2</v>
      </c>
      <c r="J8" s="159">
        <f t="shared" ref="J8:J16" si="6">IFERROR(A8/B8,)</f>
        <v>1.0871690979990012</v>
      </c>
      <c r="K8" s="13" t="s">
        <v>78</v>
      </c>
      <c r="L8" s="409" t="s">
        <v>79</v>
      </c>
      <c r="M8" s="7">
        <f>'WCLA Consolidated MTEF Budget'!N8</f>
        <v>27594855.382997241</v>
      </c>
      <c r="N8" s="7">
        <v>28812420.57006</v>
      </c>
      <c r="O8" s="7"/>
      <c r="P8" s="7"/>
      <c r="Q8" s="7"/>
      <c r="R8" s="7"/>
      <c r="S8" s="7"/>
      <c r="T8" s="7">
        <f t="shared" ref="T8:T16" si="7">N8-M8</f>
        <v>1217565.187062759</v>
      </c>
      <c r="U8" s="159">
        <f t="shared" si="3"/>
        <v>4.2258344247826707E-2</v>
      </c>
      <c r="V8" s="159">
        <f t="shared" ref="V8:V16" si="8">IFERROR(M8/N8,)</f>
        <v>0.95774165575217329</v>
      </c>
    </row>
    <row r="9" spans="1:22" hidden="1" x14ac:dyDescent="0.3">
      <c r="A9" s="7">
        <f>'WCLA Consolidated MTEF Budget'!A9</f>
        <v>0</v>
      </c>
      <c r="B9" s="7">
        <f t="shared" si="4"/>
        <v>3481.9900463319996</v>
      </c>
      <c r="C9" s="7"/>
      <c r="D9" s="7"/>
      <c r="E9" s="7"/>
      <c r="F9" s="7"/>
      <c r="G9" s="7"/>
      <c r="H9" s="7">
        <f t="shared" si="5"/>
        <v>3481.9900463319996</v>
      </c>
      <c r="I9" s="159">
        <f t="shared" si="2"/>
        <v>1</v>
      </c>
      <c r="J9" s="159">
        <f t="shared" si="6"/>
        <v>0</v>
      </c>
      <c r="K9" s="13" t="s">
        <v>80</v>
      </c>
      <c r="L9" s="409"/>
      <c r="M9" s="7">
        <f>'WCLA Consolidated MTEF Budget'!N9</f>
        <v>0</v>
      </c>
      <c r="N9" s="7">
        <v>41783.880555983997</v>
      </c>
      <c r="O9" s="7"/>
      <c r="P9" s="7"/>
      <c r="Q9" s="7"/>
      <c r="R9" s="7"/>
      <c r="S9" s="7"/>
      <c r="T9" s="7">
        <f t="shared" si="7"/>
        <v>41783.880555983997</v>
      </c>
      <c r="U9" s="159">
        <f t="shared" si="3"/>
        <v>1</v>
      </c>
      <c r="V9" s="159">
        <f t="shared" si="8"/>
        <v>0</v>
      </c>
    </row>
    <row r="10" spans="1:22" hidden="1" x14ac:dyDescent="0.3">
      <c r="A10" s="7">
        <f>'WCLA Consolidated MTEF Budget'!A10</f>
        <v>0</v>
      </c>
      <c r="B10" s="7">
        <f t="shared" si="4"/>
        <v>4440.9932774999997</v>
      </c>
      <c r="C10" s="7"/>
      <c r="D10" s="7"/>
      <c r="E10" s="7"/>
      <c r="F10" s="7"/>
      <c r="G10" s="7"/>
      <c r="H10" s="7">
        <f t="shared" si="5"/>
        <v>4440.9932774999997</v>
      </c>
      <c r="I10" s="159">
        <f t="shared" si="2"/>
        <v>1</v>
      </c>
      <c r="J10" s="159">
        <f t="shared" si="6"/>
        <v>0</v>
      </c>
      <c r="K10" s="13" t="s">
        <v>81</v>
      </c>
      <c r="L10" s="110">
        <v>1</v>
      </c>
      <c r="M10" s="7">
        <f>'WCLA Consolidated MTEF Budget'!N10</f>
        <v>47162.549548199997</v>
      </c>
      <c r="N10" s="7">
        <v>53291.919329999997</v>
      </c>
      <c r="O10" s="7"/>
      <c r="P10" s="7"/>
      <c r="Q10" s="7"/>
      <c r="R10" s="7"/>
      <c r="S10" s="7"/>
      <c r="T10" s="7">
        <f t="shared" si="7"/>
        <v>6129.3697818000001</v>
      </c>
      <c r="U10" s="159">
        <f t="shared" si="3"/>
        <v>0.11501499399646413</v>
      </c>
      <c r="V10" s="159">
        <f t="shared" si="8"/>
        <v>0.88498500600353591</v>
      </c>
    </row>
    <row r="11" spans="1:22" hidden="1" x14ac:dyDescent="0.3">
      <c r="A11" s="7">
        <f>'WCLA Consolidated MTEF Budget'!A11</f>
        <v>0</v>
      </c>
      <c r="B11" s="7">
        <f t="shared" si="4"/>
        <v>59.213243700000014</v>
      </c>
      <c r="C11" s="7"/>
      <c r="D11" s="7"/>
      <c r="E11" s="7"/>
      <c r="F11" s="7"/>
      <c r="G11" s="7"/>
      <c r="H11" s="7">
        <f t="shared" si="5"/>
        <v>59.213243700000014</v>
      </c>
      <c r="I11" s="159">
        <f t="shared" si="2"/>
        <v>1</v>
      </c>
      <c r="J11" s="159">
        <f t="shared" si="6"/>
        <v>0</v>
      </c>
      <c r="K11" s="13" t="s">
        <v>82</v>
      </c>
      <c r="L11" s="110">
        <v>1</v>
      </c>
      <c r="M11" s="7">
        <f>'WCLA Consolidated MTEF Budget'!N11</f>
        <v>0</v>
      </c>
      <c r="N11" s="7">
        <v>710.55892440000014</v>
      </c>
      <c r="O11" s="7"/>
      <c r="P11" s="7"/>
      <c r="Q11" s="7"/>
      <c r="R11" s="7"/>
      <c r="S11" s="7"/>
      <c r="T11" s="7">
        <f t="shared" si="7"/>
        <v>710.55892440000014</v>
      </c>
      <c r="U11" s="159">
        <f t="shared" si="3"/>
        <v>1</v>
      </c>
      <c r="V11" s="159">
        <f t="shared" si="8"/>
        <v>0</v>
      </c>
    </row>
    <row r="12" spans="1:22" hidden="1" x14ac:dyDescent="0.3">
      <c r="A12" s="7">
        <f>'WCLA Consolidated MTEF Budget'!A12</f>
        <v>24881.540460159998</v>
      </c>
      <c r="B12" s="7">
        <f t="shared" si="4"/>
        <v>22372.407076499996</v>
      </c>
      <c r="C12" s="7"/>
      <c r="D12" s="7"/>
      <c r="E12" s="7"/>
      <c r="F12" s="7"/>
      <c r="G12" s="7"/>
      <c r="H12" s="7">
        <f t="shared" si="5"/>
        <v>-2509.1333836600024</v>
      </c>
      <c r="I12" s="159">
        <f t="shared" si="2"/>
        <v>-0.11215303633088275</v>
      </c>
      <c r="J12" s="159">
        <f t="shared" si="6"/>
        <v>1.1121530363308827</v>
      </c>
      <c r="K12" s="13" t="s">
        <v>83</v>
      </c>
      <c r="L12" s="110" t="s">
        <v>79</v>
      </c>
      <c r="M12" s="7">
        <f>'WCLA Consolidated MTEF Budget'!N12</f>
        <v>257044.96947712003</v>
      </c>
      <c r="N12" s="7">
        <v>268468.88491799997</v>
      </c>
      <c r="O12" s="7"/>
      <c r="P12" s="7"/>
      <c r="Q12" s="7"/>
      <c r="R12" s="7"/>
      <c r="S12" s="7"/>
      <c r="T12" s="7">
        <f t="shared" si="7"/>
        <v>11423.915440879937</v>
      </c>
      <c r="U12" s="159">
        <f t="shared" si="3"/>
        <v>4.2552102245923998E-2</v>
      </c>
      <c r="V12" s="159">
        <f t="shared" si="8"/>
        <v>0.95744789775407602</v>
      </c>
    </row>
    <row r="13" spans="1:22" hidden="1" x14ac:dyDescent="0.3">
      <c r="A13" s="7">
        <f>'WCLA Consolidated MTEF Budget'!A13</f>
        <v>5735.0437600000005</v>
      </c>
      <c r="B13" s="7">
        <f t="shared" si="4"/>
        <v>4166.666666666667</v>
      </c>
      <c r="C13" s="7"/>
      <c r="D13" s="7"/>
      <c r="E13" s="7"/>
      <c r="F13" s="7"/>
      <c r="G13" s="7"/>
      <c r="H13" s="7">
        <f t="shared" si="5"/>
        <v>-1568.3770933333335</v>
      </c>
      <c r="I13" s="159">
        <f t="shared" si="2"/>
        <v>-0.37641050240000001</v>
      </c>
      <c r="J13" s="159">
        <f t="shared" si="6"/>
        <v>1.3764105024</v>
      </c>
      <c r="K13" s="13" t="s">
        <v>84</v>
      </c>
      <c r="L13" s="110" t="s">
        <v>85</v>
      </c>
      <c r="M13" s="7">
        <f>'WCLA Consolidated MTEF Budget'!N13</f>
        <v>130032.25584</v>
      </c>
      <c r="N13" s="7">
        <v>50000</v>
      </c>
      <c r="O13" s="7"/>
      <c r="P13" s="7"/>
      <c r="Q13" s="7"/>
      <c r="R13" s="7"/>
      <c r="S13" s="7"/>
      <c r="T13" s="7">
        <f t="shared" si="7"/>
        <v>-80032.255839999998</v>
      </c>
      <c r="U13" s="159">
        <f t="shared" si="3"/>
        <v>-1.6006451168</v>
      </c>
      <c r="V13" s="159">
        <f t="shared" si="8"/>
        <v>2.6006451168</v>
      </c>
    </row>
    <row r="14" spans="1:22" hidden="1" x14ac:dyDescent="0.3">
      <c r="A14" s="7">
        <f>'WCLA Consolidated MTEF Budget'!A14</f>
        <v>0</v>
      </c>
      <c r="B14" s="168">
        <f>N14/12</f>
        <v>167028.52504382608</v>
      </c>
      <c r="C14" s="7"/>
      <c r="D14" s="7"/>
      <c r="E14" s="7"/>
      <c r="F14" s="7"/>
      <c r="G14" s="7"/>
      <c r="H14" s="7">
        <f t="shared" si="5"/>
        <v>167028.52504382608</v>
      </c>
      <c r="I14" s="159">
        <f t="shared" si="2"/>
        <v>1</v>
      </c>
      <c r="J14" s="159">
        <f t="shared" si="6"/>
        <v>0</v>
      </c>
      <c r="K14" s="13" t="s">
        <v>86</v>
      </c>
      <c r="L14" s="110" t="s">
        <v>79</v>
      </c>
      <c r="M14" s="7" t="e">
        <f>'WCLA Consolidated MTEF Budget'!N14</f>
        <v>#REF!</v>
      </c>
      <c r="N14" s="7">
        <v>2004342.300525913</v>
      </c>
      <c r="O14" s="7"/>
      <c r="P14" s="7"/>
      <c r="Q14" s="7"/>
      <c r="R14" s="7"/>
      <c r="S14" s="7"/>
      <c r="T14" s="7" t="e">
        <f t="shared" si="7"/>
        <v>#REF!</v>
      </c>
      <c r="U14" s="159">
        <f t="shared" si="3"/>
        <v>0</v>
      </c>
      <c r="V14" s="159">
        <f t="shared" si="8"/>
        <v>0</v>
      </c>
    </row>
    <row r="15" spans="1:22" hidden="1" x14ac:dyDescent="0.3">
      <c r="A15" s="7">
        <f>'WCLA Consolidated MTEF Budget'!A15</f>
        <v>0</v>
      </c>
      <c r="B15" s="168">
        <f>N15/12</f>
        <v>11250</v>
      </c>
      <c r="C15" s="7"/>
      <c r="D15" s="7"/>
      <c r="E15" s="7"/>
      <c r="F15" s="7"/>
      <c r="G15" s="7"/>
      <c r="H15" s="7">
        <f t="shared" si="5"/>
        <v>11250</v>
      </c>
      <c r="I15" s="159">
        <f t="shared" si="2"/>
        <v>1</v>
      </c>
      <c r="J15" s="159">
        <f t="shared" si="6"/>
        <v>0</v>
      </c>
      <c r="K15" s="13" t="s">
        <v>87</v>
      </c>
      <c r="L15" s="110"/>
      <c r="M15" s="7">
        <f>'WCLA Consolidated MTEF Budget'!N15</f>
        <v>438095.66</v>
      </c>
      <c r="N15" s="7">
        <v>135000</v>
      </c>
      <c r="O15" s="7"/>
      <c r="P15" s="7"/>
      <c r="Q15" s="7"/>
      <c r="R15" s="7"/>
      <c r="S15" s="7"/>
      <c r="T15" s="7">
        <f t="shared" si="7"/>
        <v>-303095.65999999997</v>
      </c>
      <c r="U15" s="159">
        <f t="shared" si="3"/>
        <v>-2.2451530370370367</v>
      </c>
      <c r="V15" s="159">
        <f t="shared" si="8"/>
        <v>3.2451530370370367</v>
      </c>
    </row>
    <row r="16" spans="1:22" hidden="1" x14ac:dyDescent="0.3">
      <c r="A16" s="11">
        <f>'WCLA Consolidated MTEF Budget'!A16</f>
        <v>0</v>
      </c>
      <c r="B16" s="11">
        <f t="shared" si="4"/>
        <v>0</v>
      </c>
      <c r="C16" s="11"/>
      <c r="D16" s="11"/>
      <c r="E16" s="11"/>
      <c r="F16" s="11"/>
      <c r="G16" s="11"/>
      <c r="H16" s="11">
        <f t="shared" si="5"/>
        <v>0</v>
      </c>
      <c r="I16" s="160">
        <f>IFERROR(H16/B16,)</f>
        <v>0</v>
      </c>
      <c r="J16" s="160">
        <f t="shared" si="6"/>
        <v>0</v>
      </c>
      <c r="K16" s="13" t="s">
        <v>88</v>
      </c>
      <c r="L16" s="110"/>
      <c r="M16" s="11">
        <f>'WCLA Consolidated MTEF Budget'!N16</f>
        <v>0</v>
      </c>
      <c r="N16" s="11">
        <v>0</v>
      </c>
      <c r="O16" s="11"/>
      <c r="P16" s="11"/>
      <c r="Q16" s="11"/>
      <c r="R16" s="11"/>
      <c r="S16" s="11"/>
      <c r="T16" s="11">
        <f t="shared" si="7"/>
        <v>0</v>
      </c>
      <c r="U16" s="160">
        <f>IFERROR(T16/N16,)</f>
        <v>0</v>
      </c>
      <c r="V16" s="160">
        <f t="shared" si="8"/>
        <v>0</v>
      </c>
    </row>
    <row r="17" spans="1:22" ht="5.4" customHeight="1" x14ac:dyDescent="0.3">
      <c r="A17" s="83"/>
      <c r="B17" s="83"/>
      <c r="C17" s="83"/>
      <c r="D17" s="83"/>
      <c r="E17" s="83"/>
      <c r="F17" s="83"/>
      <c r="G17" s="83"/>
      <c r="H17" s="83"/>
      <c r="I17" s="84"/>
      <c r="J17" s="84"/>
      <c r="K17" s="13"/>
      <c r="L17" s="110"/>
      <c r="M17" s="85"/>
      <c r="N17" s="85"/>
      <c r="O17" s="83"/>
      <c r="P17" s="83"/>
      <c r="Q17" s="83"/>
      <c r="R17" s="83"/>
      <c r="S17" s="83"/>
      <c r="T17" s="84"/>
      <c r="U17" s="161"/>
      <c r="V17" s="161"/>
    </row>
    <row r="18" spans="1:22" x14ac:dyDescent="0.3">
      <c r="A18" s="4">
        <f>SUM(A7:A16)</f>
        <v>2640947.69108016</v>
      </c>
      <c r="B18" s="4">
        <f>SUM(B7:B16)</f>
        <v>2642943.3597320248</v>
      </c>
      <c r="C18" s="4"/>
      <c r="D18" s="4"/>
      <c r="E18" s="4"/>
      <c r="F18" s="4"/>
      <c r="G18" s="4"/>
      <c r="H18" s="4">
        <f>B18-A18</f>
        <v>1995.6686518648639</v>
      </c>
      <c r="I18" s="162">
        <f t="shared" ref="I18" si="9">IFERROR(H18/B18,)</f>
        <v>7.5509323516763155E-4</v>
      </c>
      <c r="J18" s="162">
        <f>IFERROR(A18/B18,)</f>
        <v>0.99924490676483235</v>
      </c>
      <c r="K18" s="13" t="s">
        <v>89</v>
      </c>
      <c r="L18" s="111"/>
      <c r="M18" s="4" t="e">
        <f>SUM(M7:M16)</f>
        <v>#REF!</v>
      </c>
      <c r="N18" s="4">
        <f>SUM(N7:N16)</f>
        <v>31715320.3167843</v>
      </c>
      <c r="O18" s="4"/>
      <c r="P18" s="4"/>
      <c r="Q18" s="4"/>
      <c r="R18" s="4"/>
      <c r="S18" s="4"/>
      <c r="T18" s="4" t="e">
        <f>N18-M18</f>
        <v>#REF!</v>
      </c>
      <c r="U18" s="162">
        <f t="shared" ref="U18" si="10">IFERROR(T18/N18,)</f>
        <v>0</v>
      </c>
      <c r="V18" s="162">
        <f>IFERROR(M18/N18,)</f>
        <v>0</v>
      </c>
    </row>
    <row r="19" spans="1:22" ht="5.4" hidden="1" customHeight="1" x14ac:dyDescent="0.3">
      <c r="A19" s="87"/>
      <c r="B19" s="87"/>
      <c r="C19" s="86"/>
      <c r="D19" s="86"/>
      <c r="E19" s="86"/>
      <c r="F19" s="87"/>
      <c r="G19" s="87"/>
      <c r="H19" s="87"/>
      <c r="I19" s="88"/>
      <c r="J19" s="88"/>
      <c r="K19" s="122"/>
      <c r="L19" s="112"/>
      <c r="M19" s="82"/>
      <c r="N19" s="82"/>
      <c r="O19" s="86"/>
      <c r="P19" s="86"/>
      <c r="Q19" s="86"/>
      <c r="R19" s="87"/>
      <c r="S19" s="87"/>
      <c r="T19" s="88"/>
      <c r="U19" s="119"/>
      <c r="V19" s="119"/>
    </row>
    <row r="20" spans="1:22" hidden="1" x14ac:dyDescent="0.3">
      <c r="A20" s="8">
        <f>'WCLA Consolidated MTEF Budget'!A20</f>
        <v>10825.84</v>
      </c>
      <c r="B20" s="8">
        <f t="shared" ref="B20:B26" si="11">N20/12</f>
        <v>9828.75</v>
      </c>
      <c r="C20" s="8"/>
      <c r="D20" s="8"/>
      <c r="E20" s="8"/>
      <c r="F20" s="8"/>
      <c r="G20" s="8"/>
      <c r="H20" s="8">
        <f t="shared" ref="H20:H26" si="12">B20-A20</f>
        <v>-997.09000000000015</v>
      </c>
      <c r="I20" s="158">
        <f t="shared" ref="I20:I26" si="13">IFERROR(H20/B20,)</f>
        <v>-0.10144626732799188</v>
      </c>
      <c r="J20" s="158">
        <f t="shared" ref="J20:J26" si="14">IFERROR(A20/B20,)</f>
        <v>1.1014462673279919</v>
      </c>
      <c r="K20" s="155" t="s">
        <v>90</v>
      </c>
      <c r="L20" s="110">
        <v>8</v>
      </c>
      <c r="M20" s="8">
        <f>'WCLA Consolidated MTEF Budget'!N20</f>
        <v>108258.39999999998</v>
      </c>
      <c r="N20" s="8">
        <v>117945</v>
      </c>
      <c r="O20" s="8"/>
      <c r="P20" s="8"/>
      <c r="Q20" s="8"/>
      <c r="R20" s="8"/>
      <c r="S20" s="8"/>
      <c r="T20" s="8">
        <f t="shared" ref="T20:T26" si="15">N20-M20</f>
        <v>9686.6000000000204</v>
      </c>
      <c r="U20" s="158">
        <f t="shared" ref="U20:U26" si="16">IFERROR(T20/N20,)</f>
        <v>8.2128110560006962E-2</v>
      </c>
      <c r="V20" s="158">
        <f t="shared" ref="V20:V26" si="17">IFERROR(M20/N20,)</f>
        <v>0.91787188943999309</v>
      </c>
    </row>
    <row r="21" spans="1:22" hidden="1" x14ac:dyDescent="0.3">
      <c r="A21" s="7">
        <f>'WCLA Consolidated MTEF Budget'!A21</f>
        <v>142166.44</v>
      </c>
      <c r="B21" s="7">
        <f t="shared" si="11"/>
        <v>133333.36025444666</v>
      </c>
      <c r="C21" s="7"/>
      <c r="D21" s="7"/>
      <c r="E21" s="7"/>
      <c r="F21" s="7"/>
      <c r="G21" s="7"/>
      <c r="H21" s="7">
        <f t="shared" si="12"/>
        <v>-8833.0797455533466</v>
      </c>
      <c r="I21" s="159">
        <f t="shared" si="13"/>
        <v>-6.6248084715608627E-2</v>
      </c>
      <c r="J21" s="159">
        <f t="shared" si="14"/>
        <v>1.0662480847156086</v>
      </c>
      <c r="K21" s="13" t="s">
        <v>91</v>
      </c>
      <c r="L21" s="110">
        <v>4</v>
      </c>
      <c r="M21" s="7">
        <f>'WCLA Consolidated MTEF Budget'!N21</f>
        <v>1421664.3999999997</v>
      </c>
      <c r="N21" s="7">
        <v>1600000.32305336</v>
      </c>
      <c r="O21" s="7"/>
      <c r="P21" s="7"/>
      <c r="Q21" s="7"/>
      <c r="R21" s="7"/>
      <c r="S21" s="7"/>
      <c r="T21" s="7">
        <f t="shared" si="15"/>
        <v>178335.92305336031</v>
      </c>
      <c r="U21" s="159">
        <f t="shared" si="16"/>
        <v>0.11145992940365976</v>
      </c>
      <c r="V21" s="159">
        <f t="shared" si="17"/>
        <v>0.88854007059634021</v>
      </c>
    </row>
    <row r="22" spans="1:22" hidden="1" x14ac:dyDescent="0.3">
      <c r="A22" s="7">
        <f>'WCLA Consolidated MTEF Budget'!A22</f>
        <v>13768.624</v>
      </c>
      <c r="B22" s="7">
        <f t="shared" si="11"/>
        <v>12500</v>
      </c>
      <c r="C22" s="7"/>
      <c r="D22" s="7"/>
      <c r="E22" s="7"/>
      <c r="F22" s="7"/>
      <c r="G22" s="7"/>
      <c r="H22" s="7">
        <f t="shared" si="12"/>
        <v>-1268.6239999999998</v>
      </c>
      <c r="I22" s="159">
        <f t="shared" si="13"/>
        <v>-0.10148991999999998</v>
      </c>
      <c r="J22" s="159">
        <f t="shared" si="14"/>
        <v>1.1014899199999999</v>
      </c>
      <c r="K22" s="13" t="s">
        <v>92</v>
      </c>
      <c r="L22" s="110">
        <v>6</v>
      </c>
      <c r="M22" s="7">
        <f>'WCLA Consolidated MTEF Budget'!N22</f>
        <v>137686.24</v>
      </c>
      <c r="N22" s="7">
        <v>150000</v>
      </c>
      <c r="O22" s="7"/>
      <c r="P22" s="7"/>
      <c r="Q22" s="7"/>
      <c r="R22" s="7"/>
      <c r="S22" s="7"/>
      <c r="T22" s="7">
        <f t="shared" si="15"/>
        <v>12313.760000000009</v>
      </c>
      <c r="U22" s="159">
        <f t="shared" si="16"/>
        <v>8.2091733333333389E-2</v>
      </c>
      <c r="V22" s="159">
        <f t="shared" si="17"/>
        <v>0.91790826666666658</v>
      </c>
    </row>
    <row r="23" spans="1:22" hidden="1" x14ac:dyDescent="0.3">
      <c r="A23" s="7">
        <f>'WCLA Consolidated MTEF Budget'!A23</f>
        <v>0</v>
      </c>
      <c r="B23" s="7">
        <f t="shared" si="11"/>
        <v>0</v>
      </c>
      <c r="C23" s="7"/>
      <c r="D23" s="7"/>
      <c r="E23" s="7"/>
      <c r="F23" s="7"/>
      <c r="G23" s="7"/>
      <c r="H23" s="7">
        <f t="shared" si="12"/>
        <v>0</v>
      </c>
      <c r="I23" s="159">
        <f t="shared" si="13"/>
        <v>0</v>
      </c>
      <c r="J23" s="159">
        <f t="shared" si="14"/>
        <v>0</v>
      </c>
      <c r="K23" s="125" t="s">
        <v>93</v>
      </c>
      <c r="L23" s="110">
        <v>6</v>
      </c>
      <c r="M23" s="7">
        <f>'WCLA Consolidated MTEF Budget'!N23</f>
        <v>0</v>
      </c>
      <c r="N23" s="7">
        <v>0</v>
      </c>
      <c r="O23" s="7"/>
      <c r="P23" s="7"/>
      <c r="Q23" s="7"/>
      <c r="R23" s="7"/>
      <c r="S23" s="7"/>
      <c r="T23" s="7">
        <f t="shared" si="15"/>
        <v>0</v>
      </c>
      <c r="U23" s="159">
        <f t="shared" si="16"/>
        <v>0</v>
      </c>
      <c r="V23" s="159">
        <f t="shared" si="17"/>
        <v>0</v>
      </c>
    </row>
    <row r="24" spans="1:22" hidden="1" x14ac:dyDescent="0.3">
      <c r="A24" s="7">
        <f>'WCLA Consolidated MTEF Budget'!A24</f>
        <v>23328.48</v>
      </c>
      <c r="B24" s="7">
        <f t="shared" si="11"/>
        <v>22260.42</v>
      </c>
      <c r="C24" s="7"/>
      <c r="D24" s="7"/>
      <c r="E24" s="7"/>
      <c r="F24" s="7"/>
      <c r="G24" s="7"/>
      <c r="H24" s="7">
        <f t="shared" si="12"/>
        <v>-1068.0600000000013</v>
      </c>
      <c r="I24" s="159">
        <f t="shared" si="13"/>
        <v>-4.7980226788173867E-2</v>
      </c>
      <c r="J24" s="159">
        <f t="shared" si="14"/>
        <v>1.0479802267881739</v>
      </c>
      <c r="K24" s="125" t="s">
        <v>94</v>
      </c>
      <c r="L24" s="113">
        <v>6</v>
      </c>
      <c r="M24" s="7">
        <f>'WCLA Consolidated MTEF Budget'!N24</f>
        <v>233284.80000000005</v>
      </c>
      <c r="N24" s="7">
        <v>267125.03999999998</v>
      </c>
      <c r="O24" s="7"/>
      <c r="P24" s="7"/>
      <c r="Q24" s="7"/>
      <c r="R24" s="7"/>
      <c r="S24" s="7"/>
      <c r="T24" s="7">
        <f t="shared" si="15"/>
        <v>33840.239999999932</v>
      </c>
      <c r="U24" s="159">
        <f t="shared" si="16"/>
        <v>0.12668314434318825</v>
      </c>
      <c r="V24" s="159">
        <f t="shared" si="17"/>
        <v>0.87331685565681172</v>
      </c>
    </row>
    <row r="25" spans="1:22" hidden="1" x14ac:dyDescent="0.3">
      <c r="A25" s="7">
        <f>'WCLA Consolidated MTEF Budget'!A25</f>
        <v>1290.0880000000002</v>
      </c>
      <c r="B25" s="7">
        <f t="shared" si="11"/>
        <v>345.515625</v>
      </c>
      <c r="C25" s="7"/>
      <c r="D25" s="7"/>
      <c r="E25" s="7"/>
      <c r="F25" s="7"/>
      <c r="G25" s="7"/>
      <c r="H25" s="7">
        <f t="shared" si="12"/>
        <v>-944.57237500000019</v>
      </c>
      <c r="I25" s="159">
        <f t="shared" si="13"/>
        <v>-2.7338050920273149</v>
      </c>
      <c r="J25" s="159">
        <f t="shared" si="14"/>
        <v>3.7338050920273149</v>
      </c>
      <c r="K25" s="13" t="s">
        <v>95</v>
      </c>
      <c r="L25" s="113">
        <v>6</v>
      </c>
      <c r="M25" s="7">
        <f>'WCLA Consolidated MTEF Budget'!N25</f>
        <v>12900.88</v>
      </c>
      <c r="N25" s="7">
        <v>4146.1875</v>
      </c>
      <c r="O25" s="7"/>
      <c r="P25" s="7"/>
      <c r="Q25" s="7"/>
      <c r="R25" s="7"/>
      <c r="S25" s="7"/>
      <c r="T25" s="7">
        <f t="shared" si="15"/>
        <v>-8754.6924999999992</v>
      </c>
      <c r="U25" s="159">
        <f t="shared" si="16"/>
        <v>-2.1115042433560949</v>
      </c>
      <c r="V25" s="159">
        <f t="shared" si="17"/>
        <v>3.1115042433560949</v>
      </c>
    </row>
    <row r="26" spans="1:22" hidden="1" x14ac:dyDescent="0.3">
      <c r="A26" s="11">
        <f>'WCLA Consolidated MTEF Budget'!A26</f>
        <v>0</v>
      </c>
      <c r="B26" s="11">
        <f t="shared" si="11"/>
        <v>0</v>
      </c>
      <c r="C26" s="11"/>
      <c r="D26" s="11"/>
      <c r="E26" s="11"/>
      <c r="F26" s="11"/>
      <c r="G26" s="11"/>
      <c r="H26" s="11">
        <f t="shared" si="12"/>
        <v>0</v>
      </c>
      <c r="I26" s="160">
        <f t="shared" si="13"/>
        <v>0</v>
      </c>
      <c r="J26" s="160">
        <f t="shared" si="14"/>
        <v>0</v>
      </c>
      <c r="K26" s="13" t="s">
        <v>96</v>
      </c>
      <c r="L26" s="110">
        <v>6</v>
      </c>
      <c r="M26" s="11">
        <f>'WCLA Consolidated MTEF Budget'!N26</f>
        <v>0</v>
      </c>
      <c r="N26" s="11">
        <v>0</v>
      </c>
      <c r="O26" s="11"/>
      <c r="P26" s="11"/>
      <c r="Q26" s="11"/>
      <c r="R26" s="11"/>
      <c r="S26" s="11"/>
      <c r="T26" s="11">
        <f t="shared" si="15"/>
        <v>0</v>
      </c>
      <c r="U26" s="160">
        <f t="shared" si="16"/>
        <v>0</v>
      </c>
      <c r="V26" s="160">
        <f t="shared" si="17"/>
        <v>0</v>
      </c>
    </row>
    <row r="27" spans="1:22" ht="5.4" customHeight="1" x14ac:dyDescent="0.3">
      <c r="A27" s="83"/>
      <c r="B27" s="83"/>
      <c r="C27" s="83"/>
      <c r="D27" s="83"/>
      <c r="E27" s="83"/>
      <c r="F27" s="83"/>
      <c r="G27" s="83"/>
      <c r="H27" s="83"/>
      <c r="I27" s="84"/>
      <c r="J27" s="84"/>
      <c r="K27" s="13"/>
      <c r="L27" s="110"/>
      <c r="M27" s="85"/>
      <c r="N27" s="85"/>
      <c r="O27" s="83"/>
      <c r="P27" s="83"/>
      <c r="Q27" s="83"/>
      <c r="R27" s="83"/>
      <c r="S27" s="83"/>
      <c r="T27" s="84"/>
      <c r="U27" s="161"/>
      <c r="V27" s="161"/>
    </row>
    <row r="28" spans="1:22" x14ac:dyDescent="0.3">
      <c r="A28" s="4">
        <f>SUM(A20:A26)</f>
        <v>191379.47200000001</v>
      </c>
      <c r="B28" s="4">
        <f>SUM(B20:B26)</f>
        <v>178268.04587944667</v>
      </c>
      <c r="C28" s="4"/>
      <c r="D28" s="4"/>
      <c r="E28" s="4"/>
      <c r="F28" s="4"/>
      <c r="G28" s="4"/>
      <c r="H28" s="4">
        <f>B28-A28</f>
        <v>-13111.42612055334</v>
      </c>
      <c r="I28" s="162">
        <f t="shared" ref="I28" si="18">IFERROR(H28/B28,)</f>
        <v>-7.3548941740349302E-2</v>
      </c>
      <c r="J28" s="162">
        <f>IFERROR(A28/B28,)</f>
        <v>1.0735489417403492</v>
      </c>
      <c r="K28" s="13" t="s">
        <v>97</v>
      </c>
      <c r="L28" s="111"/>
      <c r="M28" s="4">
        <f>SUM(M20:M26)</f>
        <v>1913794.7199999995</v>
      </c>
      <c r="N28" s="4">
        <f>SUM(N20:N26)</f>
        <v>2139216.55055336</v>
      </c>
      <c r="O28" s="4"/>
      <c r="P28" s="4"/>
      <c r="Q28" s="4"/>
      <c r="R28" s="4"/>
      <c r="S28" s="4"/>
      <c r="T28" s="4">
        <f>N28-M28</f>
        <v>225421.83055336052</v>
      </c>
      <c r="U28" s="162">
        <f t="shared" ref="U28" si="19">IFERROR(T28/N28,)</f>
        <v>0.10537588188304252</v>
      </c>
      <c r="V28" s="162">
        <f>IFERROR(M28/N28,)</f>
        <v>0.89462411811695752</v>
      </c>
    </row>
    <row r="29" spans="1:22" ht="3.6" hidden="1" customHeight="1" x14ac:dyDescent="0.3">
      <c r="A29" s="87"/>
      <c r="B29" s="87"/>
      <c r="C29" s="86"/>
      <c r="D29" s="86"/>
      <c r="E29" s="86"/>
      <c r="F29" s="87"/>
      <c r="G29" s="87"/>
      <c r="H29" s="87"/>
      <c r="I29" s="84"/>
      <c r="J29" s="84"/>
      <c r="K29" s="80"/>
      <c r="L29" s="110"/>
      <c r="M29" s="82"/>
      <c r="N29" s="82"/>
      <c r="O29" s="86"/>
      <c r="P29" s="86"/>
      <c r="Q29" s="86"/>
      <c r="R29" s="87"/>
      <c r="S29" s="87"/>
      <c r="T29" s="84"/>
      <c r="U29" s="161"/>
      <c r="V29" s="161"/>
    </row>
    <row r="30" spans="1:22" hidden="1" x14ac:dyDescent="0.3">
      <c r="A30" s="8">
        <f>'WCLA Consolidated MTEF Budget'!A30</f>
        <v>0</v>
      </c>
      <c r="B30" s="8">
        <f t="shared" ref="B30:B44" si="20">N30/12</f>
        <v>108333.33333333333</v>
      </c>
      <c r="C30" s="8"/>
      <c r="D30" s="8"/>
      <c r="E30" s="8"/>
      <c r="F30" s="8"/>
      <c r="G30" s="8"/>
      <c r="H30" s="8">
        <f t="shared" ref="H30:H44" si="21">B30-A30</f>
        <v>108333.33333333333</v>
      </c>
      <c r="I30" s="158">
        <f t="shared" ref="I30:I44" si="22">IFERROR(H30/B30,)</f>
        <v>1</v>
      </c>
      <c r="J30" s="158">
        <f t="shared" ref="J30:J44" si="23">IFERROR(A30/B30,)</f>
        <v>0</v>
      </c>
      <c r="K30" s="155" t="s">
        <v>98</v>
      </c>
      <c r="L30" s="110">
        <v>1</v>
      </c>
      <c r="M30" s="8">
        <f>'WCLA Consolidated MTEF Budget'!N30</f>
        <v>1676799.5493600001</v>
      </c>
      <c r="N30" s="8">
        <v>1300000</v>
      </c>
      <c r="O30" s="8"/>
      <c r="P30" s="8"/>
      <c r="Q30" s="8"/>
      <c r="R30" s="8"/>
      <c r="S30" s="8"/>
      <c r="T30" s="8">
        <f t="shared" ref="T30:T44" si="24">N30-M30</f>
        <v>-376799.54936000006</v>
      </c>
      <c r="U30" s="158">
        <f t="shared" ref="U30:U44" si="25">IFERROR(T30/N30,)</f>
        <v>-0.28984580720000003</v>
      </c>
      <c r="V30" s="158">
        <f t="shared" ref="V30:V44" si="26">IFERROR(M30/N30,)</f>
        <v>1.2898458072000001</v>
      </c>
    </row>
    <row r="31" spans="1:22" hidden="1" x14ac:dyDescent="0.3">
      <c r="A31" s="7">
        <f>'WCLA Consolidated MTEF Budget'!A31</f>
        <v>9215.0640000000003</v>
      </c>
      <c r="B31" s="7">
        <f t="shared" si="20"/>
        <v>2090.22004737</v>
      </c>
      <c r="C31" s="7"/>
      <c r="D31" s="7"/>
      <c r="E31" s="7"/>
      <c r="F31" s="7"/>
      <c r="G31" s="7"/>
      <c r="H31" s="7">
        <f t="shared" si="21"/>
        <v>-7124.8439526300008</v>
      </c>
      <c r="I31" s="159">
        <f t="shared" si="22"/>
        <v>-3.4086573619819451</v>
      </c>
      <c r="J31" s="159">
        <f t="shared" si="23"/>
        <v>4.4086573619819447</v>
      </c>
      <c r="K31" s="13" t="s">
        <v>99</v>
      </c>
      <c r="L31" s="110">
        <v>7</v>
      </c>
      <c r="M31" s="7">
        <f>'WCLA Consolidated MTEF Budget'!N31</f>
        <v>92150.64</v>
      </c>
      <c r="N31" s="7">
        <v>25082.640568439998</v>
      </c>
      <c r="O31" s="7"/>
      <c r="P31" s="7"/>
      <c r="Q31" s="7"/>
      <c r="R31" s="7"/>
      <c r="S31" s="7"/>
      <c r="T31" s="7">
        <f t="shared" si="24"/>
        <v>-67067.999431560005</v>
      </c>
      <c r="U31" s="159">
        <f t="shared" si="25"/>
        <v>-2.6738811349849545</v>
      </c>
      <c r="V31" s="159">
        <f t="shared" si="26"/>
        <v>3.6738811349849545</v>
      </c>
    </row>
    <row r="32" spans="1:22" hidden="1" x14ac:dyDescent="0.3">
      <c r="A32" s="7">
        <f>'WCLA Consolidated MTEF Budget'!A32</f>
        <v>74534.808000000005</v>
      </c>
      <c r="B32" s="7">
        <f t="shared" si="20"/>
        <v>87250</v>
      </c>
      <c r="C32" s="7"/>
      <c r="D32" s="7"/>
      <c r="E32" s="7"/>
      <c r="F32" s="7"/>
      <c r="G32" s="7"/>
      <c r="H32" s="7">
        <f t="shared" si="21"/>
        <v>12715.191999999995</v>
      </c>
      <c r="I32" s="159">
        <f t="shared" si="22"/>
        <v>0.14573285959885382</v>
      </c>
      <c r="J32" s="159">
        <f t="shared" si="23"/>
        <v>0.85426714040114615</v>
      </c>
      <c r="K32" s="13" t="s">
        <v>100</v>
      </c>
      <c r="L32" s="110">
        <v>7</v>
      </c>
      <c r="M32" s="7">
        <f>'WCLA Consolidated MTEF Budget'!N32</f>
        <v>745348.08</v>
      </c>
      <c r="N32" s="7">
        <v>1047000</v>
      </c>
      <c r="O32" s="7"/>
      <c r="P32" s="7"/>
      <c r="Q32" s="7"/>
      <c r="R32" s="7"/>
      <c r="S32" s="7"/>
      <c r="T32" s="7">
        <f t="shared" si="24"/>
        <v>301651.92000000004</v>
      </c>
      <c r="U32" s="159">
        <f t="shared" si="25"/>
        <v>0.28811071633237828</v>
      </c>
      <c r="V32" s="159">
        <f t="shared" si="26"/>
        <v>0.71188928366762172</v>
      </c>
    </row>
    <row r="33" spans="1:22" hidden="1" x14ac:dyDescent="0.3">
      <c r="A33" s="7">
        <f>'WCLA Consolidated MTEF Budget'!A33</f>
        <v>4377.4960000000001</v>
      </c>
      <c r="B33" s="7">
        <f t="shared" si="20"/>
        <v>0</v>
      </c>
      <c r="C33" s="7"/>
      <c r="D33" s="7"/>
      <c r="E33" s="7"/>
      <c r="F33" s="7"/>
      <c r="G33" s="7"/>
      <c r="H33" s="7">
        <f t="shared" si="21"/>
        <v>-4377.4960000000001</v>
      </c>
      <c r="I33" s="159">
        <f t="shared" si="22"/>
        <v>0</v>
      </c>
      <c r="J33" s="159">
        <f t="shared" si="23"/>
        <v>0</v>
      </c>
      <c r="K33" s="13" t="s">
        <v>101</v>
      </c>
      <c r="L33" s="110">
        <v>8</v>
      </c>
      <c r="M33" s="7">
        <f>'WCLA Consolidated MTEF Budget'!N33</f>
        <v>43774.96</v>
      </c>
      <c r="N33" s="7">
        <v>0</v>
      </c>
      <c r="O33" s="7"/>
      <c r="P33" s="7"/>
      <c r="Q33" s="7"/>
      <c r="R33" s="7"/>
      <c r="S33" s="7"/>
      <c r="T33" s="7">
        <f t="shared" si="24"/>
        <v>-43774.96</v>
      </c>
      <c r="U33" s="159">
        <f t="shared" si="25"/>
        <v>0</v>
      </c>
      <c r="V33" s="159">
        <f t="shared" si="26"/>
        <v>0</v>
      </c>
    </row>
    <row r="34" spans="1:22" hidden="1" x14ac:dyDescent="0.3">
      <c r="A34" s="7">
        <f>'WCLA Consolidated MTEF Budget'!A34</f>
        <v>34273.792000000001</v>
      </c>
      <c r="B34" s="7">
        <f t="shared" si="20"/>
        <v>57345.162995250001</v>
      </c>
      <c r="C34" s="7"/>
      <c r="D34" s="7"/>
      <c r="E34" s="7"/>
      <c r="F34" s="7"/>
      <c r="G34" s="7"/>
      <c r="H34" s="7">
        <f t="shared" si="21"/>
        <v>23071.370995249999</v>
      </c>
      <c r="I34" s="159">
        <f t="shared" si="22"/>
        <v>0.40232462147088222</v>
      </c>
      <c r="J34" s="159">
        <f t="shared" si="23"/>
        <v>0.59767537852911778</v>
      </c>
      <c r="K34" s="13" t="s">
        <v>102</v>
      </c>
      <c r="L34" s="110" t="s">
        <v>103</v>
      </c>
      <c r="M34" s="7">
        <f>'WCLA Consolidated MTEF Budget'!N34</f>
        <v>342737.9200000001</v>
      </c>
      <c r="N34" s="7">
        <v>688141.95594300004</v>
      </c>
      <c r="O34" s="7"/>
      <c r="P34" s="7"/>
      <c r="Q34" s="7"/>
      <c r="R34" s="7"/>
      <c r="S34" s="7"/>
      <c r="T34" s="7">
        <f t="shared" si="24"/>
        <v>345404.03594299994</v>
      </c>
      <c r="U34" s="159">
        <f t="shared" si="25"/>
        <v>0.50193718455906844</v>
      </c>
      <c r="V34" s="159">
        <f t="shared" si="26"/>
        <v>0.49806281544093156</v>
      </c>
    </row>
    <row r="35" spans="1:22" hidden="1" x14ac:dyDescent="0.3">
      <c r="A35" s="7">
        <f>'WCLA Consolidated MTEF Budget'!A35</f>
        <v>0</v>
      </c>
      <c r="B35" s="7">
        <f t="shared" si="20"/>
        <v>0</v>
      </c>
      <c r="C35" s="7"/>
      <c r="D35" s="7"/>
      <c r="E35" s="7"/>
      <c r="F35" s="7"/>
      <c r="G35" s="7"/>
      <c r="H35" s="7">
        <f t="shared" si="21"/>
        <v>0</v>
      </c>
      <c r="I35" s="159">
        <f t="shared" si="22"/>
        <v>0</v>
      </c>
      <c r="J35" s="159">
        <f t="shared" si="23"/>
        <v>0</v>
      </c>
      <c r="K35" s="13" t="s">
        <v>104</v>
      </c>
      <c r="L35" s="110">
        <v>6</v>
      </c>
      <c r="M35" s="7">
        <f>'WCLA Consolidated MTEF Budget'!N35</f>
        <v>0</v>
      </c>
      <c r="N35" s="7">
        <v>0</v>
      </c>
      <c r="O35" s="7"/>
      <c r="P35" s="7"/>
      <c r="Q35" s="7"/>
      <c r="R35" s="7"/>
      <c r="S35" s="7"/>
      <c r="T35" s="7">
        <f t="shared" si="24"/>
        <v>0</v>
      </c>
      <c r="U35" s="159">
        <f t="shared" si="25"/>
        <v>0</v>
      </c>
      <c r="V35" s="159">
        <f t="shared" si="26"/>
        <v>0</v>
      </c>
    </row>
    <row r="36" spans="1:22" hidden="1" x14ac:dyDescent="0.3">
      <c r="A36" s="7">
        <f>'WCLA Consolidated MTEF Budget'!A36</f>
        <v>0</v>
      </c>
      <c r="B36" s="7">
        <f t="shared" si="20"/>
        <v>3353.9006374999994</v>
      </c>
      <c r="C36" s="7"/>
      <c r="D36" s="7"/>
      <c r="E36" s="7"/>
      <c r="F36" s="7"/>
      <c r="G36" s="7"/>
      <c r="H36" s="7">
        <f t="shared" si="21"/>
        <v>3353.9006374999994</v>
      </c>
      <c r="I36" s="159">
        <f t="shared" si="22"/>
        <v>1</v>
      </c>
      <c r="J36" s="159">
        <f t="shared" si="23"/>
        <v>0</v>
      </c>
      <c r="K36" s="13" t="s">
        <v>105</v>
      </c>
      <c r="L36" s="110">
        <v>7</v>
      </c>
      <c r="M36" s="7">
        <f>'WCLA Consolidated MTEF Budget'!N36</f>
        <v>0</v>
      </c>
      <c r="N36" s="7">
        <v>40246.807649999995</v>
      </c>
      <c r="O36" s="7"/>
      <c r="P36" s="7"/>
      <c r="Q36" s="7"/>
      <c r="R36" s="7"/>
      <c r="S36" s="7"/>
      <c r="T36" s="7">
        <f t="shared" si="24"/>
        <v>40246.807649999995</v>
      </c>
      <c r="U36" s="159">
        <f t="shared" si="25"/>
        <v>1</v>
      </c>
      <c r="V36" s="159">
        <f t="shared" si="26"/>
        <v>0</v>
      </c>
    </row>
    <row r="37" spans="1:22" hidden="1" x14ac:dyDescent="0.3">
      <c r="A37" s="7">
        <f>'WCLA Consolidated MTEF Budget'!A37</f>
        <v>23763.4</v>
      </c>
      <c r="B37" s="7">
        <f t="shared" si="20"/>
        <v>30146.833665000002</v>
      </c>
      <c r="C37" s="7"/>
      <c r="D37" s="7"/>
      <c r="E37" s="7"/>
      <c r="F37" s="7"/>
      <c r="G37" s="7"/>
      <c r="H37" s="7">
        <f t="shared" si="21"/>
        <v>6383.4336650000005</v>
      </c>
      <c r="I37" s="159">
        <f t="shared" si="22"/>
        <v>0.21174474692548115</v>
      </c>
      <c r="J37" s="159">
        <f t="shared" si="23"/>
        <v>0.78825525307451882</v>
      </c>
      <c r="K37" s="155" t="s">
        <v>106</v>
      </c>
      <c r="L37" s="110">
        <v>7</v>
      </c>
      <c r="M37" s="7">
        <f>'WCLA Consolidated MTEF Budget'!N37</f>
        <v>237633.99999999997</v>
      </c>
      <c r="N37" s="7">
        <v>361762.00398000004</v>
      </c>
      <c r="O37" s="7"/>
      <c r="P37" s="7"/>
      <c r="Q37" s="7"/>
      <c r="R37" s="7"/>
      <c r="S37" s="7"/>
      <c r="T37" s="7">
        <f t="shared" si="24"/>
        <v>124128.00398000007</v>
      </c>
      <c r="U37" s="159">
        <f t="shared" si="25"/>
        <v>0.34312062243790109</v>
      </c>
      <c r="V37" s="159">
        <f t="shared" si="26"/>
        <v>0.65687937756209891</v>
      </c>
    </row>
    <row r="38" spans="1:22" hidden="1" x14ac:dyDescent="0.3">
      <c r="A38" s="7">
        <f>'WCLA Consolidated MTEF Budget'!A38</f>
        <v>249170.38400000002</v>
      </c>
      <c r="B38" s="7">
        <f t="shared" si="20"/>
        <v>215112.01333333331</v>
      </c>
      <c r="C38" s="7"/>
      <c r="D38" s="7"/>
      <c r="E38" s="7"/>
      <c r="F38" s="7"/>
      <c r="G38" s="7"/>
      <c r="H38" s="7">
        <f t="shared" si="21"/>
        <v>-34058.370666666713</v>
      </c>
      <c r="I38" s="159">
        <f t="shared" si="22"/>
        <v>-0.15832853841542796</v>
      </c>
      <c r="J38" s="159">
        <f t="shared" si="23"/>
        <v>1.158328538415428</v>
      </c>
      <c r="K38" s="13" t="s">
        <v>107</v>
      </c>
      <c r="L38" s="110">
        <v>7</v>
      </c>
      <c r="M38" s="7">
        <f>'WCLA Consolidated MTEF Budget'!N38</f>
        <v>2491703.8400000003</v>
      </c>
      <c r="N38" s="7">
        <v>2581344.1599999997</v>
      </c>
      <c r="O38" s="7"/>
      <c r="P38" s="7"/>
      <c r="Q38" s="7"/>
      <c r="R38" s="7"/>
      <c r="S38" s="7"/>
      <c r="T38" s="7">
        <f t="shared" si="24"/>
        <v>89640.319999999367</v>
      </c>
      <c r="U38" s="159">
        <f t="shared" si="25"/>
        <v>3.4726217987143322E-2</v>
      </c>
      <c r="V38" s="159">
        <f t="shared" si="26"/>
        <v>0.96527378201285663</v>
      </c>
    </row>
    <row r="39" spans="1:22" hidden="1" x14ac:dyDescent="0.3">
      <c r="A39" s="7">
        <f>'WCLA Consolidated MTEF Budget'!A39</f>
        <v>60451.784</v>
      </c>
      <c r="B39" s="7">
        <f t="shared" si="20"/>
        <v>55183.117333499998</v>
      </c>
      <c r="C39" s="7"/>
      <c r="D39" s="7"/>
      <c r="E39" s="7"/>
      <c r="F39" s="7"/>
      <c r="G39" s="7"/>
      <c r="H39" s="7">
        <f t="shared" si="21"/>
        <v>-5268.6666665000012</v>
      </c>
      <c r="I39" s="159">
        <f t="shared" si="22"/>
        <v>-9.5476060815099212E-2</v>
      </c>
      <c r="J39" s="159">
        <f t="shared" si="23"/>
        <v>1.0954760608150993</v>
      </c>
      <c r="K39" s="13" t="s">
        <v>108</v>
      </c>
      <c r="L39" s="110">
        <v>7</v>
      </c>
      <c r="M39" s="7">
        <f>'WCLA Consolidated MTEF Budget'!N39</f>
        <v>604517.84</v>
      </c>
      <c r="N39" s="7">
        <v>662197.40800199995</v>
      </c>
      <c r="O39" s="7"/>
      <c r="P39" s="7"/>
      <c r="Q39" s="7"/>
      <c r="R39" s="7"/>
      <c r="S39" s="7"/>
      <c r="T39" s="7">
        <f t="shared" si="24"/>
        <v>57679.568001999985</v>
      </c>
      <c r="U39" s="159">
        <f t="shared" si="25"/>
        <v>8.7103282654083999E-2</v>
      </c>
      <c r="V39" s="159">
        <f t="shared" si="26"/>
        <v>0.91289671734591604</v>
      </c>
    </row>
    <row r="40" spans="1:22" hidden="1" x14ac:dyDescent="0.3">
      <c r="A40" s="7">
        <f>'WCLA Consolidated MTEF Budget'!A40</f>
        <v>1180.048</v>
      </c>
      <c r="B40" s="7">
        <f t="shared" si="20"/>
        <v>1688.4602771400002</v>
      </c>
      <c r="C40" s="7"/>
      <c r="D40" s="7"/>
      <c r="E40" s="7"/>
      <c r="F40" s="7"/>
      <c r="G40" s="7"/>
      <c r="H40" s="7">
        <f t="shared" si="21"/>
        <v>508.41227714000024</v>
      </c>
      <c r="I40" s="159">
        <f t="shared" si="22"/>
        <v>0.30111000183029168</v>
      </c>
      <c r="J40" s="159">
        <f t="shared" si="23"/>
        <v>0.69888999816970832</v>
      </c>
      <c r="K40" s="13" t="s">
        <v>109</v>
      </c>
      <c r="L40" s="110">
        <v>7</v>
      </c>
      <c r="M40" s="7">
        <f>'WCLA Consolidated MTEF Budget'!N40</f>
        <v>11800.480000000001</v>
      </c>
      <c r="N40" s="7">
        <v>20261.523325680002</v>
      </c>
      <c r="O40" s="7"/>
      <c r="P40" s="7"/>
      <c r="Q40" s="7"/>
      <c r="R40" s="7"/>
      <c r="S40" s="7"/>
      <c r="T40" s="7">
        <f t="shared" si="24"/>
        <v>8461.0433256800006</v>
      </c>
      <c r="U40" s="159">
        <f t="shared" si="25"/>
        <v>0.41759166819190963</v>
      </c>
      <c r="V40" s="159">
        <f t="shared" si="26"/>
        <v>0.58240833180809037</v>
      </c>
    </row>
    <row r="41" spans="1:22" hidden="1" x14ac:dyDescent="0.3">
      <c r="A41" s="7">
        <f>'WCLA Consolidated MTEF Budget'!A41</f>
        <v>19656.288</v>
      </c>
      <c r="B41" s="7">
        <f t="shared" si="20"/>
        <v>18508.51896075</v>
      </c>
      <c r="C41" s="7"/>
      <c r="D41" s="7"/>
      <c r="E41" s="7"/>
      <c r="F41" s="7"/>
      <c r="G41" s="7"/>
      <c r="H41" s="7">
        <f t="shared" si="21"/>
        <v>-1147.7690392500008</v>
      </c>
      <c r="I41" s="159">
        <f t="shared" si="22"/>
        <v>-6.2013013665977897E-2</v>
      </c>
      <c r="J41" s="159">
        <f t="shared" si="23"/>
        <v>1.062013013665978</v>
      </c>
      <c r="K41" s="13" t="s">
        <v>110</v>
      </c>
      <c r="L41" s="110">
        <v>7</v>
      </c>
      <c r="M41" s="7">
        <f>'WCLA Consolidated MTEF Budget'!N41</f>
        <v>196562.88</v>
      </c>
      <c r="N41" s="7">
        <v>222102.227529</v>
      </c>
      <c r="O41" s="7"/>
      <c r="P41" s="7"/>
      <c r="Q41" s="7"/>
      <c r="R41" s="7"/>
      <c r="S41" s="7"/>
      <c r="T41" s="7">
        <f t="shared" si="24"/>
        <v>25539.347528999991</v>
      </c>
      <c r="U41" s="159">
        <f t="shared" si="25"/>
        <v>0.11498915527835175</v>
      </c>
      <c r="V41" s="159">
        <f t="shared" si="26"/>
        <v>0.88501084472164826</v>
      </c>
    </row>
    <row r="42" spans="1:22" hidden="1" x14ac:dyDescent="0.3">
      <c r="A42" s="7">
        <f>'WCLA Consolidated MTEF Budget'!A42</f>
        <v>13516.056</v>
      </c>
      <c r="B42" s="7">
        <f t="shared" si="20"/>
        <v>37268.908852499997</v>
      </c>
      <c r="C42" s="7"/>
      <c r="D42" s="7"/>
      <c r="E42" s="7"/>
      <c r="F42" s="7"/>
      <c r="G42" s="7"/>
      <c r="H42" s="7">
        <f t="shared" si="21"/>
        <v>23752.852852499997</v>
      </c>
      <c r="I42" s="159">
        <f t="shared" si="22"/>
        <v>0.63733695414875702</v>
      </c>
      <c r="J42" s="159">
        <f t="shared" si="23"/>
        <v>0.36266304585124293</v>
      </c>
      <c r="K42" s="13" t="s">
        <v>111</v>
      </c>
      <c r="L42" s="110">
        <v>7</v>
      </c>
      <c r="M42" s="7">
        <f>'WCLA Consolidated MTEF Budget'!N42</f>
        <v>135160.56</v>
      </c>
      <c r="N42" s="7">
        <v>447226.90622999996</v>
      </c>
      <c r="O42" s="7"/>
      <c r="P42" s="7"/>
      <c r="Q42" s="7"/>
      <c r="R42" s="7"/>
      <c r="S42" s="7"/>
      <c r="T42" s="7">
        <f t="shared" si="24"/>
        <v>312066.34622999997</v>
      </c>
      <c r="U42" s="159">
        <f t="shared" si="25"/>
        <v>0.69778079512396418</v>
      </c>
      <c r="V42" s="159">
        <f t="shared" si="26"/>
        <v>0.30221920487603576</v>
      </c>
    </row>
    <row r="43" spans="1:22" hidden="1" x14ac:dyDescent="0.3">
      <c r="A43" s="7">
        <f>'WCLA Consolidated MTEF Budget'!A43</f>
        <v>12851.624</v>
      </c>
      <c r="B43" s="7">
        <f t="shared" si="20"/>
        <v>13943.381985</v>
      </c>
      <c r="C43" s="7"/>
      <c r="D43" s="7"/>
      <c r="E43" s="7"/>
      <c r="F43" s="7"/>
      <c r="G43" s="7"/>
      <c r="H43" s="7">
        <f t="shared" si="21"/>
        <v>1091.7579850000002</v>
      </c>
      <c r="I43" s="159">
        <f t="shared" si="22"/>
        <v>7.8299367124453068E-2</v>
      </c>
      <c r="J43" s="159">
        <f t="shared" si="23"/>
        <v>0.92170063287554693</v>
      </c>
      <c r="K43" s="13" t="s">
        <v>112</v>
      </c>
      <c r="L43" s="110">
        <v>7</v>
      </c>
      <c r="M43" s="7">
        <f>'WCLA Consolidated MTEF Budget'!N43</f>
        <v>128516.23999999998</v>
      </c>
      <c r="N43" s="7">
        <v>167320.58382</v>
      </c>
      <c r="O43" s="7"/>
      <c r="P43" s="7"/>
      <c r="Q43" s="7"/>
      <c r="R43" s="7"/>
      <c r="S43" s="7"/>
      <c r="T43" s="7">
        <f t="shared" si="24"/>
        <v>38804.343820000024</v>
      </c>
      <c r="U43" s="159">
        <f t="shared" si="25"/>
        <v>0.23191613927037769</v>
      </c>
      <c r="V43" s="159">
        <f t="shared" si="26"/>
        <v>0.76808386072962231</v>
      </c>
    </row>
    <row r="44" spans="1:22" hidden="1" x14ac:dyDescent="0.3">
      <c r="A44" s="11">
        <f>'WCLA Consolidated MTEF Budget'!A44</f>
        <v>0</v>
      </c>
      <c r="B44" s="11">
        <f t="shared" si="20"/>
        <v>0</v>
      </c>
      <c r="C44" s="11"/>
      <c r="D44" s="11"/>
      <c r="E44" s="11"/>
      <c r="F44" s="11"/>
      <c r="G44" s="11"/>
      <c r="H44" s="11">
        <f t="shared" si="21"/>
        <v>0</v>
      </c>
      <c r="I44" s="160">
        <f t="shared" si="22"/>
        <v>0</v>
      </c>
      <c r="J44" s="160">
        <f t="shared" si="23"/>
        <v>0</v>
      </c>
      <c r="K44" s="155" t="s">
        <v>113</v>
      </c>
      <c r="L44" s="110">
        <v>7</v>
      </c>
      <c r="M44" s="11">
        <f>'WCLA Consolidated MTEF Budget'!N44</f>
        <v>0</v>
      </c>
      <c r="N44" s="11">
        <v>0</v>
      </c>
      <c r="O44" s="11"/>
      <c r="P44" s="11"/>
      <c r="Q44" s="11"/>
      <c r="R44" s="11"/>
      <c r="S44" s="11"/>
      <c r="T44" s="11">
        <f t="shared" si="24"/>
        <v>0</v>
      </c>
      <c r="U44" s="160">
        <f t="shared" si="25"/>
        <v>0</v>
      </c>
      <c r="V44" s="160">
        <f t="shared" si="26"/>
        <v>0</v>
      </c>
    </row>
    <row r="45" spans="1:22" ht="4.2" customHeight="1" x14ac:dyDescent="0.3">
      <c r="A45" s="83"/>
      <c r="B45" s="83"/>
      <c r="C45" s="83"/>
      <c r="D45" s="83"/>
      <c r="E45" s="83"/>
      <c r="F45" s="83"/>
      <c r="G45" s="83"/>
      <c r="H45" s="83"/>
      <c r="I45" s="84"/>
      <c r="J45" s="84"/>
      <c r="K45" s="13"/>
      <c r="L45" s="110"/>
      <c r="M45" s="85"/>
      <c r="N45" s="85"/>
      <c r="O45" s="83"/>
      <c r="P45" s="83"/>
      <c r="Q45" s="83"/>
      <c r="R45" s="83"/>
      <c r="S45" s="83"/>
      <c r="T45" s="84"/>
      <c r="U45" s="161"/>
      <c r="V45" s="161"/>
    </row>
    <row r="46" spans="1:22" x14ac:dyDescent="0.3">
      <c r="A46" s="4">
        <f>SUM(A30:A44)</f>
        <v>502990.74400000001</v>
      </c>
      <c r="B46" s="4">
        <f>SUM(B30:B44)</f>
        <v>630223.85142067657</v>
      </c>
      <c r="C46" s="4"/>
      <c r="D46" s="4"/>
      <c r="E46" s="4"/>
      <c r="F46" s="4"/>
      <c r="G46" s="4"/>
      <c r="H46" s="4">
        <f>B46-A46</f>
        <v>127233.10742067656</v>
      </c>
      <c r="I46" s="162">
        <f t="shared" ref="I46" si="27">IFERROR(H46/B46,)</f>
        <v>0.20188557943953161</v>
      </c>
      <c r="J46" s="162">
        <f>IFERROR(A46/B46,)</f>
        <v>0.79811442056046844</v>
      </c>
      <c r="K46" s="13" t="s">
        <v>114</v>
      </c>
      <c r="L46" s="111"/>
      <c r="M46" s="4">
        <f>SUM(M30:M44)</f>
        <v>6706706.98936</v>
      </c>
      <c r="N46" s="4">
        <f>SUM(N30:N44)</f>
        <v>7562686.2170481198</v>
      </c>
      <c r="O46" s="4"/>
      <c r="P46" s="4"/>
      <c r="Q46" s="4"/>
      <c r="R46" s="4"/>
      <c r="S46" s="4"/>
      <c r="T46" s="4">
        <f>N46-M46</f>
        <v>855979.22768811975</v>
      </c>
      <c r="U46" s="162">
        <f t="shared" ref="U46" si="28">IFERROR(T46/N46,)</f>
        <v>0.11318454886552559</v>
      </c>
      <c r="V46" s="162">
        <f>IFERROR(M46/N46,)</f>
        <v>0.88681545113447446</v>
      </c>
    </row>
    <row r="47" spans="1:22" ht="5.4" hidden="1" customHeight="1" x14ac:dyDescent="0.3">
      <c r="A47" s="87"/>
      <c r="B47" s="87"/>
      <c r="C47" s="86"/>
      <c r="D47" s="86"/>
      <c r="E47" s="86"/>
      <c r="F47" s="87"/>
      <c r="G47" s="87"/>
      <c r="H47" s="87"/>
      <c r="I47" s="84"/>
      <c r="J47" s="84"/>
      <c r="K47" s="80"/>
      <c r="L47" s="110"/>
      <c r="M47" s="82"/>
      <c r="N47" s="82"/>
      <c r="O47" s="86"/>
      <c r="P47" s="86"/>
      <c r="Q47" s="86"/>
      <c r="R47" s="87"/>
      <c r="S47" s="87"/>
      <c r="T47" s="84"/>
      <c r="U47" s="161"/>
      <c r="V47" s="161"/>
    </row>
    <row r="48" spans="1:22" hidden="1" x14ac:dyDescent="0.3">
      <c r="A48" s="8">
        <f>'WCLA Consolidated MTEF Budget'!A48</f>
        <v>0</v>
      </c>
      <c r="B48" s="8">
        <f t="shared" ref="B48:B63" si="29">N48/12</f>
        <v>0</v>
      </c>
      <c r="C48" s="8"/>
      <c r="D48" s="8"/>
      <c r="E48" s="8"/>
      <c r="F48" s="8"/>
      <c r="G48" s="8"/>
      <c r="H48" s="8">
        <f t="shared" ref="H48:H63" si="30">B48-A48</f>
        <v>0</v>
      </c>
      <c r="I48" s="158">
        <f t="shared" ref="I48:I63" si="31">IFERROR(H48/B48,)</f>
        <v>0</v>
      </c>
      <c r="J48" s="158">
        <f t="shared" ref="J48:J63" si="32">IFERROR(A48/B48,)</f>
        <v>0</v>
      </c>
      <c r="K48" s="155" t="s">
        <v>115</v>
      </c>
      <c r="L48" s="110">
        <v>7</v>
      </c>
      <c r="M48" s="8">
        <f>'WCLA Consolidated MTEF Budget'!N48</f>
        <v>0</v>
      </c>
      <c r="N48" s="8">
        <v>0</v>
      </c>
      <c r="O48" s="8"/>
      <c r="P48" s="8"/>
      <c r="Q48" s="8"/>
      <c r="R48" s="8"/>
      <c r="S48" s="8"/>
      <c r="T48" s="8">
        <f t="shared" ref="T48:T63" si="33">N48-M48</f>
        <v>0</v>
      </c>
      <c r="U48" s="158">
        <f t="shared" ref="U48:U63" si="34">IFERROR(T48/N48,)</f>
        <v>0</v>
      </c>
      <c r="V48" s="158">
        <f t="shared" ref="V48:V63" si="35">IFERROR(M48/N48,)</f>
        <v>0</v>
      </c>
    </row>
    <row r="49" spans="1:22" hidden="1" x14ac:dyDescent="0.3">
      <c r="A49" s="7">
        <f>'WCLA Consolidated MTEF Budget'!A49</f>
        <v>2300.36</v>
      </c>
      <c r="B49" s="7">
        <f t="shared" si="29"/>
        <v>1850.8297069666667</v>
      </c>
      <c r="C49" s="7"/>
      <c r="D49" s="7"/>
      <c r="E49" s="7"/>
      <c r="F49" s="7"/>
      <c r="G49" s="7"/>
      <c r="H49" s="7">
        <f t="shared" si="30"/>
        <v>-449.53029303333346</v>
      </c>
      <c r="I49" s="159">
        <f t="shared" si="31"/>
        <v>-0.24288041808561131</v>
      </c>
      <c r="J49" s="159">
        <f t="shared" si="32"/>
        <v>1.2428804180856112</v>
      </c>
      <c r="K49" s="13" t="s">
        <v>116</v>
      </c>
      <c r="L49" s="110">
        <v>1</v>
      </c>
      <c r="M49" s="7">
        <f>'WCLA Consolidated MTEF Budget'!N49</f>
        <v>38703.688000000002</v>
      </c>
      <c r="N49" s="7">
        <v>22209.956483599999</v>
      </c>
      <c r="O49" s="7"/>
      <c r="P49" s="7"/>
      <c r="Q49" s="7"/>
      <c r="R49" s="7"/>
      <c r="S49" s="7"/>
      <c r="T49" s="7">
        <f t="shared" si="33"/>
        <v>-16493.731516400003</v>
      </c>
      <c r="U49" s="159">
        <f t="shared" si="34"/>
        <v>-0.7426278177797917</v>
      </c>
      <c r="V49" s="159">
        <f t="shared" si="35"/>
        <v>1.7426278177797916</v>
      </c>
    </row>
    <row r="50" spans="1:22" hidden="1" x14ac:dyDescent="0.3">
      <c r="A50" s="7">
        <f>'WCLA Consolidated MTEF Budget'!A50</f>
        <v>4308.3280000000004</v>
      </c>
      <c r="B50" s="7">
        <f t="shared" si="29"/>
        <v>3145.9564139569698</v>
      </c>
      <c r="C50" s="7"/>
      <c r="D50" s="7"/>
      <c r="E50" s="7"/>
      <c r="F50" s="7"/>
      <c r="G50" s="7"/>
      <c r="H50" s="7">
        <f t="shared" si="30"/>
        <v>-1162.3715860430307</v>
      </c>
      <c r="I50" s="159">
        <f t="shared" si="31"/>
        <v>-0.36948114757286321</v>
      </c>
      <c r="J50" s="159">
        <f t="shared" si="32"/>
        <v>1.3694811475728632</v>
      </c>
      <c r="K50" s="13" t="s">
        <v>117</v>
      </c>
      <c r="L50" s="110">
        <v>7</v>
      </c>
      <c r="M50" s="7">
        <f>'WCLA Consolidated MTEF Budget'!N50</f>
        <v>44473.97600000001</v>
      </c>
      <c r="N50" s="7">
        <v>37751.476967483635</v>
      </c>
      <c r="O50" s="7"/>
      <c r="P50" s="7"/>
      <c r="Q50" s="7"/>
      <c r="R50" s="7"/>
      <c r="S50" s="7"/>
      <c r="T50" s="7">
        <f t="shared" si="33"/>
        <v>-6722.4990325163744</v>
      </c>
      <c r="U50" s="159">
        <f t="shared" si="34"/>
        <v>-0.178072477490262</v>
      </c>
      <c r="V50" s="159">
        <f t="shared" si="35"/>
        <v>1.178072477490262</v>
      </c>
    </row>
    <row r="51" spans="1:22" hidden="1" x14ac:dyDescent="0.3">
      <c r="A51" s="7">
        <f>'WCLA Consolidated MTEF Budget'!A51</f>
        <v>0</v>
      </c>
      <c r="B51" s="7">
        <f t="shared" si="29"/>
        <v>166.66666666666666</v>
      </c>
      <c r="C51" s="7"/>
      <c r="D51" s="7"/>
      <c r="E51" s="7"/>
      <c r="F51" s="7"/>
      <c r="G51" s="7"/>
      <c r="H51" s="7">
        <f t="shared" si="30"/>
        <v>166.66666666666666</v>
      </c>
      <c r="I51" s="159">
        <f t="shared" si="31"/>
        <v>1</v>
      </c>
      <c r="J51" s="159">
        <f t="shared" si="32"/>
        <v>0</v>
      </c>
      <c r="K51" s="13" t="s">
        <v>118</v>
      </c>
      <c r="L51" s="110">
        <v>7</v>
      </c>
      <c r="M51" s="7">
        <f>'WCLA Consolidated MTEF Budget'!N51</f>
        <v>0</v>
      </c>
      <c r="N51" s="7">
        <v>2000</v>
      </c>
      <c r="O51" s="7"/>
      <c r="P51" s="7"/>
      <c r="Q51" s="7"/>
      <c r="R51" s="7"/>
      <c r="S51" s="7"/>
      <c r="T51" s="7">
        <f t="shared" si="33"/>
        <v>2000</v>
      </c>
      <c r="U51" s="159">
        <f t="shared" si="34"/>
        <v>1</v>
      </c>
      <c r="V51" s="159">
        <f t="shared" si="35"/>
        <v>0</v>
      </c>
    </row>
    <row r="52" spans="1:22" hidden="1" x14ac:dyDescent="0.3">
      <c r="A52" s="7">
        <f>'WCLA Consolidated MTEF Budget'!A52</f>
        <v>1210.4400000000003</v>
      </c>
      <c r="B52" s="7">
        <f t="shared" si="29"/>
        <v>481.14135569393943</v>
      </c>
      <c r="C52" s="7"/>
      <c r="D52" s="7"/>
      <c r="E52" s="7"/>
      <c r="F52" s="7"/>
      <c r="G52" s="7"/>
      <c r="H52" s="7">
        <f t="shared" si="30"/>
        <v>-729.29864430606085</v>
      </c>
      <c r="I52" s="159">
        <f t="shared" si="31"/>
        <v>-1.515767945688663</v>
      </c>
      <c r="J52" s="159">
        <f t="shared" si="32"/>
        <v>2.5157679456886628</v>
      </c>
      <c r="K52" s="13" t="s">
        <v>119</v>
      </c>
      <c r="L52" s="110">
        <v>7</v>
      </c>
      <c r="M52" s="7">
        <f>'WCLA Consolidated MTEF Budget'!N52</f>
        <v>12555.040000000003</v>
      </c>
      <c r="N52" s="7">
        <v>5773.6962683272732</v>
      </c>
      <c r="O52" s="7"/>
      <c r="P52" s="7"/>
      <c r="Q52" s="7"/>
      <c r="R52" s="7"/>
      <c r="S52" s="7"/>
      <c r="T52" s="7">
        <f t="shared" si="33"/>
        <v>-6781.3437316727295</v>
      </c>
      <c r="U52" s="159">
        <f t="shared" si="34"/>
        <v>-1.1745238087554244</v>
      </c>
      <c r="V52" s="159">
        <f t="shared" si="35"/>
        <v>2.1745238087554242</v>
      </c>
    </row>
    <row r="53" spans="1:22" hidden="1" x14ac:dyDescent="0.3">
      <c r="A53" s="7">
        <f>'WCLA Consolidated MTEF Budget'!A53</f>
        <v>8247.6726666666709</v>
      </c>
      <c r="B53" s="7">
        <f t="shared" si="29"/>
        <v>5685.9926470962719</v>
      </c>
      <c r="C53" s="7"/>
      <c r="D53" s="7"/>
      <c r="E53" s="7"/>
      <c r="F53" s="7"/>
      <c r="G53" s="7"/>
      <c r="H53" s="7">
        <f t="shared" si="30"/>
        <v>-2561.6800195703991</v>
      </c>
      <c r="I53" s="159">
        <f t="shared" si="31"/>
        <v>-0.45052468030865295</v>
      </c>
      <c r="J53" s="159">
        <f t="shared" si="32"/>
        <v>1.4505246803086529</v>
      </c>
      <c r="K53" s="13" t="s">
        <v>120</v>
      </c>
      <c r="L53" s="110">
        <v>7</v>
      </c>
      <c r="M53" s="7">
        <f>'WCLA Consolidated MTEF Budget'!N53</f>
        <v>89222.702666666708</v>
      </c>
      <c r="N53" s="7">
        <v>68231.911765155266</v>
      </c>
      <c r="O53" s="7"/>
      <c r="P53" s="7"/>
      <c r="Q53" s="7"/>
      <c r="R53" s="7"/>
      <c r="S53" s="7"/>
      <c r="T53" s="7">
        <f t="shared" si="33"/>
        <v>-20990.790901511442</v>
      </c>
      <c r="U53" s="159">
        <f t="shared" si="34"/>
        <v>-0.30763890910398084</v>
      </c>
      <c r="V53" s="159">
        <f t="shared" si="35"/>
        <v>1.3076389091039808</v>
      </c>
    </row>
    <row r="54" spans="1:22" hidden="1" x14ac:dyDescent="0.3">
      <c r="A54" s="7">
        <f>'WCLA Consolidated MTEF Budget'!A54</f>
        <v>0</v>
      </c>
      <c r="B54" s="7">
        <f t="shared" si="29"/>
        <v>0</v>
      </c>
      <c r="C54" s="7"/>
      <c r="D54" s="7"/>
      <c r="E54" s="7"/>
      <c r="F54" s="7"/>
      <c r="G54" s="7"/>
      <c r="H54" s="7">
        <f t="shared" si="30"/>
        <v>0</v>
      </c>
      <c r="I54" s="159">
        <f t="shared" si="31"/>
        <v>0</v>
      </c>
      <c r="J54" s="159">
        <f t="shared" si="32"/>
        <v>0</v>
      </c>
      <c r="K54" s="13" t="s">
        <v>121</v>
      </c>
      <c r="L54" s="110">
        <v>6</v>
      </c>
      <c r="M54" s="7">
        <f>'WCLA Consolidated MTEF Budget'!N54</f>
        <v>0</v>
      </c>
      <c r="N54" s="7">
        <v>0</v>
      </c>
      <c r="O54" s="7"/>
      <c r="P54" s="7"/>
      <c r="Q54" s="7"/>
      <c r="R54" s="7"/>
      <c r="S54" s="7"/>
      <c r="T54" s="7">
        <f t="shared" si="33"/>
        <v>0</v>
      </c>
      <c r="U54" s="159">
        <f t="shared" si="34"/>
        <v>0</v>
      </c>
      <c r="V54" s="159">
        <f t="shared" si="35"/>
        <v>0</v>
      </c>
    </row>
    <row r="55" spans="1:22" hidden="1" x14ac:dyDescent="0.3">
      <c r="A55" s="7">
        <f>'WCLA Consolidated MTEF Budget'!A55</f>
        <v>3265.1194214666671</v>
      </c>
      <c r="B55" s="7">
        <f t="shared" si="29"/>
        <v>4319.4632173</v>
      </c>
      <c r="C55" s="7"/>
      <c r="D55" s="7"/>
      <c r="E55" s="7"/>
      <c r="F55" s="7"/>
      <c r="G55" s="7"/>
      <c r="H55" s="7">
        <f t="shared" si="30"/>
        <v>1054.3437958333329</v>
      </c>
      <c r="I55" s="159">
        <f t="shared" si="31"/>
        <v>0.24409139348855938</v>
      </c>
      <c r="J55" s="159">
        <f t="shared" si="32"/>
        <v>0.75590860651144065</v>
      </c>
      <c r="K55" s="155" t="s">
        <v>122</v>
      </c>
      <c r="L55" s="110" t="s">
        <v>103</v>
      </c>
      <c r="M55" s="7">
        <f>'WCLA Consolidated MTEF Budget'!N55</f>
        <v>40301.017763831485</v>
      </c>
      <c r="N55" s="7">
        <v>51833.558607600004</v>
      </c>
      <c r="O55" s="7"/>
      <c r="P55" s="7"/>
      <c r="Q55" s="7"/>
      <c r="R55" s="7"/>
      <c r="S55" s="7"/>
      <c r="T55" s="7">
        <f t="shared" si="33"/>
        <v>11532.540843768518</v>
      </c>
      <c r="U55" s="159">
        <f t="shared" si="34"/>
        <v>0.22249178241984682</v>
      </c>
      <c r="V55" s="159">
        <f t="shared" si="35"/>
        <v>0.7775082175801532</v>
      </c>
    </row>
    <row r="56" spans="1:22" hidden="1" x14ac:dyDescent="0.3">
      <c r="A56" s="7">
        <f>'WCLA Consolidated MTEF Budget'!A56</f>
        <v>8.0111324981165429E-14</v>
      </c>
      <c r="B56" s="7">
        <f t="shared" si="29"/>
        <v>8.0111324981165429E-14</v>
      </c>
      <c r="C56" s="7"/>
      <c r="D56" s="7"/>
      <c r="E56" s="7"/>
      <c r="F56" s="7"/>
      <c r="G56" s="7"/>
      <c r="H56" s="7">
        <f t="shared" si="30"/>
        <v>0</v>
      </c>
      <c r="I56" s="159">
        <f t="shared" si="31"/>
        <v>0</v>
      </c>
      <c r="J56" s="159">
        <f t="shared" si="32"/>
        <v>1</v>
      </c>
      <c r="K56" s="13" t="s">
        <v>123</v>
      </c>
      <c r="L56" s="110"/>
      <c r="M56" s="7">
        <f>'WCLA Consolidated MTEF Budget'!N56</f>
        <v>8.0111324981165411E-13</v>
      </c>
      <c r="N56" s="7">
        <v>9.6133589977398509E-13</v>
      </c>
      <c r="O56" s="7"/>
      <c r="P56" s="7"/>
      <c r="Q56" s="7"/>
      <c r="R56" s="7"/>
      <c r="S56" s="7"/>
      <c r="T56" s="7">
        <f t="shared" si="33"/>
        <v>1.6022264996233098E-13</v>
      </c>
      <c r="U56" s="159">
        <f t="shared" si="34"/>
        <v>0.1666666666666668</v>
      </c>
      <c r="V56" s="159">
        <f t="shared" si="35"/>
        <v>0.83333333333333315</v>
      </c>
    </row>
    <row r="57" spans="1:22" hidden="1" x14ac:dyDescent="0.3">
      <c r="A57" s="7">
        <f>'WCLA Consolidated MTEF Budget'!A57</f>
        <v>8663.8160000000007</v>
      </c>
      <c r="B57" s="7">
        <f t="shared" si="29"/>
        <v>7500</v>
      </c>
      <c r="C57" s="7"/>
      <c r="D57" s="7"/>
      <c r="E57" s="7"/>
      <c r="F57" s="7"/>
      <c r="G57" s="7"/>
      <c r="H57" s="7">
        <f t="shared" si="30"/>
        <v>-1163.8160000000007</v>
      </c>
      <c r="I57" s="159">
        <f t="shared" si="31"/>
        <v>-0.15517546666666676</v>
      </c>
      <c r="J57" s="159">
        <f t="shared" si="32"/>
        <v>1.1551754666666667</v>
      </c>
      <c r="K57" s="13" t="s">
        <v>124</v>
      </c>
      <c r="L57" s="110">
        <v>1</v>
      </c>
      <c r="M57" s="7">
        <f>'WCLA Consolidated MTEF Budget'!N57</f>
        <v>86638.160000000018</v>
      </c>
      <c r="N57" s="7">
        <v>90000</v>
      </c>
      <c r="O57" s="7"/>
      <c r="P57" s="7"/>
      <c r="Q57" s="7"/>
      <c r="R57" s="7"/>
      <c r="S57" s="7"/>
      <c r="T57" s="7">
        <f t="shared" si="33"/>
        <v>3361.839999999982</v>
      </c>
      <c r="U57" s="159">
        <f t="shared" si="34"/>
        <v>3.7353777777777576E-2</v>
      </c>
      <c r="V57" s="159">
        <f t="shared" si="35"/>
        <v>0.9626462222222224</v>
      </c>
    </row>
    <row r="58" spans="1:22" hidden="1" x14ac:dyDescent="0.3">
      <c r="A58" s="7">
        <f>'WCLA Consolidated MTEF Budget'!A58</f>
        <v>12692.153333333334</v>
      </c>
      <c r="B58" s="7">
        <f t="shared" si="29"/>
        <v>8447.3203263636369</v>
      </c>
      <c r="C58" s="7"/>
      <c r="D58" s="7"/>
      <c r="E58" s="7"/>
      <c r="F58" s="7"/>
      <c r="G58" s="7"/>
      <c r="H58" s="7">
        <f t="shared" si="30"/>
        <v>-4244.8330069696967</v>
      </c>
      <c r="I58" s="159">
        <f t="shared" si="31"/>
        <v>-0.50250645683718176</v>
      </c>
      <c r="J58" s="159">
        <f t="shared" si="32"/>
        <v>1.5025064568371818</v>
      </c>
      <c r="K58" s="13" t="s">
        <v>125</v>
      </c>
      <c r="L58" s="110" t="s">
        <v>103</v>
      </c>
      <c r="M58" s="7">
        <f>'WCLA Consolidated MTEF Budget'!N58</f>
        <v>128968.69333333336</v>
      </c>
      <c r="N58" s="7">
        <v>101367.84391636364</v>
      </c>
      <c r="O58" s="7"/>
      <c r="P58" s="7"/>
      <c r="Q58" s="7"/>
      <c r="R58" s="7"/>
      <c r="S58" s="7"/>
      <c r="T58" s="7">
        <f t="shared" si="33"/>
        <v>-27600.849416969722</v>
      </c>
      <c r="U58" s="159">
        <f t="shared" si="34"/>
        <v>-0.2722840730413737</v>
      </c>
      <c r="V58" s="159">
        <f t="shared" si="35"/>
        <v>1.2722840730413736</v>
      </c>
    </row>
    <row r="59" spans="1:22" hidden="1" x14ac:dyDescent="0.3">
      <c r="A59" s="7">
        <f>'WCLA Consolidated MTEF Budget'!A59</f>
        <v>0</v>
      </c>
      <c r="B59" s="7">
        <f t="shared" si="29"/>
        <v>683.13374999999996</v>
      </c>
      <c r="C59" s="7"/>
      <c r="D59" s="7"/>
      <c r="E59" s="7"/>
      <c r="F59" s="7"/>
      <c r="G59" s="7"/>
      <c r="H59" s="7">
        <f t="shared" si="30"/>
        <v>683.13374999999996</v>
      </c>
      <c r="I59" s="159">
        <f t="shared" si="31"/>
        <v>1</v>
      </c>
      <c r="J59" s="159">
        <f t="shared" si="32"/>
        <v>0</v>
      </c>
      <c r="K59" s="13" t="s">
        <v>126</v>
      </c>
      <c r="L59" s="110" t="s">
        <v>127</v>
      </c>
      <c r="M59" s="7">
        <f>'WCLA Consolidated MTEF Budget'!N59</f>
        <v>0</v>
      </c>
      <c r="N59" s="7">
        <v>8197.6049999999996</v>
      </c>
      <c r="O59" s="7"/>
      <c r="P59" s="7"/>
      <c r="Q59" s="7"/>
      <c r="R59" s="7"/>
      <c r="S59" s="7"/>
      <c r="T59" s="7">
        <f t="shared" si="33"/>
        <v>8197.6049999999996</v>
      </c>
      <c r="U59" s="159">
        <f t="shared" si="34"/>
        <v>1</v>
      </c>
      <c r="V59" s="159">
        <f t="shared" si="35"/>
        <v>0</v>
      </c>
    </row>
    <row r="60" spans="1:22" hidden="1" x14ac:dyDescent="0.3">
      <c r="A60" s="7">
        <f>'WCLA Consolidated MTEF Budget'!A60</f>
        <v>3406</v>
      </c>
      <c r="B60" s="7">
        <f t="shared" si="29"/>
        <v>3250</v>
      </c>
      <c r="C60" s="7"/>
      <c r="D60" s="7"/>
      <c r="E60" s="7"/>
      <c r="F60" s="7"/>
      <c r="G60" s="7"/>
      <c r="H60" s="7">
        <f t="shared" si="30"/>
        <v>-156</v>
      </c>
      <c r="I60" s="159">
        <f t="shared" si="31"/>
        <v>-4.8000000000000001E-2</v>
      </c>
      <c r="J60" s="159">
        <f t="shared" si="32"/>
        <v>1.048</v>
      </c>
      <c r="K60" s="13" t="s">
        <v>128</v>
      </c>
      <c r="L60" s="113">
        <v>5</v>
      </c>
      <c r="M60" s="7">
        <f>'WCLA Consolidated MTEF Budget'!N60</f>
        <v>34060</v>
      </c>
      <c r="N60" s="7">
        <v>39000</v>
      </c>
      <c r="O60" s="7"/>
      <c r="P60" s="7"/>
      <c r="Q60" s="7"/>
      <c r="R60" s="7"/>
      <c r="S60" s="7"/>
      <c r="T60" s="7">
        <f t="shared" si="33"/>
        <v>4940</v>
      </c>
      <c r="U60" s="159">
        <f t="shared" si="34"/>
        <v>0.12666666666666668</v>
      </c>
      <c r="V60" s="159">
        <f t="shared" si="35"/>
        <v>0.87333333333333329</v>
      </c>
    </row>
    <row r="61" spans="1:22" hidden="1" x14ac:dyDescent="0.3">
      <c r="A61" s="7">
        <f>'WCLA Consolidated MTEF Budget'!A61</f>
        <v>9720.2000000000007</v>
      </c>
      <c r="B61" s="7">
        <f t="shared" si="29"/>
        <v>9275.1749999999993</v>
      </c>
      <c r="C61" s="7"/>
      <c r="D61" s="7"/>
      <c r="E61" s="7"/>
      <c r="F61" s="7"/>
      <c r="G61" s="7"/>
      <c r="H61" s="7">
        <f t="shared" si="30"/>
        <v>-445.02500000000146</v>
      </c>
      <c r="I61" s="159">
        <f t="shared" si="31"/>
        <v>-4.7980226788173971E-2</v>
      </c>
      <c r="J61" s="159">
        <f t="shared" si="32"/>
        <v>1.0479802267881739</v>
      </c>
      <c r="K61" s="13" t="s">
        <v>129</v>
      </c>
      <c r="L61" s="113"/>
      <c r="M61" s="7">
        <f>'WCLA Consolidated MTEF Budget'!N61</f>
        <v>97201.999999999985</v>
      </c>
      <c r="N61" s="7">
        <v>111302.09999999999</v>
      </c>
      <c r="O61" s="7"/>
      <c r="P61" s="7"/>
      <c r="Q61" s="7"/>
      <c r="R61" s="7"/>
      <c r="S61" s="7"/>
      <c r="T61" s="7">
        <f t="shared" si="33"/>
        <v>14100.100000000006</v>
      </c>
      <c r="U61" s="159">
        <f t="shared" si="34"/>
        <v>0.12668314434318856</v>
      </c>
      <c r="V61" s="159">
        <f t="shared" si="35"/>
        <v>0.8733168556568115</v>
      </c>
    </row>
    <row r="62" spans="1:22" hidden="1" x14ac:dyDescent="0.3">
      <c r="A62" s="7">
        <f>'WCLA Consolidated MTEF Budget'!A62</f>
        <v>5335.4204</v>
      </c>
      <c r="B62" s="7">
        <f t="shared" si="29"/>
        <v>0</v>
      </c>
      <c r="C62" s="7"/>
      <c r="D62" s="7"/>
      <c r="E62" s="7"/>
      <c r="F62" s="7"/>
      <c r="G62" s="7"/>
      <c r="H62" s="7">
        <f t="shared" si="30"/>
        <v>-5335.4204</v>
      </c>
      <c r="I62" s="159">
        <f t="shared" si="31"/>
        <v>0</v>
      </c>
      <c r="J62" s="159">
        <f t="shared" si="32"/>
        <v>0</v>
      </c>
      <c r="K62" s="155" t="s">
        <v>130</v>
      </c>
      <c r="L62" s="113"/>
      <c r="M62" s="7">
        <f>'WCLA Consolidated MTEF Budget'!N62</f>
        <v>98628.511495368002</v>
      </c>
      <c r="N62" s="7">
        <v>0</v>
      </c>
      <c r="O62" s="7"/>
      <c r="P62" s="7"/>
      <c r="Q62" s="7"/>
      <c r="R62" s="7"/>
      <c r="S62" s="7"/>
      <c r="T62" s="7">
        <f t="shared" si="33"/>
        <v>-98628.511495368002</v>
      </c>
      <c r="U62" s="159">
        <f t="shared" si="34"/>
        <v>0</v>
      </c>
      <c r="V62" s="159">
        <f t="shared" si="35"/>
        <v>0</v>
      </c>
    </row>
    <row r="63" spans="1:22" hidden="1" x14ac:dyDescent="0.3">
      <c r="A63" s="11">
        <f>'WCLA Consolidated MTEF Budget'!A63</f>
        <v>13189.08</v>
      </c>
      <c r="B63" s="11">
        <f t="shared" si="29"/>
        <v>21915.466852499998</v>
      </c>
      <c r="C63" s="11"/>
      <c r="D63" s="11"/>
      <c r="E63" s="11"/>
      <c r="F63" s="11"/>
      <c r="G63" s="11"/>
      <c r="H63" s="11">
        <f t="shared" si="30"/>
        <v>8726.386852499998</v>
      </c>
      <c r="I63" s="160">
        <f t="shared" si="31"/>
        <v>0.39818393608642377</v>
      </c>
      <c r="J63" s="160">
        <f t="shared" si="32"/>
        <v>0.60181606391357623</v>
      </c>
      <c r="K63" s="155" t="s">
        <v>131</v>
      </c>
      <c r="L63" s="110" t="s">
        <v>103</v>
      </c>
      <c r="M63" s="11">
        <f>'WCLA Consolidated MTEF Budget'!N63</f>
        <v>131890.79999999999</v>
      </c>
      <c r="N63" s="11">
        <v>262985.60222999996</v>
      </c>
      <c r="O63" s="11"/>
      <c r="P63" s="11"/>
      <c r="Q63" s="11"/>
      <c r="R63" s="11"/>
      <c r="S63" s="11"/>
      <c r="T63" s="11">
        <f t="shared" si="33"/>
        <v>131094.80222999997</v>
      </c>
      <c r="U63" s="160">
        <f t="shared" si="34"/>
        <v>0.49848661340535316</v>
      </c>
      <c r="V63" s="160">
        <f t="shared" si="35"/>
        <v>0.50151338659464684</v>
      </c>
    </row>
    <row r="64" spans="1:22" ht="4.95" customHeight="1" thickBot="1" x14ac:dyDescent="0.35">
      <c r="A64" s="91"/>
      <c r="B64" s="91"/>
      <c r="C64" s="91"/>
      <c r="D64" s="91"/>
      <c r="E64" s="91"/>
      <c r="F64" s="91"/>
      <c r="G64" s="91"/>
      <c r="H64" s="91"/>
      <c r="I64" s="92"/>
      <c r="J64" s="92"/>
      <c r="K64" s="13"/>
      <c r="L64" s="110"/>
      <c r="M64" s="90"/>
      <c r="N64" s="90"/>
      <c r="O64" s="91"/>
      <c r="P64" s="91"/>
      <c r="Q64" s="91"/>
      <c r="R64" s="91"/>
      <c r="S64" s="91"/>
      <c r="T64" s="92"/>
      <c r="U64" s="163"/>
      <c r="V64" s="163"/>
    </row>
    <row r="65" spans="1:22" x14ac:dyDescent="0.3">
      <c r="A65" s="4">
        <f>SUM(A48:A63)</f>
        <v>72338.589821466681</v>
      </c>
      <c r="B65" s="4">
        <f>SUM(B48:B63)</f>
        <v>66721.145936544155</v>
      </c>
      <c r="C65" s="4"/>
      <c r="D65" s="4"/>
      <c r="E65" s="4"/>
      <c r="F65" s="4"/>
      <c r="G65" s="4"/>
      <c r="H65" s="4">
        <f>B65-A65</f>
        <v>-5617.4438849225262</v>
      </c>
      <c r="I65" s="162">
        <f t="shared" ref="I65" si="36">IFERROR(H65/B65,)</f>
        <v>-8.4192856793332882E-2</v>
      </c>
      <c r="J65" s="162">
        <f>IFERROR(A65/B65,)</f>
        <v>1.084192856793333</v>
      </c>
      <c r="K65" s="13" t="s">
        <v>132</v>
      </c>
      <c r="L65" s="111"/>
      <c r="M65" s="4">
        <f>SUM(M48:M63)</f>
        <v>802644.58925919957</v>
      </c>
      <c r="N65" s="4">
        <f>SUM(N48:N63)</f>
        <v>800653.75123852969</v>
      </c>
      <c r="O65" s="4"/>
      <c r="P65" s="4"/>
      <c r="Q65" s="4"/>
      <c r="R65" s="4"/>
      <c r="S65" s="4"/>
      <c r="T65" s="4">
        <f>N65-M65</f>
        <v>-1990.8380206698785</v>
      </c>
      <c r="U65" s="162">
        <f t="shared" ref="U65" si="37">IFERROR(T65/N65,)</f>
        <v>-2.4865155725433811E-3</v>
      </c>
      <c r="V65" s="162">
        <f>IFERROR(M65/N65,)</f>
        <v>1.0024865155725433</v>
      </c>
    </row>
    <row r="66" spans="1:22" ht="6" hidden="1" customHeight="1" x14ac:dyDescent="0.3">
      <c r="A66" s="87"/>
      <c r="B66" s="87"/>
      <c r="C66" s="86"/>
      <c r="D66" s="86"/>
      <c r="E66" s="86"/>
      <c r="F66" s="87"/>
      <c r="G66" s="87"/>
      <c r="H66" s="87"/>
      <c r="I66" s="84"/>
      <c r="J66" s="84"/>
      <c r="K66" s="80"/>
      <c r="L66" s="110"/>
      <c r="M66" s="82"/>
      <c r="N66" s="82"/>
      <c r="O66" s="86"/>
      <c r="P66" s="86"/>
      <c r="Q66" s="86"/>
      <c r="R66" s="87"/>
      <c r="S66" s="87"/>
      <c r="T66" s="84"/>
      <c r="U66" s="161"/>
      <c r="V66" s="161"/>
    </row>
    <row r="67" spans="1:22" hidden="1" x14ac:dyDescent="0.3">
      <c r="A67" s="8">
        <f>'WCLA Consolidated MTEF Budget'!A67</f>
        <v>0</v>
      </c>
      <c r="B67" s="8">
        <f t="shared" ref="B67:B89" si="38">N67/12</f>
        <v>16666.666666666668</v>
      </c>
      <c r="C67" s="8"/>
      <c r="D67" s="8"/>
      <c r="E67" s="8"/>
      <c r="F67" s="8"/>
      <c r="G67" s="8"/>
      <c r="H67" s="8">
        <f t="shared" ref="H67:H89" si="39">B67-A67</f>
        <v>16666.666666666668</v>
      </c>
      <c r="I67" s="158">
        <f t="shared" ref="I67:I89" si="40">IFERROR(H67/B67,)</f>
        <v>1</v>
      </c>
      <c r="J67" s="158">
        <f t="shared" ref="J67:J89" si="41">IFERROR(A67/B67,)</f>
        <v>0</v>
      </c>
      <c r="K67" s="155" t="s">
        <v>133</v>
      </c>
      <c r="L67" s="110">
        <v>1</v>
      </c>
      <c r="M67" s="8">
        <f>'WCLA Consolidated MTEF Budget'!N67</f>
        <v>209600</v>
      </c>
      <c r="N67" s="8">
        <v>200000</v>
      </c>
      <c r="O67" s="8"/>
      <c r="P67" s="8"/>
      <c r="Q67" s="8"/>
      <c r="R67" s="8"/>
      <c r="S67" s="8"/>
      <c r="T67" s="8">
        <f t="shared" ref="T67:T89" si="42">N67-M67</f>
        <v>-9600</v>
      </c>
      <c r="U67" s="158">
        <f t="shared" ref="U67:U89" si="43">IFERROR(T67/N67,)</f>
        <v>-4.8000000000000001E-2</v>
      </c>
      <c r="V67" s="158">
        <f t="shared" ref="V67:V89" si="44">IFERROR(M67/N67,)</f>
        <v>1.048</v>
      </c>
    </row>
    <row r="68" spans="1:22" hidden="1" x14ac:dyDescent="0.3">
      <c r="A68" s="7">
        <f>'WCLA Consolidated MTEF Budget'!A68</f>
        <v>20954.6897796333</v>
      </c>
      <c r="B68" s="7">
        <f t="shared" si="38"/>
        <v>22573.349662499997</v>
      </c>
      <c r="C68" s="7"/>
      <c r="D68" s="7"/>
      <c r="E68" s="7"/>
      <c r="F68" s="7"/>
      <c r="G68" s="7"/>
      <c r="H68" s="7">
        <f t="shared" si="39"/>
        <v>1618.6598828666974</v>
      </c>
      <c r="I68" s="159">
        <f t="shared" si="40"/>
        <v>7.1706676548571699E-2</v>
      </c>
      <c r="J68" s="159">
        <f t="shared" si="41"/>
        <v>0.92829332345142834</v>
      </c>
      <c r="K68" s="13" t="s">
        <v>134</v>
      </c>
      <c r="L68" s="110">
        <v>7</v>
      </c>
      <c r="M68" s="7">
        <f>'WCLA Consolidated MTEF Budget'!N68</f>
        <v>209546.89779633304</v>
      </c>
      <c r="N68" s="7">
        <v>270880.19594999996</v>
      </c>
      <c r="O68" s="7"/>
      <c r="P68" s="7"/>
      <c r="Q68" s="7"/>
      <c r="R68" s="7"/>
      <c r="S68" s="7"/>
      <c r="T68" s="7">
        <f t="shared" si="42"/>
        <v>61333.298153666925</v>
      </c>
      <c r="U68" s="159">
        <f t="shared" si="43"/>
        <v>0.22642223045714291</v>
      </c>
      <c r="V68" s="159">
        <f t="shared" si="44"/>
        <v>0.77357776954285706</v>
      </c>
    </row>
    <row r="69" spans="1:22" hidden="1" x14ac:dyDescent="0.3">
      <c r="A69" s="7">
        <f>'WCLA Consolidated MTEF Budget'!A69</f>
        <v>3492.9839999999999</v>
      </c>
      <c r="B69" s="7">
        <f t="shared" si="38"/>
        <v>16666.666666666668</v>
      </c>
      <c r="C69" s="7"/>
      <c r="D69" s="7"/>
      <c r="E69" s="7"/>
      <c r="F69" s="7"/>
      <c r="G69" s="7"/>
      <c r="H69" s="7">
        <f t="shared" si="39"/>
        <v>13173.682666666668</v>
      </c>
      <c r="I69" s="159">
        <f t="shared" si="40"/>
        <v>0.79042095999999995</v>
      </c>
      <c r="J69" s="159">
        <f t="shared" si="41"/>
        <v>0.20957903999999997</v>
      </c>
      <c r="K69" s="13" t="s">
        <v>135</v>
      </c>
      <c r="L69" s="110">
        <v>7</v>
      </c>
      <c r="M69" s="7">
        <f>'WCLA Consolidated MTEF Budget'!N69</f>
        <v>244533.83999999997</v>
      </c>
      <c r="N69" s="7">
        <v>200000</v>
      </c>
      <c r="O69" s="7"/>
      <c r="P69" s="7"/>
      <c r="Q69" s="7"/>
      <c r="R69" s="7"/>
      <c r="S69" s="7"/>
      <c r="T69" s="7">
        <f t="shared" si="42"/>
        <v>-44533.839999999967</v>
      </c>
      <c r="U69" s="159">
        <f t="shared" si="43"/>
        <v>-0.22266919999999985</v>
      </c>
      <c r="V69" s="159">
        <f t="shared" si="44"/>
        <v>1.2226691999999999</v>
      </c>
    </row>
    <row r="70" spans="1:22" hidden="1" x14ac:dyDescent="0.3">
      <c r="A70" s="7">
        <f>'WCLA Consolidated MTEF Budget'!A70</f>
        <v>0</v>
      </c>
      <c r="B70" s="7">
        <f t="shared" si="38"/>
        <v>0</v>
      </c>
      <c r="C70" s="7"/>
      <c r="D70" s="7"/>
      <c r="E70" s="7"/>
      <c r="F70" s="7"/>
      <c r="G70" s="7"/>
      <c r="H70" s="7">
        <f t="shared" si="39"/>
        <v>0</v>
      </c>
      <c r="I70" s="159">
        <f t="shared" si="40"/>
        <v>0</v>
      </c>
      <c r="J70" s="159">
        <f t="shared" si="41"/>
        <v>0</v>
      </c>
      <c r="K70" s="13" t="s">
        <v>136</v>
      </c>
      <c r="L70" s="110">
        <v>7</v>
      </c>
      <c r="M70" s="7">
        <f>'WCLA Consolidated MTEF Budget'!N70</f>
        <v>0</v>
      </c>
      <c r="N70" s="7">
        <v>0</v>
      </c>
      <c r="O70" s="7"/>
      <c r="P70" s="7"/>
      <c r="Q70" s="7"/>
      <c r="R70" s="7"/>
      <c r="S70" s="7"/>
      <c r="T70" s="7">
        <f t="shared" si="42"/>
        <v>0</v>
      </c>
      <c r="U70" s="159">
        <f t="shared" si="43"/>
        <v>0</v>
      </c>
      <c r="V70" s="159">
        <f t="shared" si="44"/>
        <v>0</v>
      </c>
    </row>
    <row r="71" spans="1:22" hidden="1" x14ac:dyDescent="0.3">
      <c r="A71" s="7">
        <f>'WCLA Consolidated MTEF Budget'!A71</f>
        <v>108537.92466666667</v>
      </c>
      <c r="B71" s="7">
        <f t="shared" si="38"/>
        <v>93660.995405250011</v>
      </c>
      <c r="C71" s="7"/>
      <c r="D71" s="7"/>
      <c r="E71" s="7"/>
      <c r="F71" s="7"/>
      <c r="G71" s="7"/>
      <c r="H71" s="7">
        <f t="shared" si="39"/>
        <v>-14876.929261416662</v>
      </c>
      <c r="I71" s="159">
        <f t="shared" si="40"/>
        <v>-0.15883804348915515</v>
      </c>
      <c r="J71" s="159">
        <f t="shared" si="41"/>
        <v>1.1588380434891552</v>
      </c>
      <c r="K71" s="13" t="s">
        <v>137</v>
      </c>
      <c r="L71" s="110">
        <v>7</v>
      </c>
      <c r="M71" s="7">
        <f>'WCLA Consolidated MTEF Budget'!N71</f>
        <v>1085379.2466666668</v>
      </c>
      <c r="N71" s="7">
        <v>1123931.9448630002</v>
      </c>
      <c r="O71" s="7"/>
      <c r="P71" s="7"/>
      <c r="Q71" s="7"/>
      <c r="R71" s="7"/>
      <c r="S71" s="7"/>
      <c r="T71" s="7">
        <f t="shared" si="42"/>
        <v>38552.698196333367</v>
      </c>
      <c r="U71" s="159">
        <f t="shared" si="43"/>
        <v>3.4301630425704006E-2</v>
      </c>
      <c r="V71" s="159">
        <f t="shared" si="44"/>
        <v>0.965698369574296</v>
      </c>
    </row>
    <row r="72" spans="1:22" hidden="1" x14ac:dyDescent="0.3">
      <c r="A72" s="7">
        <f>'WCLA Consolidated MTEF Budget'!A72</f>
        <v>2380.0080000000003</v>
      </c>
      <c r="B72" s="7">
        <f t="shared" si="38"/>
        <v>0</v>
      </c>
      <c r="C72" s="7"/>
      <c r="D72" s="7"/>
      <c r="E72" s="7"/>
      <c r="F72" s="7"/>
      <c r="G72" s="7"/>
      <c r="H72" s="7">
        <f t="shared" si="39"/>
        <v>-2380.0080000000003</v>
      </c>
      <c r="I72" s="159">
        <f t="shared" si="40"/>
        <v>0</v>
      </c>
      <c r="J72" s="159">
        <f t="shared" si="41"/>
        <v>0</v>
      </c>
      <c r="K72" s="13" t="s">
        <v>138</v>
      </c>
      <c r="L72" s="110">
        <v>2</v>
      </c>
      <c r="M72" s="7">
        <f>'WCLA Consolidated MTEF Budget'!N72</f>
        <v>23800.080000000005</v>
      </c>
      <c r="N72" s="7">
        <v>0</v>
      </c>
      <c r="O72" s="7"/>
      <c r="P72" s="7"/>
      <c r="Q72" s="7"/>
      <c r="R72" s="7"/>
      <c r="S72" s="7"/>
      <c r="T72" s="7">
        <f t="shared" si="42"/>
        <v>-23800.080000000005</v>
      </c>
      <c r="U72" s="159">
        <f t="shared" si="43"/>
        <v>0</v>
      </c>
      <c r="V72" s="159">
        <f t="shared" si="44"/>
        <v>0</v>
      </c>
    </row>
    <row r="73" spans="1:22" hidden="1" x14ac:dyDescent="0.3">
      <c r="A73" s="7">
        <f>'WCLA Consolidated MTEF Budget'!A73</f>
        <v>0</v>
      </c>
      <c r="B73" s="7">
        <f t="shared" si="38"/>
        <v>0</v>
      </c>
      <c r="C73" s="7"/>
      <c r="D73" s="7"/>
      <c r="E73" s="7"/>
      <c r="F73" s="7"/>
      <c r="G73" s="7"/>
      <c r="H73" s="7">
        <f t="shared" si="39"/>
        <v>0</v>
      </c>
      <c r="I73" s="159">
        <f t="shared" si="40"/>
        <v>0</v>
      </c>
      <c r="J73" s="159">
        <f t="shared" si="41"/>
        <v>0</v>
      </c>
      <c r="K73" s="13" t="s">
        <v>123</v>
      </c>
      <c r="L73" s="110">
        <v>6</v>
      </c>
      <c r="M73" s="7">
        <f>'WCLA Consolidated MTEF Budget'!N73</f>
        <v>0</v>
      </c>
      <c r="N73" s="7">
        <v>0</v>
      </c>
      <c r="O73" s="7"/>
      <c r="P73" s="7"/>
      <c r="Q73" s="7"/>
      <c r="R73" s="7"/>
      <c r="S73" s="7"/>
      <c r="T73" s="7">
        <f t="shared" si="42"/>
        <v>0</v>
      </c>
      <c r="U73" s="159">
        <f t="shared" si="43"/>
        <v>0</v>
      </c>
      <c r="V73" s="159">
        <f t="shared" si="44"/>
        <v>0</v>
      </c>
    </row>
    <row r="74" spans="1:22" hidden="1" x14ac:dyDescent="0.3">
      <c r="A74" s="7">
        <f>'WCLA Consolidated MTEF Budget'!A74</f>
        <v>293473.53600000002</v>
      </c>
      <c r="B74" s="7">
        <f t="shared" si="38"/>
        <v>288555.5691358333</v>
      </c>
      <c r="C74" s="7"/>
      <c r="D74" s="7"/>
      <c r="E74" s="7"/>
      <c r="F74" s="7"/>
      <c r="G74" s="7"/>
      <c r="H74" s="7">
        <f t="shared" si="39"/>
        <v>-4917.9668641667231</v>
      </c>
      <c r="I74" s="159">
        <f t="shared" si="40"/>
        <v>-1.7043396108746257E-2</v>
      </c>
      <c r="J74" s="159">
        <f t="shared" si="41"/>
        <v>1.0170433961087462</v>
      </c>
      <c r="K74" s="155" t="s">
        <v>139</v>
      </c>
      <c r="L74" s="110">
        <v>2</v>
      </c>
      <c r="M74" s="7">
        <f>'WCLA Consolidated MTEF Budget'!N74</f>
        <v>2934735.36</v>
      </c>
      <c r="N74" s="7">
        <v>3462666.8296299996</v>
      </c>
      <c r="O74" s="7"/>
      <c r="P74" s="7"/>
      <c r="Q74" s="7"/>
      <c r="R74" s="7"/>
      <c r="S74" s="7"/>
      <c r="T74" s="7">
        <f t="shared" si="42"/>
        <v>527931.46962999972</v>
      </c>
      <c r="U74" s="159">
        <f t="shared" si="43"/>
        <v>0.1524638365760449</v>
      </c>
      <c r="V74" s="159">
        <f t="shared" si="44"/>
        <v>0.8475361634239551</v>
      </c>
    </row>
    <row r="75" spans="1:22" hidden="1" x14ac:dyDescent="0.3">
      <c r="A75" s="7">
        <f>'WCLA Consolidated MTEF Budget'!A75</f>
        <v>12241.688</v>
      </c>
      <c r="B75" s="7">
        <f t="shared" si="38"/>
        <v>22760.676666666666</v>
      </c>
      <c r="C75" s="7"/>
      <c r="D75" s="7"/>
      <c r="E75" s="7"/>
      <c r="F75" s="7"/>
      <c r="G75" s="7"/>
      <c r="H75" s="7">
        <f t="shared" si="39"/>
        <v>10518.988666666666</v>
      </c>
      <c r="I75" s="159">
        <f t="shared" si="40"/>
        <v>0.46215623642120773</v>
      </c>
      <c r="J75" s="159">
        <f t="shared" si="41"/>
        <v>0.53784376357879227</v>
      </c>
      <c r="K75" s="13" t="s">
        <v>140</v>
      </c>
      <c r="L75" s="110">
        <v>2</v>
      </c>
      <c r="M75" s="7">
        <f>'WCLA Consolidated MTEF Budget'!N75</f>
        <v>122416.87999999998</v>
      </c>
      <c r="N75" s="7">
        <v>273128.12</v>
      </c>
      <c r="O75" s="7"/>
      <c r="P75" s="7"/>
      <c r="Q75" s="7"/>
      <c r="R75" s="7"/>
      <c r="S75" s="7"/>
      <c r="T75" s="7">
        <f t="shared" si="42"/>
        <v>150711.24000000002</v>
      </c>
      <c r="U75" s="159">
        <f t="shared" si="43"/>
        <v>0.55179686368433989</v>
      </c>
      <c r="V75" s="159">
        <f t="shared" si="44"/>
        <v>0.44820313631566011</v>
      </c>
    </row>
    <row r="76" spans="1:22" hidden="1" x14ac:dyDescent="0.3">
      <c r="A76" s="7">
        <f>'WCLA Consolidated MTEF Budget'!A76</f>
        <v>2356.9520000000002</v>
      </c>
      <c r="B76" s="7">
        <f t="shared" si="38"/>
        <v>1105.3867499999999</v>
      </c>
      <c r="C76" s="7"/>
      <c r="D76" s="7"/>
      <c r="E76" s="7"/>
      <c r="F76" s="7"/>
      <c r="G76" s="7"/>
      <c r="H76" s="7">
        <f t="shared" si="39"/>
        <v>-1251.5652500000003</v>
      </c>
      <c r="I76" s="159">
        <f t="shared" si="40"/>
        <v>-1.1322419506114041</v>
      </c>
      <c r="J76" s="159">
        <f t="shared" si="41"/>
        <v>2.1322419506114039</v>
      </c>
      <c r="K76" s="13" t="s">
        <v>141</v>
      </c>
      <c r="L76" s="110">
        <v>2</v>
      </c>
      <c r="M76" s="7">
        <f>'WCLA Consolidated MTEF Budget'!N76</f>
        <v>23569.520000000008</v>
      </c>
      <c r="N76" s="7">
        <v>13264.641</v>
      </c>
      <c r="O76" s="7"/>
      <c r="P76" s="7"/>
      <c r="Q76" s="7"/>
      <c r="R76" s="7"/>
      <c r="S76" s="7"/>
      <c r="T76" s="7">
        <f t="shared" si="42"/>
        <v>-10304.879000000008</v>
      </c>
      <c r="U76" s="159">
        <f t="shared" si="43"/>
        <v>-0.77686829217617037</v>
      </c>
      <c r="V76" s="159">
        <f t="shared" si="44"/>
        <v>1.7768682921761703</v>
      </c>
    </row>
    <row r="77" spans="1:22" hidden="1" x14ac:dyDescent="0.3">
      <c r="A77" s="7">
        <f>'WCLA Consolidated MTEF Budget'!A77</f>
        <v>0</v>
      </c>
      <c r="B77" s="7">
        <f t="shared" si="38"/>
        <v>0</v>
      </c>
      <c r="C77" s="7"/>
      <c r="D77" s="7"/>
      <c r="E77" s="7"/>
      <c r="F77" s="7"/>
      <c r="G77" s="7"/>
      <c r="H77" s="7">
        <f t="shared" si="39"/>
        <v>0</v>
      </c>
      <c r="I77" s="159">
        <f t="shared" si="40"/>
        <v>0</v>
      </c>
      <c r="J77" s="159">
        <f t="shared" si="41"/>
        <v>0</v>
      </c>
      <c r="K77" s="13" t="s">
        <v>142</v>
      </c>
      <c r="L77" s="110">
        <v>2</v>
      </c>
      <c r="M77" s="7">
        <f>'WCLA Consolidated MTEF Budget'!N77</f>
        <v>0</v>
      </c>
      <c r="N77" s="7">
        <v>0</v>
      </c>
      <c r="O77" s="7"/>
      <c r="P77" s="7"/>
      <c r="Q77" s="7"/>
      <c r="R77" s="7"/>
      <c r="S77" s="7"/>
      <c r="T77" s="7">
        <f t="shared" si="42"/>
        <v>0</v>
      </c>
      <c r="U77" s="159">
        <f t="shared" si="43"/>
        <v>0</v>
      </c>
      <c r="V77" s="159">
        <f t="shared" si="44"/>
        <v>0</v>
      </c>
    </row>
    <row r="78" spans="1:22" hidden="1" x14ac:dyDescent="0.3">
      <c r="A78" s="7">
        <f>'WCLA Consolidated MTEF Budget'!A78</f>
        <v>0</v>
      </c>
      <c r="B78" s="7">
        <f t="shared" si="38"/>
        <v>0</v>
      </c>
      <c r="C78" s="7"/>
      <c r="D78" s="7"/>
      <c r="E78" s="7"/>
      <c r="F78" s="7"/>
      <c r="G78" s="7"/>
      <c r="H78" s="7">
        <f t="shared" si="39"/>
        <v>0</v>
      </c>
      <c r="I78" s="159">
        <f t="shared" si="40"/>
        <v>0</v>
      </c>
      <c r="J78" s="159">
        <f t="shared" si="41"/>
        <v>0</v>
      </c>
      <c r="K78" s="13" t="s">
        <v>143</v>
      </c>
      <c r="L78" s="110">
        <v>2</v>
      </c>
      <c r="M78" s="7">
        <f>'WCLA Consolidated MTEF Budget'!N78</f>
        <v>0</v>
      </c>
      <c r="N78" s="7">
        <v>0</v>
      </c>
      <c r="O78" s="7"/>
      <c r="P78" s="7"/>
      <c r="Q78" s="7"/>
      <c r="R78" s="7"/>
      <c r="S78" s="7"/>
      <c r="T78" s="7">
        <f t="shared" si="42"/>
        <v>0</v>
      </c>
      <c r="U78" s="159">
        <f t="shared" si="43"/>
        <v>0</v>
      </c>
      <c r="V78" s="159">
        <f t="shared" si="44"/>
        <v>0</v>
      </c>
    </row>
    <row r="79" spans="1:22" hidden="1" x14ac:dyDescent="0.3">
      <c r="A79" s="7">
        <f>'WCLA Consolidated MTEF Budget'!A79</f>
        <v>8732.9840000000004</v>
      </c>
      <c r="B79" s="7">
        <f t="shared" si="38"/>
        <v>8333.3333333333339</v>
      </c>
      <c r="C79" s="7"/>
      <c r="D79" s="7"/>
      <c r="E79" s="7"/>
      <c r="F79" s="7"/>
      <c r="G79" s="7"/>
      <c r="H79" s="7">
        <f t="shared" si="39"/>
        <v>-399.65066666666644</v>
      </c>
      <c r="I79" s="159">
        <f t="shared" si="40"/>
        <v>-4.7958079999999972E-2</v>
      </c>
      <c r="J79" s="159">
        <f t="shared" si="41"/>
        <v>1.0479580799999999</v>
      </c>
      <c r="K79" s="13" t="s">
        <v>144</v>
      </c>
      <c r="L79" s="110">
        <v>2</v>
      </c>
      <c r="M79" s="7">
        <f>'WCLA Consolidated MTEF Budget'!N79</f>
        <v>87329.839999999982</v>
      </c>
      <c r="N79" s="7">
        <v>100000</v>
      </c>
      <c r="O79" s="7"/>
      <c r="P79" s="7"/>
      <c r="Q79" s="7"/>
      <c r="R79" s="7"/>
      <c r="S79" s="7"/>
      <c r="T79" s="7">
        <f t="shared" si="42"/>
        <v>12670.160000000018</v>
      </c>
      <c r="U79" s="159">
        <f t="shared" si="43"/>
        <v>0.12670160000000019</v>
      </c>
      <c r="V79" s="159">
        <f t="shared" si="44"/>
        <v>0.87329839999999981</v>
      </c>
    </row>
    <row r="80" spans="1:22" hidden="1" x14ac:dyDescent="0.3">
      <c r="A80" s="7">
        <f>'WCLA Consolidated MTEF Budget'!A80</f>
        <v>0</v>
      </c>
      <c r="B80" s="7">
        <f t="shared" si="38"/>
        <v>0</v>
      </c>
      <c r="C80" s="7"/>
      <c r="D80" s="7"/>
      <c r="E80" s="7"/>
      <c r="F80" s="7"/>
      <c r="G80" s="7"/>
      <c r="H80" s="7">
        <f t="shared" si="39"/>
        <v>0</v>
      </c>
      <c r="I80" s="159">
        <f t="shared" si="40"/>
        <v>0</v>
      </c>
      <c r="J80" s="159">
        <f t="shared" si="41"/>
        <v>0</v>
      </c>
      <c r="K80" s="13" t="s">
        <v>145</v>
      </c>
      <c r="L80" s="114">
        <v>7</v>
      </c>
      <c r="M80" s="7">
        <f>'WCLA Consolidated MTEF Budget'!N80</f>
        <v>0</v>
      </c>
      <c r="N80" s="7">
        <v>0</v>
      </c>
      <c r="O80" s="7"/>
      <c r="P80" s="7"/>
      <c r="Q80" s="7"/>
      <c r="R80" s="7"/>
      <c r="S80" s="7"/>
      <c r="T80" s="7">
        <f t="shared" si="42"/>
        <v>0</v>
      </c>
      <c r="U80" s="159">
        <f t="shared" si="43"/>
        <v>0</v>
      </c>
      <c r="V80" s="159">
        <f t="shared" si="44"/>
        <v>0</v>
      </c>
    </row>
    <row r="81" spans="1:22" hidden="1" x14ac:dyDescent="0.3">
      <c r="A81" s="7">
        <f>'WCLA Consolidated MTEF Budget'!A81</f>
        <v>0</v>
      </c>
      <c r="B81" s="7">
        <f t="shared" si="38"/>
        <v>15416.666666666666</v>
      </c>
      <c r="C81" s="7"/>
      <c r="D81" s="7"/>
      <c r="E81" s="7"/>
      <c r="F81" s="7"/>
      <c r="G81" s="7"/>
      <c r="H81" s="7">
        <f t="shared" si="39"/>
        <v>15416.666666666666</v>
      </c>
      <c r="I81" s="159">
        <f t="shared" si="40"/>
        <v>1</v>
      </c>
      <c r="J81" s="159">
        <f t="shared" si="41"/>
        <v>0</v>
      </c>
      <c r="K81" s="155" t="s">
        <v>146</v>
      </c>
      <c r="L81" s="110">
        <v>1</v>
      </c>
      <c r="M81" s="7">
        <f>'WCLA Consolidated MTEF Budget'!N81</f>
        <v>75554.470079999999</v>
      </c>
      <c r="N81" s="7">
        <v>185000</v>
      </c>
      <c r="O81" s="7"/>
      <c r="P81" s="7"/>
      <c r="Q81" s="7"/>
      <c r="R81" s="7"/>
      <c r="S81" s="7"/>
      <c r="T81" s="7">
        <f t="shared" si="42"/>
        <v>109445.52992</v>
      </c>
      <c r="U81" s="159">
        <f t="shared" si="43"/>
        <v>0.59159745902702698</v>
      </c>
      <c r="V81" s="159">
        <f t="shared" si="44"/>
        <v>0.40840254097297296</v>
      </c>
    </row>
    <row r="82" spans="1:22" hidden="1" x14ac:dyDescent="0.3">
      <c r="A82" s="7">
        <f>'WCLA Consolidated MTEF Budget'!A82</f>
        <v>126291.33600000001</v>
      </c>
      <c r="B82" s="7">
        <f t="shared" si="38"/>
        <v>13859.1519885</v>
      </c>
      <c r="C82" s="7"/>
      <c r="D82" s="7"/>
      <c r="E82" s="7"/>
      <c r="F82" s="7"/>
      <c r="G82" s="7"/>
      <c r="H82" s="7">
        <f t="shared" si="39"/>
        <v>-112432.18401150001</v>
      </c>
      <c r="I82" s="159">
        <f t="shared" si="40"/>
        <v>-8.1124865435340929</v>
      </c>
      <c r="J82" s="159">
        <f t="shared" si="41"/>
        <v>9.1124865435340929</v>
      </c>
      <c r="K82" s="155" t="s">
        <v>147</v>
      </c>
      <c r="L82" s="110">
        <v>7</v>
      </c>
      <c r="M82" s="7">
        <f>'WCLA Consolidated MTEF Budget'!N82</f>
        <v>1262913.3600000003</v>
      </c>
      <c r="N82" s="7">
        <v>166309.82386199999</v>
      </c>
      <c r="O82" s="7"/>
      <c r="P82" s="7"/>
      <c r="Q82" s="7"/>
      <c r="R82" s="7"/>
      <c r="S82" s="7"/>
      <c r="T82" s="7">
        <f t="shared" si="42"/>
        <v>-1096603.5361380004</v>
      </c>
      <c r="U82" s="159">
        <f t="shared" si="43"/>
        <v>-6.5937387862784131</v>
      </c>
      <c r="V82" s="159">
        <f t="shared" si="44"/>
        <v>7.5937387862784123</v>
      </c>
    </row>
    <row r="83" spans="1:22" hidden="1" x14ac:dyDescent="0.3">
      <c r="A83" s="7">
        <f>'WCLA Consolidated MTEF Budget'!A83</f>
        <v>0</v>
      </c>
      <c r="B83" s="7">
        <f t="shared" si="38"/>
        <v>0</v>
      </c>
      <c r="C83" s="7"/>
      <c r="D83" s="7"/>
      <c r="E83" s="7"/>
      <c r="F83" s="7"/>
      <c r="G83" s="7"/>
      <c r="H83" s="7">
        <f t="shared" si="39"/>
        <v>0</v>
      </c>
      <c r="I83" s="159">
        <f t="shared" si="40"/>
        <v>0</v>
      </c>
      <c r="J83" s="159">
        <f t="shared" si="41"/>
        <v>0</v>
      </c>
      <c r="K83" s="155" t="s">
        <v>148</v>
      </c>
      <c r="L83" s="110">
        <v>7</v>
      </c>
      <c r="M83" s="7">
        <f>'WCLA Consolidated MTEF Budget'!N83</f>
        <v>0</v>
      </c>
      <c r="N83" s="7">
        <v>0</v>
      </c>
      <c r="O83" s="7"/>
      <c r="P83" s="7"/>
      <c r="Q83" s="7"/>
      <c r="R83" s="7"/>
      <c r="S83" s="7"/>
      <c r="T83" s="7">
        <f t="shared" si="42"/>
        <v>0</v>
      </c>
      <c r="U83" s="159">
        <f t="shared" si="43"/>
        <v>0</v>
      </c>
      <c r="V83" s="159">
        <f t="shared" si="44"/>
        <v>0</v>
      </c>
    </row>
    <row r="84" spans="1:22" hidden="1" x14ac:dyDescent="0.3">
      <c r="A84" s="7">
        <f>'WCLA Consolidated MTEF Budget'!A84</f>
        <v>0</v>
      </c>
      <c r="B84" s="7">
        <f t="shared" si="38"/>
        <v>0</v>
      </c>
      <c r="C84" s="7"/>
      <c r="D84" s="7"/>
      <c r="E84" s="7"/>
      <c r="F84" s="7"/>
      <c r="G84" s="7"/>
      <c r="H84" s="7">
        <f t="shared" si="39"/>
        <v>0</v>
      </c>
      <c r="I84" s="159">
        <f t="shared" si="40"/>
        <v>0</v>
      </c>
      <c r="J84" s="159">
        <f t="shared" si="41"/>
        <v>0</v>
      </c>
      <c r="K84" s="13" t="s">
        <v>149</v>
      </c>
      <c r="L84" s="110">
        <v>6</v>
      </c>
      <c r="M84" s="7">
        <f>'WCLA Consolidated MTEF Budget'!N84</f>
        <v>0</v>
      </c>
      <c r="N84" s="7">
        <v>0</v>
      </c>
      <c r="O84" s="7"/>
      <c r="P84" s="7"/>
      <c r="Q84" s="7"/>
      <c r="R84" s="7"/>
      <c r="S84" s="7"/>
      <c r="T84" s="7">
        <f t="shared" si="42"/>
        <v>0</v>
      </c>
      <c r="U84" s="159">
        <f t="shared" si="43"/>
        <v>0</v>
      </c>
      <c r="V84" s="159">
        <f t="shared" si="44"/>
        <v>0</v>
      </c>
    </row>
    <row r="85" spans="1:22" hidden="1" x14ac:dyDescent="0.3">
      <c r="A85" s="7">
        <f>'WCLA Consolidated MTEF Budget'!A85</f>
        <v>0</v>
      </c>
      <c r="B85" s="7">
        <f t="shared" si="38"/>
        <v>0</v>
      </c>
      <c r="C85" s="7"/>
      <c r="D85" s="7"/>
      <c r="E85" s="7"/>
      <c r="F85" s="7"/>
      <c r="G85" s="7"/>
      <c r="H85" s="7">
        <f t="shared" si="39"/>
        <v>0</v>
      </c>
      <c r="I85" s="159">
        <f t="shared" si="40"/>
        <v>0</v>
      </c>
      <c r="J85" s="159">
        <f t="shared" si="41"/>
        <v>0</v>
      </c>
      <c r="K85" s="13" t="s">
        <v>150</v>
      </c>
      <c r="L85" s="110">
        <v>2</v>
      </c>
      <c r="M85" s="7">
        <f>'WCLA Consolidated MTEF Budget'!N85</f>
        <v>0</v>
      </c>
      <c r="N85" s="7">
        <v>0</v>
      </c>
      <c r="O85" s="7"/>
      <c r="P85" s="7"/>
      <c r="Q85" s="7"/>
      <c r="R85" s="7"/>
      <c r="S85" s="7"/>
      <c r="T85" s="7">
        <f t="shared" si="42"/>
        <v>0</v>
      </c>
      <c r="U85" s="159">
        <f t="shared" si="43"/>
        <v>0</v>
      </c>
      <c r="V85" s="159">
        <f t="shared" si="44"/>
        <v>0</v>
      </c>
    </row>
    <row r="86" spans="1:22" hidden="1" x14ac:dyDescent="0.3">
      <c r="A86" s="7">
        <f>'WCLA Consolidated MTEF Budget'!A86</f>
        <v>0</v>
      </c>
      <c r="B86" s="7">
        <f t="shared" si="38"/>
        <v>0</v>
      </c>
      <c r="C86" s="7"/>
      <c r="D86" s="7"/>
      <c r="E86" s="7"/>
      <c r="F86" s="7"/>
      <c r="G86" s="7"/>
      <c r="H86" s="7">
        <f t="shared" si="39"/>
        <v>0</v>
      </c>
      <c r="I86" s="159">
        <f t="shared" si="40"/>
        <v>0</v>
      </c>
      <c r="J86" s="159">
        <f t="shared" si="41"/>
        <v>0</v>
      </c>
      <c r="K86" s="13" t="s">
        <v>151</v>
      </c>
      <c r="L86" s="110">
        <v>7</v>
      </c>
      <c r="M86" s="7">
        <f>'WCLA Consolidated MTEF Budget'!N86</f>
        <v>0</v>
      </c>
      <c r="N86" s="7">
        <v>0</v>
      </c>
      <c r="O86" s="7"/>
      <c r="P86" s="7"/>
      <c r="Q86" s="7"/>
      <c r="R86" s="7"/>
      <c r="S86" s="7"/>
      <c r="T86" s="7">
        <f t="shared" si="42"/>
        <v>0</v>
      </c>
      <c r="U86" s="159">
        <f t="shared" si="43"/>
        <v>0</v>
      </c>
      <c r="V86" s="159">
        <f t="shared" si="44"/>
        <v>0</v>
      </c>
    </row>
    <row r="87" spans="1:22" hidden="1" x14ac:dyDescent="0.3">
      <c r="A87" s="7">
        <f>'WCLA Consolidated MTEF Budget'!A87</f>
        <v>4318.808</v>
      </c>
      <c r="B87" s="7">
        <f t="shared" si="38"/>
        <v>0</v>
      </c>
      <c r="C87" s="7"/>
      <c r="D87" s="7"/>
      <c r="E87" s="7"/>
      <c r="F87" s="7"/>
      <c r="G87" s="7"/>
      <c r="H87" s="7">
        <f t="shared" si="39"/>
        <v>-4318.808</v>
      </c>
      <c r="I87" s="159">
        <f t="shared" si="40"/>
        <v>0</v>
      </c>
      <c r="J87" s="159">
        <f t="shared" si="41"/>
        <v>0</v>
      </c>
      <c r="K87" s="13" t="s">
        <v>152</v>
      </c>
      <c r="L87" s="110">
        <v>6</v>
      </c>
      <c r="M87" s="7">
        <f>'WCLA Consolidated MTEF Budget'!N87</f>
        <v>43188.079999999994</v>
      </c>
      <c r="N87" s="7">
        <v>0</v>
      </c>
      <c r="O87" s="7"/>
      <c r="P87" s="7"/>
      <c r="Q87" s="7"/>
      <c r="R87" s="7"/>
      <c r="S87" s="7"/>
      <c r="T87" s="7">
        <f t="shared" si="42"/>
        <v>-43188.079999999994</v>
      </c>
      <c r="U87" s="159">
        <f t="shared" si="43"/>
        <v>0</v>
      </c>
      <c r="V87" s="159">
        <f t="shared" si="44"/>
        <v>0</v>
      </c>
    </row>
    <row r="88" spans="1:22" hidden="1" x14ac:dyDescent="0.3">
      <c r="A88" s="7">
        <f>'WCLA Consolidated MTEF Budget'!A88</f>
        <v>0</v>
      </c>
      <c r="B88" s="7">
        <f t="shared" si="38"/>
        <v>1341.9468810247499</v>
      </c>
      <c r="C88" s="7"/>
      <c r="D88" s="7"/>
      <c r="E88" s="7"/>
      <c r="F88" s="7"/>
      <c r="G88" s="7"/>
      <c r="H88" s="7">
        <f t="shared" si="39"/>
        <v>1341.9468810247499</v>
      </c>
      <c r="I88" s="159">
        <f t="shared" si="40"/>
        <v>1</v>
      </c>
      <c r="J88" s="159">
        <f t="shared" si="41"/>
        <v>0</v>
      </c>
      <c r="K88" s="13" t="s">
        <v>153</v>
      </c>
      <c r="L88" s="110">
        <v>2</v>
      </c>
      <c r="M88" s="7">
        <f>'WCLA Consolidated MTEF Budget'!N88</f>
        <v>0</v>
      </c>
      <c r="N88" s="7">
        <v>16103.362572296999</v>
      </c>
      <c r="O88" s="7"/>
      <c r="P88" s="7"/>
      <c r="Q88" s="7"/>
      <c r="R88" s="7"/>
      <c r="S88" s="7"/>
      <c r="T88" s="7">
        <f t="shared" si="42"/>
        <v>16103.362572296999</v>
      </c>
      <c r="U88" s="159">
        <f t="shared" si="43"/>
        <v>1</v>
      </c>
      <c r="V88" s="159">
        <f t="shared" si="44"/>
        <v>0</v>
      </c>
    </row>
    <row r="89" spans="1:22" hidden="1" x14ac:dyDescent="0.3">
      <c r="A89" s="11">
        <f>'WCLA Consolidated MTEF Budget'!A89</f>
        <v>0</v>
      </c>
      <c r="B89" s="11">
        <f t="shared" si="38"/>
        <v>0</v>
      </c>
      <c r="C89" s="11"/>
      <c r="D89" s="11"/>
      <c r="E89" s="11"/>
      <c r="F89" s="11"/>
      <c r="G89" s="11"/>
      <c r="H89" s="11">
        <f t="shared" si="39"/>
        <v>0</v>
      </c>
      <c r="I89" s="160">
        <f t="shared" si="40"/>
        <v>0</v>
      </c>
      <c r="J89" s="160">
        <f t="shared" si="41"/>
        <v>0</v>
      </c>
      <c r="K89" s="155" t="s">
        <v>154</v>
      </c>
      <c r="L89" s="110">
        <v>5</v>
      </c>
      <c r="M89" s="11">
        <f>'WCLA Consolidated MTEF Budget'!N89</f>
        <v>0</v>
      </c>
      <c r="N89" s="11">
        <v>0</v>
      </c>
      <c r="O89" s="11"/>
      <c r="P89" s="11"/>
      <c r="Q89" s="11"/>
      <c r="R89" s="11"/>
      <c r="S89" s="11"/>
      <c r="T89" s="11">
        <f t="shared" si="42"/>
        <v>0</v>
      </c>
      <c r="U89" s="160">
        <f t="shared" si="43"/>
        <v>0</v>
      </c>
      <c r="V89" s="160">
        <f t="shared" si="44"/>
        <v>0</v>
      </c>
    </row>
    <row r="90" spans="1:22" ht="4.2" customHeight="1" thickBot="1" x14ac:dyDescent="0.35">
      <c r="A90" s="91"/>
      <c r="B90" s="91"/>
      <c r="C90" s="91"/>
      <c r="D90" s="91"/>
      <c r="E90" s="91"/>
      <c r="F90" s="91"/>
      <c r="G90" s="91"/>
      <c r="H90" s="91"/>
      <c r="I90" s="92"/>
      <c r="J90" s="92"/>
      <c r="K90" s="13"/>
      <c r="L90" s="110"/>
      <c r="M90" s="94"/>
      <c r="N90" s="94"/>
      <c r="O90" s="91"/>
      <c r="P90" s="91"/>
      <c r="Q90" s="91"/>
      <c r="R90" s="91"/>
      <c r="S90" s="91"/>
      <c r="T90" s="92"/>
      <c r="U90" s="163"/>
      <c r="V90" s="163"/>
    </row>
    <row r="91" spans="1:22" x14ac:dyDescent="0.3">
      <c r="A91" s="4">
        <f>SUM(A67:A89)</f>
        <v>582780.91044629994</v>
      </c>
      <c r="B91" s="4">
        <f>SUM(B67:B89)</f>
        <v>500940.409823108</v>
      </c>
      <c r="C91" s="4"/>
      <c r="D91" s="4"/>
      <c r="E91" s="4"/>
      <c r="F91" s="4"/>
      <c r="G91" s="4"/>
      <c r="H91" s="4">
        <f>B91-A91</f>
        <v>-81840.50062319194</v>
      </c>
      <c r="I91" s="162">
        <f t="shared" ref="I91" si="45">IFERROR(H91/B91,)</f>
        <v>-0.16337372473522638</v>
      </c>
      <c r="J91" s="162">
        <f>IFERROR(A91/B91,)</f>
        <v>1.1633737247352265</v>
      </c>
      <c r="K91" s="13" t="s">
        <v>155</v>
      </c>
      <c r="L91" s="111"/>
      <c r="M91" s="4">
        <f>SUM(M67:M89)</f>
        <v>6322567.5745430002</v>
      </c>
      <c r="N91" s="4">
        <f>SUM(N67:N89)</f>
        <v>6011284.9178772969</v>
      </c>
      <c r="O91" s="4"/>
      <c r="P91" s="4"/>
      <c r="Q91" s="4"/>
      <c r="R91" s="4"/>
      <c r="S91" s="4"/>
      <c r="T91" s="4">
        <f>N91-M91</f>
        <v>-311282.65666570328</v>
      </c>
      <c r="U91" s="162">
        <f t="shared" ref="U91" si="46">IFERROR(T91/N91,)</f>
        <v>-5.1783048203215651E-2</v>
      </c>
      <c r="V91" s="162">
        <f>IFERROR(M91/N91,)</f>
        <v>1.0517830482032156</v>
      </c>
    </row>
    <row r="92" spans="1:22" hidden="1" x14ac:dyDescent="0.3">
      <c r="A92" s="87"/>
      <c r="B92" s="87"/>
      <c r="C92" s="86"/>
      <c r="D92" s="86"/>
      <c r="E92" s="86"/>
      <c r="F92" s="87"/>
      <c r="G92" s="87"/>
      <c r="H92" s="87"/>
      <c r="I92" s="84"/>
      <c r="J92" s="84"/>
      <c r="K92" s="80"/>
      <c r="L92" s="110"/>
      <c r="M92" s="82"/>
      <c r="N92" s="82"/>
      <c r="O92" s="86"/>
      <c r="P92" s="86"/>
      <c r="Q92" s="86"/>
      <c r="R92" s="87"/>
      <c r="S92" s="87"/>
      <c r="T92" s="84"/>
      <c r="U92" s="161"/>
      <c r="V92" s="161"/>
    </row>
    <row r="93" spans="1:22" hidden="1" x14ac:dyDescent="0.3">
      <c r="A93" s="8">
        <f>'WCLA Consolidated MTEF Budget'!A93</f>
        <v>5095.3760000000002</v>
      </c>
      <c r="B93" s="8">
        <f t="shared" ref="B93:B100" si="47">N93/12</f>
        <v>14828.461611166667</v>
      </c>
      <c r="C93" s="8"/>
      <c r="D93" s="8"/>
      <c r="E93" s="8"/>
      <c r="F93" s="8"/>
      <c r="G93" s="8"/>
      <c r="H93" s="8">
        <f t="shared" ref="H93:H100" si="48">B93-A93</f>
        <v>9733.0856111666671</v>
      </c>
      <c r="I93" s="158">
        <f t="shared" ref="I93:I100" si="49">IFERROR(H93/B93,)</f>
        <v>0.65637864981469862</v>
      </c>
      <c r="J93" s="158">
        <f t="shared" ref="J93:J100" si="50">IFERROR(A93/B93,)</f>
        <v>0.34362135018530143</v>
      </c>
      <c r="K93" s="155" t="s">
        <v>156</v>
      </c>
      <c r="L93" s="110" t="s">
        <v>157</v>
      </c>
      <c r="M93" s="8">
        <f>'WCLA Consolidated MTEF Budget'!N93</f>
        <v>40641.440000000002</v>
      </c>
      <c r="N93" s="8">
        <v>177941.539334</v>
      </c>
      <c r="O93" s="8"/>
      <c r="P93" s="8"/>
      <c r="Q93" s="8"/>
      <c r="R93" s="8"/>
      <c r="S93" s="8"/>
      <c r="T93" s="8">
        <f t="shared" ref="T93:T100" si="51">N93-M93</f>
        <v>137300.099334</v>
      </c>
      <c r="U93" s="158">
        <f t="shared" ref="U93:U100" si="52">IFERROR(T93/N93,)</f>
        <v>0.77160229054939689</v>
      </c>
      <c r="V93" s="158">
        <f t="shared" ref="V93:V100" si="53">IFERROR(M93/N93,)</f>
        <v>0.22839770945060314</v>
      </c>
    </row>
    <row r="94" spans="1:22" hidden="1" x14ac:dyDescent="0.3">
      <c r="A94" s="7">
        <f>'WCLA Consolidated MTEF Budget'!A94</f>
        <v>5097.3169212393295</v>
      </c>
      <c r="B94" s="7">
        <f t="shared" si="47"/>
        <v>6095.3323567500001</v>
      </c>
      <c r="C94" s="7"/>
      <c r="D94" s="7"/>
      <c r="E94" s="7"/>
      <c r="F94" s="7"/>
      <c r="G94" s="7"/>
      <c r="H94" s="7">
        <f t="shared" si="48"/>
        <v>998.01543551067061</v>
      </c>
      <c r="I94" s="159">
        <f t="shared" si="49"/>
        <v>0.16373437527249249</v>
      </c>
      <c r="J94" s="159">
        <f t="shared" si="50"/>
        <v>0.83626562472750754</v>
      </c>
      <c r="K94" s="13" t="s">
        <v>158</v>
      </c>
      <c r="L94" s="110" t="s">
        <v>157</v>
      </c>
      <c r="M94" s="7">
        <f>'WCLA Consolidated MTEF Budget'!N94</f>
        <v>47326.129212393294</v>
      </c>
      <c r="N94" s="7">
        <v>73143.988280999998</v>
      </c>
      <c r="O94" s="7"/>
      <c r="P94" s="7"/>
      <c r="Q94" s="7"/>
      <c r="R94" s="7"/>
      <c r="S94" s="7"/>
      <c r="T94" s="7">
        <f t="shared" si="51"/>
        <v>25817.859068606704</v>
      </c>
      <c r="U94" s="159">
        <f t="shared" si="52"/>
        <v>0.35297308330277627</v>
      </c>
      <c r="V94" s="159">
        <f t="shared" si="53"/>
        <v>0.64702691669722368</v>
      </c>
    </row>
    <row r="95" spans="1:22" hidden="1" x14ac:dyDescent="0.3">
      <c r="A95" s="7">
        <f>'WCLA Consolidated MTEF Budget'!A95</f>
        <v>0</v>
      </c>
      <c r="B95" s="7">
        <f t="shared" si="47"/>
        <v>0</v>
      </c>
      <c r="C95" s="7"/>
      <c r="D95" s="7"/>
      <c r="E95" s="7"/>
      <c r="F95" s="7"/>
      <c r="G95" s="7"/>
      <c r="H95" s="7">
        <f t="shared" si="48"/>
        <v>0</v>
      </c>
      <c r="I95" s="159">
        <f t="shared" si="49"/>
        <v>0</v>
      </c>
      <c r="J95" s="159">
        <f t="shared" si="50"/>
        <v>0</v>
      </c>
      <c r="K95" s="13" t="s">
        <v>159</v>
      </c>
      <c r="L95" s="110" t="s">
        <v>157</v>
      </c>
      <c r="M95" s="7">
        <f>'WCLA Consolidated MTEF Budget'!N95</f>
        <v>0</v>
      </c>
      <c r="N95" s="7">
        <v>0</v>
      </c>
      <c r="O95" s="7"/>
      <c r="P95" s="7"/>
      <c r="Q95" s="7"/>
      <c r="R95" s="7"/>
      <c r="S95" s="7"/>
      <c r="T95" s="7">
        <f t="shared" si="51"/>
        <v>0</v>
      </c>
      <c r="U95" s="159">
        <f t="shared" si="52"/>
        <v>0</v>
      </c>
      <c r="V95" s="159">
        <f t="shared" si="53"/>
        <v>0</v>
      </c>
    </row>
    <row r="96" spans="1:22" hidden="1" x14ac:dyDescent="0.3">
      <c r="A96" s="7">
        <f>'WCLA Consolidated MTEF Budget'!A96</f>
        <v>1210.4399999999998</v>
      </c>
      <c r="B96" s="7">
        <f t="shared" si="47"/>
        <v>907.91213174999996</v>
      </c>
      <c r="C96" s="7"/>
      <c r="D96" s="7"/>
      <c r="E96" s="7"/>
      <c r="F96" s="7"/>
      <c r="G96" s="7"/>
      <c r="H96" s="7">
        <f t="shared" si="48"/>
        <v>-302.52786824999987</v>
      </c>
      <c r="I96" s="159">
        <f t="shared" si="49"/>
        <v>-0.33321271703559863</v>
      </c>
      <c r="J96" s="159">
        <f t="shared" si="50"/>
        <v>1.3332127170355985</v>
      </c>
      <c r="K96" s="13" t="s">
        <v>160</v>
      </c>
      <c r="L96" s="110" t="s">
        <v>157</v>
      </c>
      <c r="M96" s="7">
        <f>'WCLA Consolidated MTEF Budget'!N96</f>
        <v>12104.4</v>
      </c>
      <c r="N96" s="7">
        <v>10894.945581</v>
      </c>
      <c r="O96" s="7"/>
      <c r="P96" s="7"/>
      <c r="Q96" s="7"/>
      <c r="R96" s="7"/>
      <c r="S96" s="7"/>
      <c r="T96" s="7">
        <f t="shared" si="51"/>
        <v>-1209.4544189999997</v>
      </c>
      <c r="U96" s="159">
        <f t="shared" si="52"/>
        <v>-0.11101059752966559</v>
      </c>
      <c r="V96" s="159">
        <f t="shared" si="53"/>
        <v>1.1110105975296656</v>
      </c>
    </row>
    <row r="97" spans="1:22" hidden="1" x14ac:dyDescent="0.3">
      <c r="A97" s="7">
        <f>'WCLA Consolidated MTEF Budget'!A97</f>
        <v>15157.224</v>
      </c>
      <c r="B97" s="7">
        <f t="shared" si="47"/>
        <v>15332.79300345</v>
      </c>
      <c r="C97" s="7"/>
      <c r="D97" s="7"/>
      <c r="E97" s="7"/>
      <c r="F97" s="7"/>
      <c r="G97" s="7"/>
      <c r="H97" s="7">
        <f t="shared" si="48"/>
        <v>175.56900345000031</v>
      </c>
      <c r="I97" s="159">
        <f t="shared" si="49"/>
        <v>1.1450555903969739E-2</v>
      </c>
      <c r="J97" s="159">
        <f t="shared" si="50"/>
        <v>0.98854944409603029</v>
      </c>
      <c r="K97" s="13" t="s">
        <v>161</v>
      </c>
      <c r="L97" s="110">
        <v>5</v>
      </c>
      <c r="M97" s="7">
        <f>'WCLA Consolidated MTEF Budget'!N97</f>
        <v>151572.24</v>
      </c>
      <c r="N97" s="7">
        <v>183993.5160414</v>
      </c>
      <c r="O97" s="7"/>
      <c r="P97" s="7"/>
      <c r="Q97" s="7"/>
      <c r="R97" s="7"/>
      <c r="S97" s="7"/>
      <c r="T97" s="7">
        <f t="shared" si="51"/>
        <v>32421.276041400008</v>
      </c>
      <c r="U97" s="159">
        <f t="shared" si="52"/>
        <v>0.17620879658664149</v>
      </c>
      <c r="V97" s="159">
        <f t="shared" si="53"/>
        <v>0.82379120341335854</v>
      </c>
    </row>
    <row r="98" spans="1:22" hidden="1" x14ac:dyDescent="0.3">
      <c r="A98" s="7">
        <f>'WCLA Consolidated MTEF Budget'!A98</f>
        <v>442.25600000000009</v>
      </c>
      <c r="B98" s="7">
        <f t="shared" si="47"/>
        <v>963.41347045833334</v>
      </c>
      <c r="C98" s="7"/>
      <c r="D98" s="7"/>
      <c r="E98" s="7"/>
      <c r="F98" s="7"/>
      <c r="G98" s="7"/>
      <c r="H98" s="7">
        <f t="shared" si="48"/>
        <v>521.15747045833325</v>
      </c>
      <c r="I98" s="159">
        <f t="shared" si="49"/>
        <v>0.54094891387640487</v>
      </c>
      <c r="J98" s="159">
        <f t="shared" si="50"/>
        <v>0.45905108612359519</v>
      </c>
      <c r="K98" s="13" t="s">
        <v>162</v>
      </c>
      <c r="L98" s="110">
        <v>5</v>
      </c>
      <c r="M98" s="7">
        <f>'WCLA Consolidated MTEF Budget'!N98</f>
        <v>4422.5600000000022</v>
      </c>
      <c r="N98" s="7">
        <v>11560.9616455</v>
      </c>
      <c r="O98" s="7"/>
      <c r="P98" s="7"/>
      <c r="Q98" s="7"/>
      <c r="R98" s="7"/>
      <c r="S98" s="7"/>
      <c r="T98" s="7">
        <f t="shared" si="51"/>
        <v>7138.4016454999974</v>
      </c>
      <c r="U98" s="159">
        <f t="shared" si="52"/>
        <v>0.61745742823033722</v>
      </c>
      <c r="V98" s="159">
        <f t="shared" si="53"/>
        <v>0.38254257176966278</v>
      </c>
    </row>
    <row r="99" spans="1:22" hidden="1" x14ac:dyDescent="0.3">
      <c r="A99" s="7">
        <f>'WCLA Consolidated MTEF Budget'!A99</f>
        <v>40422.408000000003</v>
      </c>
      <c r="B99" s="7">
        <f t="shared" si="47"/>
        <v>45134.732857499999</v>
      </c>
      <c r="C99" s="7"/>
      <c r="D99" s="7"/>
      <c r="E99" s="7"/>
      <c r="F99" s="7"/>
      <c r="G99" s="7"/>
      <c r="H99" s="7">
        <f t="shared" si="48"/>
        <v>4712.3248574999961</v>
      </c>
      <c r="I99" s="159">
        <f t="shared" si="49"/>
        <v>0.10440573277298025</v>
      </c>
      <c r="J99" s="159">
        <f t="shared" si="50"/>
        <v>0.89559426722701974</v>
      </c>
      <c r="K99" s="13" t="s">
        <v>163</v>
      </c>
      <c r="L99" s="110">
        <v>5</v>
      </c>
      <c r="M99" s="7">
        <f>'WCLA Consolidated MTEF Budget'!N99</f>
        <v>404224.08</v>
      </c>
      <c r="N99" s="7">
        <v>541616.79428999999</v>
      </c>
      <c r="O99" s="7"/>
      <c r="P99" s="7"/>
      <c r="Q99" s="7"/>
      <c r="R99" s="7"/>
      <c r="S99" s="7"/>
      <c r="T99" s="7">
        <f t="shared" si="51"/>
        <v>137392.71428999997</v>
      </c>
      <c r="U99" s="159">
        <f t="shared" si="52"/>
        <v>0.25367144397748359</v>
      </c>
      <c r="V99" s="159">
        <f t="shared" si="53"/>
        <v>0.74632855602251646</v>
      </c>
    </row>
    <row r="100" spans="1:22" hidden="1" x14ac:dyDescent="0.3">
      <c r="A100" s="11">
        <f>'WCLA Consolidated MTEF Budget'!A100</f>
        <v>5303.9280000000008</v>
      </c>
      <c r="B100" s="11">
        <f t="shared" si="47"/>
        <v>3855.1865771249995</v>
      </c>
      <c r="C100" s="11"/>
      <c r="D100" s="11"/>
      <c r="E100" s="11"/>
      <c r="F100" s="11"/>
      <c r="G100" s="11"/>
      <c r="H100" s="11">
        <f t="shared" si="48"/>
        <v>-1448.7414228750013</v>
      </c>
      <c r="I100" s="160">
        <f t="shared" si="49"/>
        <v>-0.37579022283154928</v>
      </c>
      <c r="J100" s="160">
        <f t="shared" si="50"/>
        <v>1.3757902228315493</v>
      </c>
      <c r="K100" s="155" t="s">
        <v>164</v>
      </c>
      <c r="L100" s="110" t="s">
        <v>165</v>
      </c>
      <c r="M100" s="11">
        <f>'WCLA Consolidated MTEF Budget'!N100</f>
        <v>32917.68</v>
      </c>
      <c r="N100" s="11">
        <v>46262.238925499994</v>
      </c>
      <c r="O100" s="11"/>
      <c r="P100" s="11"/>
      <c r="Q100" s="11"/>
      <c r="R100" s="11"/>
      <c r="S100" s="11"/>
      <c r="T100" s="11">
        <f t="shared" si="51"/>
        <v>13344.558925499994</v>
      </c>
      <c r="U100" s="160">
        <f t="shared" si="52"/>
        <v>0.2884546713571271</v>
      </c>
      <c r="V100" s="160">
        <f t="shared" si="53"/>
        <v>0.7115453286428729</v>
      </c>
    </row>
    <row r="101" spans="1:22" ht="6" customHeight="1" thickBot="1" x14ac:dyDescent="0.35">
      <c r="A101" s="91"/>
      <c r="B101" s="91"/>
      <c r="C101" s="91"/>
      <c r="D101" s="91"/>
      <c r="E101" s="91"/>
      <c r="F101" s="91"/>
      <c r="G101" s="91"/>
      <c r="H101" s="91"/>
      <c r="I101" s="92"/>
      <c r="J101" s="92"/>
      <c r="K101" s="13"/>
      <c r="L101" s="110"/>
      <c r="M101" s="90"/>
      <c r="N101" s="90"/>
      <c r="O101" s="91"/>
      <c r="P101" s="91"/>
      <c r="Q101" s="91"/>
      <c r="R101" s="91"/>
      <c r="S101" s="91"/>
      <c r="T101" s="92"/>
      <c r="U101" s="163"/>
      <c r="V101" s="163"/>
    </row>
    <row r="102" spans="1:22" x14ac:dyDescent="0.3">
      <c r="A102" s="4">
        <f>SUM(A93:A100)</f>
        <v>72728.948921239338</v>
      </c>
      <c r="B102" s="4">
        <f>SUM(B93:B100)</f>
        <v>87117.832008199999</v>
      </c>
      <c r="C102" s="4"/>
      <c r="D102" s="4"/>
      <c r="E102" s="4"/>
      <c r="F102" s="4"/>
      <c r="G102" s="4"/>
      <c r="H102" s="4">
        <f>B102-A102</f>
        <v>14388.883086960661</v>
      </c>
      <c r="I102" s="162">
        <f t="shared" ref="I102" si="54">IFERROR(H102/B102,)</f>
        <v>0.16516576176512637</v>
      </c>
      <c r="J102" s="162">
        <f>IFERROR(A102/B102,)</f>
        <v>0.83483423823487368</v>
      </c>
      <c r="K102" s="13" t="s">
        <v>166</v>
      </c>
      <c r="L102" s="111"/>
      <c r="M102" s="4">
        <f>SUM(M93:M100)</f>
        <v>693208.52921239333</v>
      </c>
      <c r="N102" s="4">
        <f>SUM(N93:N100)</f>
        <v>1045413.9840983999</v>
      </c>
      <c r="O102" s="4"/>
      <c r="P102" s="4"/>
      <c r="Q102" s="4"/>
      <c r="R102" s="4"/>
      <c r="S102" s="4"/>
      <c r="T102" s="4">
        <f>N102-M102</f>
        <v>352205.45488600654</v>
      </c>
      <c r="U102" s="162">
        <f t="shared" ref="U102" si="55">IFERROR(T102/N102,)</f>
        <v>0.33690524542749478</v>
      </c>
      <c r="V102" s="162">
        <f>IFERROR(M102/N102,)</f>
        <v>0.66309475457250522</v>
      </c>
    </row>
    <row r="103" spans="1:22" ht="6" hidden="1" customHeight="1" x14ac:dyDescent="0.3">
      <c r="A103" s="87"/>
      <c r="B103" s="87"/>
      <c r="C103" s="86"/>
      <c r="D103" s="86"/>
      <c r="E103" s="86"/>
      <c r="F103" s="87"/>
      <c r="G103" s="87"/>
      <c r="H103" s="87"/>
      <c r="I103" s="84"/>
      <c r="J103" s="84"/>
      <c r="K103" s="80"/>
      <c r="L103" s="110"/>
      <c r="M103" s="82"/>
      <c r="N103" s="82"/>
      <c r="O103" s="86"/>
      <c r="P103" s="86"/>
      <c r="Q103" s="86"/>
      <c r="R103" s="87"/>
      <c r="S103" s="87"/>
      <c r="T103" s="84"/>
      <c r="U103" s="161"/>
      <c r="V103" s="161"/>
    </row>
    <row r="104" spans="1:22" hidden="1" x14ac:dyDescent="0.3">
      <c r="A104" s="8">
        <f>'WCLA Consolidated MTEF Budget'!A104</f>
        <v>874.03200000000015</v>
      </c>
      <c r="B104" s="8">
        <f t="shared" ref="B104:B106" si="56">N104/12</f>
        <v>1166.6666666666667</v>
      </c>
      <c r="C104" s="8"/>
      <c r="D104" s="8"/>
      <c r="E104" s="8"/>
      <c r="F104" s="8"/>
      <c r="G104" s="8"/>
      <c r="H104" s="8">
        <f>B104-A104</f>
        <v>292.63466666666659</v>
      </c>
      <c r="I104" s="158">
        <f t="shared" ref="I104:I106" si="57">IFERROR(H104/B104,)</f>
        <v>0.25082971428571421</v>
      </c>
      <c r="J104" s="158">
        <f t="shared" ref="J104:J106" si="58">IFERROR(A104/B104,)</f>
        <v>0.74917028571428579</v>
      </c>
      <c r="K104" s="155" t="s">
        <v>167</v>
      </c>
      <c r="L104" s="110" t="s">
        <v>79</v>
      </c>
      <c r="M104" s="8">
        <f>'WCLA Consolidated MTEF Budget'!N104</f>
        <v>10836.32</v>
      </c>
      <c r="N104" s="8">
        <v>14000</v>
      </c>
      <c r="O104" s="8"/>
      <c r="P104" s="8"/>
      <c r="Q104" s="8"/>
      <c r="R104" s="8"/>
      <c r="S104" s="8"/>
      <c r="T104" s="8">
        <f>N104-M104</f>
        <v>3163.6800000000003</v>
      </c>
      <c r="U104" s="158">
        <f t="shared" ref="U104:U106" si="59">IFERROR(T104/N104,)</f>
        <v>0.22597714285714288</v>
      </c>
      <c r="V104" s="158">
        <f t="shared" ref="V104:V106" si="60">IFERROR(M104/N104,)</f>
        <v>0.77402285714285712</v>
      </c>
    </row>
    <row r="105" spans="1:22" hidden="1" x14ac:dyDescent="0.3">
      <c r="A105" s="7">
        <f>'WCLA Consolidated MTEF Budget'!A105</f>
        <v>162.44</v>
      </c>
      <c r="B105" s="7">
        <f t="shared" si="56"/>
        <v>0</v>
      </c>
      <c r="C105" s="7"/>
      <c r="D105" s="7"/>
      <c r="E105" s="7"/>
      <c r="F105" s="7"/>
      <c r="G105" s="7"/>
      <c r="H105" s="7">
        <f t="shared" ref="H105:H106" si="61">B105-A105</f>
        <v>-162.44</v>
      </c>
      <c r="I105" s="159">
        <f t="shared" si="57"/>
        <v>0</v>
      </c>
      <c r="J105" s="159">
        <f t="shared" si="58"/>
        <v>0</v>
      </c>
      <c r="K105" s="13" t="s">
        <v>168</v>
      </c>
      <c r="L105" s="110">
        <v>8</v>
      </c>
      <c r="M105" s="7">
        <f>'WCLA Consolidated MTEF Budget'!N105</f>
        <v>1624.4000000000003</v>
      </c>
      <c r="N105" s="7">
        <v>0</v>
      </c>
      <c r="O105" s="7"/>
      <c r="P105" s="7"/>
      <c r="Q105" s="7"/>
      <c r="R105" s="7"/>
      <c r="S105" s="7"/>
      <c r="T105" s="7">
        <f t="shared" ref="T105:T106" si="62">N105-M105</f>
        <v>-1624.4000000000003</v>
      </c>
      <c r="U105" s="159">
        <f t="shared" si="59"/>
        <v>0</v>
      </c>
      <c r="V105" s="159">
        <f t="shared" si="60"/>
        <v>0</v>
      </c>
    </row>
    <row r="106" spans="1:22" hidden="1" x14ac:dyDescent="0.3">
      <c r="A106" s="11">
        <f>'WCLA Consolidated MTEF Budget'!A106</f>
        <v>325.928</v>
      </c>
      <c r="B106" s="11">
        <f t="shared" si="56"/>
        <v>0</v>
      </c>
      <c r="C106" s="11"/>
      <c r="D106" s="11"/>
      <c r="E106" s="11"/>
      <c r="F106" s="11"/>
      <c r="G106" s="11"/>
      <c r="H106" s="11">
        <f t="shared" si="61"/>
        <v>-325.928</v>
      </c>
      <c r="I106" s="160">
        <f t="shared" si="57"/>
        <v>0</v>
      </c>
      <c r="J106" s="160">
        <f t="shared" si="58"/>
        <v>0</v>
      </c>
      <c r="K106" s="13" t="s">
        <v>169</v>
      </c>
      <c r="L106" s="110">
        <v>7</v>
      </c>
      <c r="M106" s="11">
        <f>'WCLA Consolidated MTEF Budget'!N106</f>
        <v>3259.2799999999993</v>
      </c>
      <c r="N106" s="11">
        <v>0</v>
      </c>
      <c r="O106" s="11"/>
      <c r="P106" s="11"/>
      <c r="Q106" s="11"/>
      <c r="R106" s="11"/>
      <c r="S106" s="11"/>
      <c r="T106" s="11">
        <f t="shared" si="62"/>
        <v>-3259.2799999999993</v>
      </c>
      <c r="U106" s="160">
        <f t="shared" si="59"/>
        <v>0</v>
      </c>
      <c r="V106" s="160">
        <f t="shared" si="60"/>
        <v>0</v>
      </c>
    </row>
    <row r="107" spans="1:22" ht="3.6" customHeight="1" thickBot="1" x14ac:dyDescent="0.35">
      <c r="A107" s="91"/>
      <c r="B107" s="91"/>
      <c r="C107" s="91"/>
      <c r="D107" s="91"/>
      <c r="E107" s="91"/>
      <c r="F107" s="91"/>
      <c r="G107" s="91"/>
      <c r="H107" s="91"/>
      <c r="I107" s="92"/>
      <c r="J107" s="92"/>
      <c r="K107" s="13"/>
      <c r="L107" s="110"/>
      <c r="M107" s="90"/>
      <c r="N107" s="90"/>
      <c r="O107" s="91"/>
      <c r="P107" s="91"/>
      <c r="Q107" s="91"/>
      <c r="R107" s="91"/>
      <c r="S107" s="91"/>
      <c r="T107" s="92"/>
      <c r="U107" s="163"/>
      <c r="V107" s="163"/>
    </row>
    <row r="108" spans="1:22" x14ac:dyDescent="0.3">
      <c r="A108" s="4">
        <f>SUM(A104:A106)</f>
        <v>1362.4</v>
      </c>
      <c r="B108" s="4">
        <f>SUM(B104:B106)</f>
        <v>1166.6666666666667</v>
      </c>
      <c r="C108" s="4"/>
      <c r="D108" s="4"/>
      <c r="E108" s="4"/>
      <c r="F108" s="4"/>
      <c r="G108" s="4"/>
      <c r="H108" s="4">
        <f>B108-A108</f>
        <v>-195.73333333333335</v>
      </c>
      <c r="I108" s="162">
        <f t="shared" ref="I108" si="63">IFERROR(H108/B108,)</f>
        <v>-0.16777142857142857</v>
      </c>
      <c r="J108" s="162">
        <f>IFERROR(A108/B108,)</f>
        <v>1.1677714285714287</v>
      </c>
      <c r="K108" s="13" t="s">
        <v>170</v>
      </c>
      <c r="L108" s="111"/>
      <c r="M108" s="4">
        <f>SUM(M104:M106)</f>
        <v>15719.999999999998</v>
      </c>
      <c r="N108" s="4">
        <f>SUM(N104:N106)</f>
        <v>14000</v>
      </c>
      <c r="O108" s="4"/>
      <c r="P108" s="4"/>
      <c r="Q108" s="4"/>
      <c r="R108" s="4"/>
      <c r="S108" s="4"/>
      <c r="T108" s="4">
        <f>N108-M108</f>
        <v>-1719.9999999999982</v>
      </c>
      <c r="U108" s="162">
        <f t="shared" ref="U108" si="64">IFERROR(T108/N108,)</f>
        <v>-0.12285714285714272</v>
      </c>
      <c r="V108" s="162">
        <f>IFERROR(M108/N108,)</f>
        <v>1.1228571428571428</v>
      </c>
    </row>
    <row r="109" spans="1:22" ht="6" customHeight="1" x14ac:dyDescent="0.3">
      <c r="A109" s="87"/>
      <c r="B109" s="87"/>
      <c r="C109" s="81"/>
      <c r="D109" s="81"/>
      <c r="E109" s="81"/>
      <c r="F109" s="87"/>
      <c r="G109" s="87"/>
      <c r="H109" s="87"/>
      <c r="I109" s="88"/>
      <c r="J109" s="88"/>
      <c r="K109" s="80"/>
      <c r="L109" s="110"/>
      <c r="M109" s="82"/>
      <c r="N109" s="82"/>
      <c r="O109" s="81"/>
      <c r="P109" s="81"/>
      <c r="Q109" s="81"/>
      <c r="R109" s="87"/>
      <c r="S109" s="87"/>
      <c r="T109" s="88"/>
      <c r="U109" s="119"/>
      <c r="V109" s="119"/>
    </row>
    <row r="110" spans="1:22" x14ac:dyDescent="0.3">
      <c r="A110" s="4">
        <f>A28+A46+A65+A91+A102+A108</f>
        <v>1423581.0651890058</v>
      </c>
      <c r="B110" s="4">
        <f>B28+B46+B65+B91+B102+B108</f>
        <v>1464437.951734642</v>
      </c>
      <c r="C110" s="4"/>
      <c r="D110" s="4"/>
      <c r="E110" s="4"/>
      <c r="F110" s="4"/>
      <c r="G110" s="4"/>
      <c r="H110" s="4">
        <f>B110-A110</f>
        <v>40856.886545636225</v>
      </c>
      <c r="I110" s="162">
        <f t="shared" ref="I110" si="65">IFERROR(H110/B110,)</f>
        <v>2.7899363368206087E-2</v>
      </c>
      <c r="J110" s="162">
        <f>IFERROR(A110/B110,)</f>
        <v>0.97210063663179391</v>
      </c>
      <c r="K110" s="155" t="s">
        <v>171</v>
      </c>
      <c r="L110" s="111"/>
      <c r="M110" s="4">
        <f>M28+M46+M65+M91+M102+M108</f>
        <v>16454642.402374592</v>
      </c>
      <c r="N110" s="4">
        <f>N28+N46+N65+N91+N102+N108</f>
        <v>17573255.420815706</v>
      </c>
      <c r="O110" s="4"/>
      <c r="P110" s="4"/>
      <c r="Q110" s="4"/>
      <c r="R110" s="4"/>
      <c r="S110" s="4"/>
      <c r="T110" s="4">
        <f>N110-M110</f>
        <v>1118613.0184411146</v>
      </c>
      <c r="U110" s="162">
        <f t="shared" ref="U110" si="66">IFERROR(T110/N110,)</f>
        <v>6.3654285540976407E-2</v>
      </c>
      <c r="V110" s="162">
        <f>IFERROR(M110/N110,)</f>
        <v>0.93634571445902359</v>
      </c>
    </row>
    <row r="111" spans="1:22" ht="5.4" customHeight="1" x14ac:dyDescent="0.3">
      <c r="A111" s="87"/>
      <c r="B111" s="87"/>
      <c r="C111" s="81"/>
      <c r="D111" s="81"/>
      <c r="E111" s="81"/>
      <c r="F111" s="87"/>
      <c r="G111" s="87"/>
      <c r="H111" s="87"/>
      <c r="I111" s="88"/>
      <c r="J111" s="88"/>
      <c r="K111" s="122"/>
      <c r="L111" s="112"/>
      <c r="M111" s="82"/>
      <c r="N111" s="82"/>
      <c r="O111" s="81"/>
      <c r="P111" s="81"/>
      <c r="Q111" s="81"/>
      <c r="R111" s="87"/>
      <c r="S111" s="87"/>
      <c r="T111" s="88"/>
      <c r="U111" s="119"/>
      <c r="V111" s="119"/>
    </row>
    <row r="112" spans="1:22" x14ac:dyDescent="0.3">
      <c r="A112" s="4">
        <f>A18+A110</f>
        <v>4064528.7562691658</v>
      </c>
      <c r="B112" s="4">
        <f>B18+B110</f>
        <v>4107381.3114666669</v>
      </c>
      <c r="C112" s="4"/>
      <c r="D112" s="4"/>
      <c r="E112" s="4"/>
      <c r="F112" s="4"/>
      <c r="G112" s="4"/>
      <c r="H112" s="4">
        <f>B112-A112</f>
        <v>42852.555197501089</v>
      </c>
      <c r="I112" s="162">
        <f t="shared" ref="I112" si="67">IFERROR(H112/B112,)</f>
        <v>1.0433059886080863E-2</v>
      </c>
      <c r="J112" s="162">
        <f>IFERROR(A112/B112,)</f>
        <v>0.9895669401139191</v>
      </c>
      <c r="K112" s="13" t="s">
        <v>240</v>
      </c>
      <c r="L112" s="111"/>
      <c r="M112" s="4" t="e">
        <f>M18+M110</f>
        <v>#REF!</v>
      </c>
      <c r="N112" s="4">
        <f>N18+N110</f>
        <v>49288575.737600006</v>
      </c>
      <c r="O112" s="4"/>
      <c r="P112" s="4"/>
      <c r="Q112" s="4"/>
      <c r="R112" s="4"/>
      <c r="S112" s="4"/>
      <c r="T112" s="4" t="e">
        <f>N112-M112</f>
        <v>#REF!</v>
      </c>
      <c r="U112" s="162">
        <f t="shared" ref="U112" si="68">IFERROR(T112/N112,)</f>
        <v>0</v>
      </c>
      <c r="V112" s="162">
        <f>IFERROR(M112/N112,)</f>
        <v>0</v>
      </c>
    </row>
    <row r="113" spans="1:22" ht="6.6" hidden="1" customHeight="1" x14ac:dyDescent="0.3">
      <c r="A113" s="87"/>
      <c r="B113" s="87"/>
      <c r="C113" s="81"/>
      <c r="D113" s="81"/>
      <c r="E113" s="81"/>
      <c r="F113" s="87"/>
      <c r="G113" s="87"/>
      <c r="H113" s="87"/>
      <c r="I113" s="88"/>
      <c r="J113" s="88"/>
      <c r="K113" s="122"/>
      <c r="L113" s="115"/>
      <c r="M113" s="82"/>
      <c r="N113" s="82"/>
      <c r="O113" s="81"/>
      <c r="P113" s="81"/>
      <c r="Q113" s="81"/>
      <c r="R113" s="87"/>
      <c r="S113" s="87"/>
      <c r="T113" s="88"/>
      <c r="U113" s="119"/>
      <c r="V113" s="119"/>
    </row>
    <row r="114" spans="1:22" hidden="1" x14ac:dyDescent="0.3">
      <c r="A114" s="8">
        <f>'WCLA Consolidated MTEF Budget'!A114</f>
        <v>0</v>
      </c>
      <c r="B114" s="8">
        <f t="shared" ref="B114:B125" si="69">N114/12</f>
        <v>0</v>
      </c>
      <c r="C114" s="8"/>
      <c r="D114" s="8"/>
      <c r="E114" s="8"/>
      <c r="F114" s="8"/>
      <c r="G114" s="8"/>
      <c r="H114" s="8">
        <f t="shared" ref="H114:H125" si="70">B114-A114</f>
        <v>0</v>
      </c>
      <c r="I114" s="158">
        <f t="shared" ref="I114:I125" si="71">IFERROR(H114/B114,)</f>
        <v>0</v>
      </c>
      <c r="J114" s="158">
        <f t="shared" ref="J114:J125" si="72">IFERROR(A114/B114,)</f>
        <v>0</v>
      </c>
      <c r="K114" s="155" t="s">
        <v>173</v>
      </c>
      <c r="L114" s="110"/>
      <c r="M114" s="8">
        <f>'WCLA Consolidated MTEF Budget'!N114</f>
        <v>0</v>
      </c>
      <c r="N114" s="8">
        <v>0</v>
      </c>
      <c r="O114" s="8"/>
      <c r="P114" s="8"/>
      <c r="Q114" s="8"/>
      <c r="R114" s="8"/>
      <c r="S114" s="8"/>
      <c r="T114" s="8">
        <f t="shared" ref="T114:T125" si="73">N114-M114</f>
        <v>0</v>
      </c>
      <c r="U114" s="158">
        <f t="shared" ref="U114:U125" si="74">IFERROR(T114/N114,)</f>
        <v>0</v>
      </c>
      <c r="V114" s="158">
        <f t="shared" ref="V114:V125" si="75">IFERROR(M114/N114,)</f>
        <v>0</v>
      </c>
    </row>
    <row r="115" spans="1:22" hidden="1" x14ac:dyDescent="0.3">
      <c r="A115" s="7">
        <f>'WCLA Consolidated MTEF Budget'!A115</f>
        <v>0</v>
      </c>
      <c r="B115" s="7">
        <f t="shared" si="69"/>
        <v>0</v>
      </c>
      <c r="C115" s="7"/>
      <c r="D115" s="7"/>
      <c r="E115" s="7"/>
      <c r="F115" s="7"/>
      <c r="G115" s="7"/>
      <c r="H115" s="7">
        <f t="shared" si="70"/>
        <v>0</v>
      </c>
      <c r="I115" s="159">
        <f t="shared" si="71"/>
        <v>0</v>
      </c>
      <c r="J115" s="159">
        <f t="shared" si="72"/>
        <v>0</v>
      </c>
      <c r="K115" s="13" t="s">
        <v>174</v>
      </c>
      <c r="L115" s="110"/>
      <c r="M115" s="7">
        <f>'WCLA Consolidated MTEF Budget'!N115</f>
        <v>0</v>
      </c>
      <c r="N115" s="7">
        <v>0</v>
      </c>
      <c r="O115" s="7"/>
      <c r="P115" s="7"/>
      <c r="Q115" s="7"/>
      <c r="R115" s="7"/>
      <c r="S115" s="7"/>
      <c r="T115" s="7">
        <f t="shared" si="73"/>
        <v>0</v>
      </c>
      <c r="U115" s="159">
        <f t="shared" si="74"/>
        <v>0</v>
      </c>
      <c r="V115" s="159">
        <f t="shared" si="75"/>
        <v>0</v>
      </c>
    </row>
    <row r="116" spans="1:22" hidden="1" x14ac:dyDescent="0.3">
      <c r="A116" s="7">
        <f>'WCLA Consolidated MTEF Budget'!A116</f>
        <v>0</v>
      </c>
      <c r="B116" s="7">
        <f t="shared" si="69"/>
        <v>0</v>
      </c>
      <c r="C116" s="7"/>
      <c r="D116" s="7"/>
      <c r="E116" s="7"/>
      <c r="F116" s="7"/>
      <c r="G116" s="7"/>
      <c r="H116" s="7">
        <f t="shared" si="70"/>
        <v>0</v>
      </c>
      <c r="I116" s="159">
        <f t="shared" si="71"/>
        <v>0</v>
      </c>
      <c r="J116" s="159">
        <f t="shared" si="72"/>
        <v>0</v>
      </c>
      <c r="K116" s="13" t="s">
        <v>175</v>
      </c>
      <c r="L116" s="110"/>
      <c r="M116" s="7">
        <f>'WCLA Consolidated MTEF Budget'!N116</f>
        <v>0</v>
      </c>
      <c r="N116" s="7">
        <v>0</v>
      </c>
      <c r="O116" s="7"/>
      <c r="P116" s="7"/>
      <c r="Q116" s="7"/>
      <c r="R116" s="7"/>
      <c r="S116" s="7"/>
      <c r="T116" s="7">
        <f t="shared" si="73"/>
        <v>0</v>
      </c>
      <c r="U116" s="159">
        <f t="shared" si="74"/>
        <v>0</v>
      </c>
      <c r="V116" s="159">
        <f t="shared" si="75"/>
        <v>0</v>
      </c>
    </row>
    <row r="117" spans="1:22" hidden="1" x14ac:dyDescent="0.3">
      <c r="A117" s="7">
        <f>'WCLA Consolidated MTEF Budget'!A117</f>
        <v>0</v>
      </c>
      <c r="B117" s="7">
        <f t="shared" si="69"/>
        <v>0</v>
      </c>
      <c r="C117" s="7"/>
      <c r="D117" s="7"/>
      <c r="E117" s="7"/>
      <c r="F117" s="7"/>
      <c r="G117" s="7"/>
      <c r="H117" s="7">
        <f t="shared" si="70"/>
        <v>0</v>
      </c>
      <c r="I117" s="159">
        <f t="shared" si="71"/>
        <v>0</v>
      </c>
      <c r="J117" s="159">
        <f t="shared" si="72"/>
        <v>0</v>
      </c>
      <c r="K117" s="155" t="s">
        <v>176</v>
      </c>
      <c r="L117" s="110"/>
      <c r="M117" s="7">
        <f>'WCLA Consolidated MTEF Budget'!N117</f>
        <v>0</v>
      </c>
      <c r="N117" s="7">
        <v>0</v>
      </c>
      <c r="O117" s="7"/>
      <c r="P117" s="7"/>
      <c r="Q117" s="7"/>
      <c r="R117" s="7"/>
      <c r="S117" s="7"/>
      <c r="T117" s="7">
        <f t="shared" si="73"/>
        <v>0</v>
      </c>
      <c r="U117" s="159">
        <f t="shared" si="74"/>
        <v>0</v>
      </c>
      <c r="V117" s="159">
        <f t="shared" si="75"/>
        <v>0</v>
      </c>
    </row>
    <row r="118" spans="1:22" hidden="1" x14ac:dyDescent="0.3">
      <c r="A118" s="7">
        <f>'WCLA Consolidated MTEF Budget'!A118</f>
        <v>0</v>
      </c>
      <c r="B118" s="7">
        <f t="shared" si="69"/>
        <v>3816.9804166666668</v>
      </c>
      <c r="C118" s="7"/>
      <c r="D118" s="7"/>
      <c r="E118" s="7"/>
      <c r="F118" s="7"/>
      <c r="G118" s="7"/>
      <c r="H118" s="7">
        <f t="shared" si="70"/>
        <v>3816.9804166666668</v>
      </c>
      <c r="I118" s="159">
        <f t="shared" si="71"/>
        <v>1</v>
      </c>
      <c r="J118" s="159">
        <f t="shared" si="72"/>
        <v>0</v>
      </c>
      <c r="K118" s="13" t="s">
        <v>177</v>
      </c>
      <c r="L118" s="110"/>
      <c r="M118" s="7">
        <f>'WCLA Consolidated MTEF Budget'!N118</f>
        <v>0</v>
      </c>
      <c r="N118" s="7">
        <v>45803.764999999999</v>
      </c>
      <c r="O118" s="7"/>
      <c r="P118" s="7"/>
      <c r="Q118" s="7"/>
      <c r="R118" s="7"/>
      <c r="S118" s="7"/>
      <c r="T118" s="7">
        <f t="shared" si="73"/>
        <v>45803.764999999999</v>
      </c>
      <c r="U118" s="159">
        <f t="shared" si="74"/>
        <v>1</v>
      </c>
      <c r="V118" s="159">
        <f t="shared" si="75"/>
        <v>0</v>
      </c>
    </row>
    <row r="119" spans="1:22" hidden="1" x14ac:dyDescent="0.3">
      <c r="A119" s="7">
        <f>'WCLA Consolidated MTEF Budget'!A119</f>
        <v>47820</v>
      </c>
      <c r="B119" s="7">
        <f t="shared" si="69"/>
        <v>8250</v>
      </c>
      <c r="C119" s="7"/>
      <c r="D119" s="7"/>
      <c r="E119" s="7"/>
      <c r="F119" s="7"/>
      <c r="G119" s="7"/>
      <c r="H119" s="7">
        <f t="shared" si="70"/>
        <v>-39570</v>
      </c>
      <c r="I119" s="159">
        <f t="shared" si="71"/>
        <v>-4.7963636363636359</v>
      </c>
      <c r="J119" s="159">
        <f t="shared" si="72"/>
        <v>5.7963636363636359</v>
      </c>
      <c r="K119" s="13" t="s">
        <v>178</v>
      </c>
      <c r="L119" s="110"/>
      <c r="M119" s="7">
        <f>'WCLA Consolidated MTEF Budget'!N119</f>
        <v>478200</v>
      </c>
      <c r="N119" s="7">
        <v>99000</v>
      </c>
      <c r="O119" s="7"/>
      <c r="P119" s="7"/>
      <c r="Q119" s="7"/>
      <c r="R119" s="7"/>
      <c r="S119" s="7"/>
      <c r="T119" s="7">
        <f t="shared" si="73"/>
        <v>-379200</v>
      </c>
      <c r="U119" s="159">
        <f t="shared" si="74"/>
        <v>-3.8303030303030301</v>
      </c>
      <c r="V119" s="159">
        <f t="shared" si="75"/>
        <v>4.8303030303030301</v>
      </c>
    </row>
    <row r="120" spans="1:22" hidden="1" x14ac:dyDescent="0.3">
      <c r="A120" s="7">
        <f>'WCLA Consolidated MTEF Budget'!A120</f>
        <v>0</v>
      </c>
      <c r="B120" s="7">
        <f t="shared" si="69"/>
        <v>0</v>
      </c>
      <c r="C120" s="7"/>
      <c r="D120" s="7"/>
      <c r="E120" s="7"/>
      <c r="F120" s="7"/>
      <c r="G120" s="7"/>
      <c r="H120" s="7">
        <f t="shared" si="70"/>
        <v>0</v>
      </c>
      <c r="I120" s="159">
        <f t="shared" si="71"/>
        <v>0</v>
      </c>
      <c r="J120" s="159">
        <f t="shared" si="72"/>
        <v>0</v>
      </c>
      <c r="K120" s="155" t="s">
        <v>179</v>
      </c>
      <c r="L120" s="110"/>
      <c r="M120" s="7">
        <f>'WCLA Consolidated MTEF Budget'!N120</f>
        <v>0</v>
      </c>
      <c r="N120" s="7">
        <v>0</v>
      </c>
      <c r="O120" s="7"/>
      <c r="P120" s="7"/>
      <c r="Q120" s="7"/>
      <c r="R120" s="7"/>
      <c r="S120" s="7"/>
      <c r="T120" s="7">
        <f t="shared" si="73"/>
        <v>0</v>
      </c>
      <c r="U120" s="159">
        <f t="shared" si="74"/>
        <v>0</v>
      </c>
      <c r="V120" s="159">
        <f t="shared" si="75"/>
        <v>0</v>
      </c>
    </row>
    <row r="121" spans="1:22" hidden="1" x14ac:dyDescent="0.3">
      <c r="A121" s="7">
        <f>'WCLA Consolidated MTEF Budget'!A121</f>
        <v>0</v>
      </c>
      <c r="B121" s="7">
        <f t="shared" si="69"/>
        <v>0</v>
      </c>
      <c r="C121" s="7"/>
      <c r="D121" s="7"/>
      <c r="E121" s="7"/>
      <c r="F121" s="7"/>
      <c r="G121" s="7"/>
      <c r="H121" s="7">
        <f t="shared" si="70"/>
        <v>0</v>
      </c>
      <c r="I121" s="159">
        <f t="shared" si="71"/>
        <v>0</v>
      </c>
      <c r="J121" s="159">
        <f t="shared" si="72"/>
        <v>0</v>
      </c>
      <c r="K121" s="13" t="s">
        <v>180</v>
      </c>
      <c r="L121" s="110"/>
      <c r="M121" s="7">
        <f>'WCLA Consolidated MTEF Budget'!N121</f>
        <v>0</v>
      </c>
      <c r="N121" s="7">
        <v>0</v>
      </c>
      <c r="O121" s="7"/>
      <c r="P121" s="7"/>
      <c r="Q121" s="7"/>
      <c r="R121" s="7"/>
      <c r="S121" s="7"/>
      <c r="T121" s="7">
        <f t="shared" si="73"/>
        <v>0</v>
      </c>
      <c r="U121" s="159">
        <f t="shared" si="74"/>
        <v>0</v>
      </c>
      <c r="V121" s="159">
        <f t="shared" si="75"/>
        <v>0</v>
      </c>
    </row>
    <row r="122" spans="1:22" hidden="1" x14ac:dyDescent="0.3">
      <c r="A122" s="7">
        <f>'WCLA Consolidated MTEF Budget'!A122</f>
        <v>31699.904000000002</v>
      </c>
      <c r="B122" s="7">
        <f t="shared" si="69"/>
        <v>20907.977499999997</v>
      </c>
      <c r="C122" s="7"/>
      <c r="D122" s="7"/>
      <c r="E122" s="7"/>
      <c r="F122" s="7"/>
      <c r="G122" s="7"/>
      <c r="H122" s="7">
        <f t="shared" si="70"/>
        <v>-10791.926500000005</v>
      </c>
      <c r="I122" s="159">
        <f t="shared" si="71"/>
        <v>-0.51616310090251472</v>
      </c>
      <c r="J122" s="159">
        <f t="shared" si="72"/>
        <v>1.5161631009025147</v>
      </c>
      <c r="K122" s="13" t="s">
        <v>181</v>
      </c>
      <c r="L122" s="110"/>
      <c r="M122" s="7">
        <f>'WCLA Consolidated MTEF Budget'!N122</f>
        <v>316999.04000000004</v>
      </c>
      <c r="N122" s="7">
        <v>250895.72999999998</v>
      </c>
      <c r="O122" s="7"/>
      <c r="P122" s="7"/>
      <c r="Q122" s="7"/>
      <c r="R122" s="7"/>
      <c r="S122" s="7"/>
      <c r="T122" s="7">
        <f t="shared" si="73"/>
        <v>-66103.310000000056</v>
      </c>
      <c r="U122" s="159">
        <f t="shared" si="74"/>
        <v>-0.26346925075209554</v>
      </c>
      <c r="V122" s="159">
        <f t="shared" si="75"/>
        <v>1.2634692507520955</v>
      </c>
    </row>
    <row r="123" spans="1:22" hidden="1" x14ac:dyDescent="0.3">
      <c r="A123" s="7">
        <f>'WCLA Consolidated MTEF Budget'!A123</f>
        <v>105337.62400000001</v>
      </c>
      <c r="B123" s="7">
        <f t="shared" si="69"/>
        <v>109334.90295</v>
      </c>
      <c r="C123" s="7"/>
      <c r="D123" s="7"/>
      <c r="E123" s="7"/>
      <c r="F123" s="7"/>
      <c r="G123" s="7"/>
      <c r="H123" s="7">
        <f t="shared" si="70"/>
        <v>3997.2789499999926</v>
      </c>
      <c r="I123" s="159">
        <f t="shared" si="71"/>
        <v>3.6559953337389345E-2</v>
      </c>
      <c r="J123" s="159">
        <f t="shared" si="72"/>
        <v>0.96344004666261063</v>
      </c>
      <c r="K123" s="155" t="s">
        <v>182</v>
      </c>
      <c r="L123" s="110"/>
      <c r="M123" s="7">
        <f>'WCLA Consolidated MTEF Budget'!N123</f>
        <v>1053376.2400000005</v>
      </c>
      <c r="N123" s="7">
        <v>1312018.8354</v>
      </c>
      <c r="O123" s="7"/>
      <c r="P123" s="7"/>
      <c r="Q123" s="7"/>
      <c r="R123" s="7"/>
      <c r="S123" s="7"/>
      <c r="T123" s="7">
        <f t="shared" si="73"/>
        <v>258642.59539999953</v>
      </c>
      <c r="U123" s="159">
        <f t="shared" si="74"/>
        <v>0.19713329444782415</v>
      </c>
      <c r="V123" s="159">
        <f t="shared" si="75"/>
        <v>0.80286670555217587</v>
      </c>
    </row>
    <row r="124" spans="1:22" hidden="1" x14ac:dyDescent="0.3">
      <c r="A124" s="7">
        <f>'WCLA Consolidated MTEF Budget'!A124</f>
        <v>0</v>
      </c>
      <c r="B124" s="7">
        <f t="shared" si="69"/>
        <v>0</v>
      </c>
      <c r="C124" s="7"/>
      <c r="D124" s="7"/>
      <c r="E124" s="7"/>
      <c r="F124" s="7"/>
      <c r="G124" s="7"/>
      <c r="H124" s="7">
        <f t="shared" si="70"/>
        <v>0</v>
      </c>
      <c r="I124" s="159">
        <f t="shared" si="71"/>
        <v>0</v>
      </c>
      <c r="J124" s="159">
        <f t="shared" si="72"/>
        <v>0</v>
      </c>
      <c r="K124" s="13" t="s">
        <v>183</v>
      </c>
      <c r="L124" s="110"/>
      <c r="M124" s="7">
        <f>'WCLA Consolidated MTEF Budget'!N124</f>
        <v>0</v>
      </c>
      <c r="N124" s="7">
        <v>0</v>
      </c>
      <c r="O124" s="7"/>
      <c r="P124" s="7"/>
      <c r="Q124" s="7"/>
      <c r="R124" s="7"/>
      <c r="S124" s="7"/>
      <c r="T124" s="7">
        <f t="shared" si="73"/>
        <v>0</v>
      </c>
      <c r="U124" s="159">
        <f t="shared" si="74"/>
        <v>0</v>
      </c>
      <c r="V124" s="159">
        <f t="shared" si="75"/>
        <v>0</v>
      </c>
    </row>
    <row r="125" spans="1:22" hidden="1" x14ac:dyDescent="0.3">
      <c r="A125" s="11">
        <f>'WCLA Consolidated MTEF Budget'!A125</f>
        <v>0</v>
      </c>
      <c r="B125" s="11">
        <f t="shared" si="69"/>
        <v>0</v>
      </c>
      <c r="C125" s="11"/>
      <c r="D125" s="11"/>
      <c r="E125" s="11"/>
      <c r="F125" s="11"/>
      <c r="G125" s="11"/>
      <c r="H125" s="11">
        <f t="shared" si="70"/>
        <v>0</v>
      </c>
      <c r="I125" s="160">
        <f t="shared" si="71"/>
        <v>0</v>
      </c>
      <c r="J125" s="160">
        <f t="shared" si="72"/>
        <v>0</v>
      </c>
      <c r="K125" s="13" t="s">
        <v>184</v>
      </c>
      <c r="L125" s="110"/>
      <c r="M125" s="11">
        <f>'WCLA Consolidated MTEF Budget'!N125</f>
        <v>0</v>
      </c>
      <c r="N125" s="11">
        <v>0</v>
      </c>
      <c r="O125" s="11"/>
      <c r="P125" s="11"/>
      <c r="Q125" s="11"/>
      <c r="R125" s="11"/>
      <c r="S125" s="11"/>
      <c r="T125" s="11">
        <f t="shared" si="73"/>
        <v>0</v>
      </c>
      <c r="U125" s="160">
        <f t="shared" si="74"/>
        <v>0</v>
      </c>
      <c r="V125" s="160">
        <f t="shared" si="75"/>
        <v>0</v>
      </c>
    </row>
    <row r="126" spans="1:22" ht="5.4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13"/>
      <c r="L126" s="110"/>
      <c r="M126" s="7"/>
      <c r="N126" s="7"/>
      <c r="O126" s="7"/>
      <c r="P126" s="7"/>
      <c r="Q126" s="7"/>
      <c r="R126" s="7"/>
      <c r="S126" s="7"/>
      <c r="T126" s="7"/>
      <c r="U126" s="159"/>
      <c r="V126" s="159"/>
    </row>
    <row r="127" spans="1:22" x14ac:dyDescent="0.3">
      <c r="A127" s="4">
        <f>SUM(A114:A125)</f>
        <v>184857.52800000002</v>
      </c>
      <c r="B127" s="4">
        <f>SUM(B114:B125)</f>
        <v>142309.86086666666</v>
      </c>
      <c r="C127" s="4"/>
      <c r="D127" s="4"/>
      <c r="E127" s="4"/>
      <c r="F127" s="4"/>
      <c r="G127" s="4"/>
      <c r="H127" s="4">
        <f>B127-A127</f>
        <v>-42547.667133333365</v>
      </c>
      <c r="I127" s="162">
        <f t="shared" ref="I127" si="76">IFERROR(H127/B127,)</f>
        <v>-0.29897905088388249</v>
      </c>
      <c r="J127" s="162">
        <f>IFERROR(A127/B127,)</f>
        <v>1.2989790508838825</v>
      </c>
      <c r="K127" s="13" t="s">
        <v>185</v>
      </c>
      <c r="L127" s="111"/>
      <c r="M127" s="4">
        <f>SUM(M114:M125)</f>
        <v>1848575.2800000005</v>
      </c>
      <c r="N127" s="4">
        <f>SUM(N114:N125)</f>
        <v>1707718.3303999999</v>
      </c>
      <c r="O127" s="4"/>
      <c r="P127" s="4"/>
      <c r="Q127" s="4"/>
      <c r="R127" s="4"/>
      <c r="S127" s="4"/>
      <c r="T127" s="4">
        <f>N127-M127</f>
        <v>-140856.94960000063</v>
      </c>
      <c r="U127" s="162">
        <f t="shared" ref="U127" si="77">IFERROR(T127/N127,)</f>
        <v>-8.2482542403235562E-2</v>
      </c>
      <c r="V127" s="162">
        <f>IFERROR(M127/N127,)</f>
        <v>1.0824825424032356</v>
      </c>
    </row>
    <row r="128" spans="1:22" ht="5.4" customHeight="1" x14ac:dyDescent="0.3">
      <c r="A128" s="82"/>
      <c r="B128" s="82"/>
      <c r="C128" s="86"/>
      <c r="D128" s="86"/>
      <c r="E128" s="86"/>
      <c r="F128" s="86"/>
      <c r="G128" s="87"/>
      <c r="H128" s="88"/>
      <c r="I128" s="119"/>
      <c r="J128" s="119"/>
      <c r="K128" s="122"/>
      <c r="L128" s="112"/>
      <c r="M128" s="82"/>
      <c r="N128" s="82"/>
      <c r="O128" s="86"/>
      <c r="P128" s="86"/>
      <c r="Q128" s="86"/>
      <c r="R128" s="86"/>
      <c r="S128" s="87"/>
      <c r="T128" s="88"/>
      <c r="U128" s="119"/>
      <c r="V128" s="119"/>
    </row>
    <row r="129" spans="1:24" ht="15.6" x14ac:dyDescent="0.3">
      <c r="A129" s="169">
        <f>A112+A127</f>
        <v>4249386.2842691662</v>
      </c>
      <c r="B129" s="169">
        <f>B112+B127</f>
        <v>4249691.1723333336</v>
      </c>
      <c r="C129" s="169"/>
      <c r="D129" s="169"/>
      <c r="E129" s="169"/>
      <c r="F129" s="169"/>
      <c r="G129" s="169"/>
      <c r="H129" s="169">
        <f>B129-A129</f>
        <v>304.88806416746229</v>
      </c>
      <c r="I129" s="170">
        <f t="shared" ref="I129" si="78">IFERROR(H129/B129,)</f>
        <v>7.1743581310653348E-5</v>
      </c>
      <c r="J129" s="170">
        <f>IFERROR(A129/B129,)</f>
        <v>0.99992825641868932</v>
      </c>
      <c r="K129" s="171" t="s">
        <v>186</v>
      </c>
      <c r="L129" s="172"/>
      <c r="M129" s="169" t="e">
        <f>M112+M127</f>
        <v>#REF!</v>
      </c>
      <c r="N129" s="169">
        <f>N112+N127</f>
        <v>50996294.068000004</v>
      </c>
      <c r="O129" s="169"/>
      <c r="P129" s="169"/>
      <c r="Q129" s="169"/>
      <c r="R129" s="169"/>
      <c r="S129" s="169"/>
      <c r="T129" s="169" t="e">
        <f>N129-M129</f>
        <v>#REF!</v>
      </c>
      <c r="U129" s="170">
        <f t="shared" ref="U129" si="79">IFERROR(T129/N129,)</f>
        <v>0</v>
      </c>
      <c r="V129" s="170">
        <f>IFERROR(M129/N129,)</f>
        <v>0</v>
      </c>
      <c r="X129" s="157"/>
    </row>
    <row r="130" spans="1:24" ht="5.4" customHeight="1" x14ac:dyDescent="0.3">
      <c r="A130" s="87"/>
      <c r="B130" s="87"/>
      <c r="C130" s="81"/>
      <c r="D130" s="81"/>
      <c r="E130" s="81"/>
      <c r="F130" s="81"/>
      <c r="G130" s="87"/>
      <c r="H130" s="87"/>
      <c r="I130" s="88"/>
      <c r="J130" s="88"/>
      <c r="K130" s="122"/>
      <c r="L130" s="112"/>
      <c r="M130" s="82"/>
      <c r="N130" s="82"/>
      <c r="O130" s="81"/>
      <c r="P130" s="81"/>
      <c r="Q130" s="81"/>
      <c r="R130" s="81"/>
      <c r="S130" s="87"/>
      <c r="T130" s="88"/>
      <c r="U130" s="119"/>
      <c r="V130" s="119"/>
    </row>
    <row r="131" spans="1:24" hidden="1" x14ac:dyDescent="0.3">
      <c r="A131" s="8">
        <f>'WCLA Consolidated MTEF Budget'!A131</f>
        <v>0</v>
      </c>
      <c r="B131" s="8">
        <f t="shared" ref="B131:B160" si="80">N131/12</f>
        <v>124400.79166666667</v>
      </c>
      <c r="C131" s="8"/>
      <c r="D131" s="8"/>
      <c r="E131" s="8"/>
      <c r="F131" s="8"/>
      <c r="G131" s="8"/>
      <c r="H131" s="8">
        <f>A131-B131</f>
        <v>-124400.79166666667</v>
      </c>
      <c r="I131" s="158">
        <f t="shared" ref="I131:I160" si="81">IFERROR(H131/B131,)</f>
        <v>-1</v>
      </c>
      <c r="J131" s="158">
        <f t="shared" ref="J131:J160" si="82">IFERROR(A131/B131,)</f>
        <v>0</v>
      </c>
      <c r="K131" s="155" t="s">
        <v>187</v>
      </c>
      <c r="L131" s="116">
        <v>7</v>
      </c>
      <c r="M131" s="8">
        <f>'WCLA Consolidated MTEF Budget'!N131</f>
        <v>924550</v>
      </c>
      <c r="N131" s="8">
        <v>1492809.5</v>
      </c>
      <c r="O131" s="8"/>
      <c r="P131" s="8"/>
      <c r="Q131" s="8"/>
      <c r="R131" s="8"/>
      <c r="S131" s="8"/>
      <c r="T131" s="8">
        <f t="shared" ref="T131:T160" si="83">N131-M131</f>
        <v>568259.5</v>
      </c>
      <c r="U131" s="158">
        <f t="shared" ref="U131:U160" si="84">IFERROR(T131/N131,)</f>
        <v>0.38066444512846415</v>
      </c>
      <c r="V131" s="158">
        <f t="shared" ref="V131:V160" si="85">IFERROR(M131/N131,)</f>
        <v>0.6193355548715358</v>
      </c>
    </row>
    <row r="132" spans="1:24" hidden="1" x14ac:dyDescent="0.3">
      <c r="A132" s="7">
        <f>'WCLA Consolidated MTEF Budget'!A132</f>
        <v>136686</v>
      </c>
      <c r="B132" s="7">
        <f t="shared" si="80"/>
        <v>120352.82233333333</v>
      </c>
      <c r="C132" s="7"/>
      <c r="D132" s="7"/>
      <c r="E132" s="7"/>
      <c r="F132" s="7"/>
      <c r="G132" s="7"/>
      <c r="H132" s="7">
        <f t="shared" ref="H132:H160" si="86">B132-A132</f>
        <v>-16333.17766666667</v>
      </c>
      <c r="I132" s="159">
        <f t="shared" si="81"/>
        <v>-0.13571079888288567</v>
      </c>
      <c r="J132" s="159">
        <f t="shared" si="82"/>
        <v>1.1357107988828856</v>
      </c>
      <c r="K132" s="13" t="s">
        <v>188</v>
      </c>
      <c r="L132" s="116">
        <v>7</v>
      </c>
      <c r="M132" s="7">
        <f>'WCLA Consolidated MTEF Budget'!N132</f>
        <v>601856.75</v>
      </c>
      <c r="N132" s="7">
        <v>1444233.868</v>
      </c>
      <c r="O132" s="7"/>
      <c r="P132" s="7"/>
      <c r="Q132" s="7"/>
      <c r="R132" s="7"/>
      <c r="S132" s="7"/>
      <c r="T132" s="7">
        <f t="shared" si="83"/>
        <v>842377.11800000002</v>
      </c>
      <c r="U132" s="159">
        <f t="shared" si="84"/>
        <v>0.5832691897514759</v>
      </c>
      <c r="V132" s="159">
        <f t="shared" si="85"/>
        <v>0.4167308102485241</v>
      </c>
    </row>
    <row r="133" spans="1:24" hidden="1" x14ac:dyDescent="0.3">
      <c r="A133" s="7">
        <f>'WCLA Consolidated MTEF Budget'!A133</f>
        <v>3003.0000000000005</v>
      </c>
      <c r="B133" s="7">
        <f t="shared" si="80"/>
        <v>272.50000000000006</v>
      </c>
      <c r="C133" s="7"/>
      <c r="D133" s="7"/>
      <c r="E133" s="7"/>
      <c r="F133" s="7"/>
      <c r="G133" s="7"/>
      <c r="H133" s="7">
        <f t="shared" si="86"/>
        <v>-2730.5000000000005</v>
      </c>
      <c r="I133" s="159">
        <f t="shared" si="81"/>
        <v>-10.020183486238532</v>
      </c>
      <c r="J133" s="159">
        <f t="shared" si="82"/>
        <v>11.020183486238532</v>
      </c>
      <c r="K133" s="13" t="s">
        <v>189</v>
      </c>
      <c r="L133" s="116">
        <v>7</v>
      </c>
      <c r="M133" s="7">
        <f>'WCLA Consolidated MTEF Budget'!N133</f>
        <v>11698.5</v>
      </c>
      <c r="N133" s="7">
        <v>3270.0000000000005</v>
      </c>
      <c r="O133" s="7"/>
      <c r="P133" s="7"/>
      <c r="Q133" s="7"/>
      <c r="R133" s="7"/>
      <c r="S133" s="7"/>
      <c r="T133" s="7">
        <f t="shared" si="83"/>
        <v>-8428.5</v>
      </c>
      <c r="U133" s="159">
        <f t="shared" si="84"/>
        <v>-2.5775229357798159</v>
      </c>
      <c r="V133" s="159">
        <f t="shared" si="85"/>
        <v>3.5775229357798159</v>
      </c>
    </row>
    <row r="134" spans="1:24" hidden="1" x14ac:dyDescent="0.3">
      <c r="A134" s="7">
        <f>'WCLA Consolidated MTEF Budget'!A134</f>
        <v>105875.00000000001</v>
      </c>
      <c r="B134" s="7">
        <f t="shared" si="80"/>
        <v>82292.729166666672</v>
      </c>
      <c r="C134" s="7"/>
      <c r="D134" s="7"/>
      <c r="E134" s="7"/>
      <c r="F134" s="7"/>
      <c r="G134" s="7"/>
      <c r="H134" s="7">
        <f t="shared" si="86"/>
        <v>-23582.270833333343</v>
      </c>
      <c r="I134" s="159">
        <f t="shared" si="81"/>
        <v>-0.28656566712682963</v>
      </c>
      <c r="J134" s="159">
        <f t="shared" si="82"/>
        <v>1.2865656671268295</v>
      </c>
      <c r="K134" s="155" t="s">
        <v>190</v>
      </c>
      <c r="L134" s="116">
        <v>7</v>
      </c>
      <c r="M134" s="7">
        <f>'WCLA Consolidated MTEF Budget'!N134</f>
        <v>1284365.5</v>
      </c>
      <c r="N134" s="7">
        <v>987512.75000000012</v>
      </c>
      <c r="O134" s="7"/>
      <c r="P134" s="7"/>
      <c r="Q134" s="7"/>
      <c r="R134" s="7"/>
      <c r="S134" s="7"/>
      <c r="T134" s="7">
        <f t="shared" si="83"/>
        <v>-296852.74999999988</v>
      </c>
      <c r="U134" s="159">
        <f t="shared" si="84"/>
        <v>-0.30060649849837368</v>
      </c>
      <c r="V134" s="159">
        <f t="shared" si="85"/>
        <v>1.3006064984983736</v>
      </c>
    </row>
    <row r="135" spans="1:24" hidden="1" x14ac:dyDescent="0.3">
      <c r="A135" s="7">
        <f>'WCLA Consolidated MTEF Budget'!A135</f>
        <v>0</v>
      </c>
      <c r="B135" s="7">
        <f t="shared" si="80"/>
        <v>2552.416666666667</v>
      </c>
      <c r="C135" s="7"/>
      <c r="D135" s="7"/>
      <c r="E135" s="7"/>
      <c r="F135" s="7"/>
      <c r="G135" s="7"/>
      <c r="H135" s="7">
        <f t="shared" si="86"/>
        <v>2552.416666666667</v>
      </c>
      <c r="I135" s="159">
        <f t="shared" si="81"/>
        <v>1</v>
      </c>
      <c r="J135" s="159">
        <f t="shared" si="82"/>
        <v>0</v>
      </c>
      <c r="K135" s="13" t="s">
        <v>191</v>
      </c>
      <c r="L135" s="116">
        <v>7</v>
      </c>
      <c r="M135" s="7">
        <f>'WCLA Consolidated MTEF Budget'!N135</f>
        <v>0</v>
      </c>
      <c r="N135" s="7">
        <v>30629.000000000004</v>
      </c>
      <c r="O135" s="7"/>
      <c r="P135" s="7"/>
      <c r="Q135" s="7"/>
      <c r="R135" s="7"/>
      <c r="S135" s="7"/>
      <c r="T135" s="7">
        <f t="shared" si="83"/>
        <v>30629.000000000004</v>
      </c>
      <c r="U135" s="159">
        <f t="shared" si="84"/>
        <v>1</v>
      </c>
      <c r="V135" s="159">
        <f t="shared" si="85"/>
        <v>0</v>
      </c>
    </row>
    <row r="136" spans="1:24" hidden="1" x14ac:dyDescent="0.3">
      <c r="A136" s="7">
        <f>'WCLA Consolidated MTEF Budget'!A136</f>
        <v>1463.0000000000002</v>
      </c>
      <c r="B136" s="7">
        <f t="shared" si="80"/>
        <v>5271.5124999999998</v>
      </c>
      <c r="C136" s="7"/>
      <c r="D136" s="7"/>
      <c r="E136" s="7"/>
      <c r="F136" s="7"/>
      <c r="G136" s="7"/>
      <c r="H136" s="7">
        <f t="shared" si="86"/>
        <v>3808.5124999999998</v>
      </c>
      <c r="I136" s="159">
        <f t="shared" si="81"/>
        <v>0.72247054332129534</v>
      </c>
      <c r="J136" s="159">
        <f t="shared" si="82"/>
        <v>0.27752945667870471</v>
      </c>
      <c r="K136" s="13" t="s">
        <v>192</v>
      </c>
      <c r="L136" s="116">
        <v>7</v>
      </c>
      <c r="M136" s="7">
        <f>'WCLA Consolidated MTEF Budget'!N136</f>
        <v>35646.380000000005</v>
      </c>
      <c r="N136" s="7">
        <v>63258.15</v>
      </c>
      <c r="O136" s="7"/>
      <c r="P136" s="7"/>
      <c r="Q136" s="7"/>
      <c r="R136" s="7"/>
      <c r="S136" s="7"/>
      <c r="T136" s="7">
        <f t="shared" si="83"/>
        <v>27611.769999999997</v>
      </c>
      <c r="U136" s="159">
        <f t="shared" si="84"/>
        <v>0.43649347949631778</v>
      </c>
      <c r="V136" s="159">
        <f t="shared" si="85"/>
        <v>0.56350652050368222</v>
      </c>
    </row>
    <row r="137" spans="1:24" hidden="1" x14ac:dyDescent="0.3">
      <c r="A137" s="7">
        <f>'WCLA Consolidated MTEF Budget'!A137</f>
        <v>75020</v>
      </c>
      <c r="B137" s="7">
        <f t="shared" si="80"/>
        <v>111972.06666666667</v>
      </c>
      <c r="C137" s="7"/>
      <c r="D137" s="7"/>
      <c r="E137" s="7"/>
      <c r="F137" s="7"/>
      <c r="G137" s="7"/>
      <c r="H137" s="7">
        <f t="shared" si="86"/>
        <v>36952.066666666666</v>
      </c>
      <c r="I137" s="159">
        <f t="shared" si="81"/>
        <v>0.33001147309954088</v>
      </c>
      <c r="J137" s="159">
        <f t="shared" si="82"/>
        <v>0.66998852690045907</v>
      </c>
      <c r="K137" s="155" t="s">
        <v>193</v>
      </c>
      <c r="L137" s="116">
        <v>7</v>
      </c>
      <c r="M137" s="7">
        <f>'WCLA Consolidated MTEF Budget'!N137</f>
        <v>988295</v>
      </c>
      <c r="N137" s="7">
        <v>1343664.8</v>
      </c>
      <c r="O137" s="7"/>
      <c r="P137" s="7"/>
      <c r="Q137" s="7"/>
      <c r="R137" s="7"/>
      <c r="S137" s="7"/>
      <c r="T137" s="7">
        <f t="shared" si="83"/>
        <v>355369.80000000005</v>
      </c>
      <c r="U137" s="159">
        <f t="shared" si="84"/>
        <v>0.26447801564795032</v>
      </c>
      <c r="V137" s="159">
        <f t="shared" si="85"/>
        <v>0.73552198435204963</v>
      </c>
    </row>
    <row r="138" spans="1:24" hidden="1" x14ac:dyDescent="0.3">
      <c r="A138" s="7">
        <f>'WCLA Consolidated MTEF Budget'!A138</f>
        <v>2343</v>
      </c>
      <c r="B138" s="7">
        <f t="shared" si="80"/>
        <v>0</v>
      </c>
      <c r="C138" s="7"/>
      <c r="D138" s="7"/>
      <c r="E138" s="7"/>
      <c r="F138" s="7"/>
      <c r="G138" s="7"/>
      <c r="H138" s="7">
        <f t="shared" si="86"/>
        <v>-2343</v>
      </c>
      <c r="I138" s="159">
        <f t="shared" si="81"/>
        <v>0</v>
      </c>
      <c r="J138" s="159">
        <f t="shared" si="82"/>
        <v>0</v>
      </c>
      <c r="K138" s="13" t="s">
        <v>194</v>
      </c>
      <c r="L138" s="116">
        <v>7</v>
      </c>
      <c r="M138" s="7">
        <f>'WCLA Consolidated MTEF Budget'!N138</f>
        <v>2343</v>
      </c>
      <c r="N138" s="7">
        <v>0</v>
      </c>
      <c r="O138" s="7"/>
      <c r="P138" s="7"/>
      <c r="Q138" s="7"/>
      <c r="R138" s="7"/>
      <c r="S138" s="7"/>
      <c r="T138" s="7">
        <f t="shared" si="83"/>
        <v>-2343</v>
      </c>
      <c r="U138" s="159">
        <f t="shared" si="84"/>
        <v>0</v>
      </c>
      <c r="V138" s="159">
        <f t="shared" si="85"/>
        <v>0</v>
      </c>
    </row>
    <row r="139" spans="1:24" hidden="1" x14ac:dyDescent="0.3">
      <c r="A139" s="7">
        <f>'WCLA Consolidated MTEF Budget'!A139</f>
        <v>1501.5000000000002</v>
      </c>
      <c r="B139" s="7">
        <f t="shared" si="80"/>
        <v>3082.8833333333337</v>
      </c>
      <c r="C139" s="7"/>
      <c r="D139" s="7"/>
      <c r="E139" s="7"/>
      <c r="F139" s="7"/>
      <c r="G139" s="7"/>
      <c r="H139" s="7">
        <f t="shared" si="86"/>
        <v>1581.3833333333334</v>
      </c>
      <c r="I139" s="159">
        <f t="shared" si="81"/>
        <v>0.51295594492169128</v>
      </c>
      <c r="J139" s="159">
        <f t="shared" si="82"/>
        <v>0.48704405507830872</v>
      </c>
      <c r="K139" s="13" t="s">
        <v>195</v>
      </c>
      <c r="L139" s="116">
        <v>7</v>
      </c>
      <c r="M139" s="7">
        <f>'WCLA Consolidated MTEF Budget'!N139</f>
        <v>24909.5</v>
      </c>
      <c r="N139" s="7">
        <v>36994.600000000006</v>
      </c>
      <c r="O139" s="7"/>
      <c r="P139" s="7"/>
      <c r="Q139" s="7"/>
      <c r="R139" s="7"/>
      <c r="S139" s="7"/>
      <c r="T139" s="7">
        <f t="shared" si="83"/>
        <v>12085.100000000006</v>
      </c>
      <c r="U139" s="159">
        <f t="shared" si="84"/>
        <v>0.32667200077849212</v>
      </c>
      <c r="V139" s="159">
        <f t="shared" si="85"/>
        <v>0.67332799922150788</v>
      </c>
    </row>
    <row r="140" spans="1:24" hidden="1" x14ac:dyDescent="0.3">
      <c r="A140" s="7">
        <f>'WCLA Consolidated MTEF Budget'!A140</f>
        <v>11473.000000000002</v>
      </c>
      <c r="B140" s="7">
        <f t="shared" si="80"/>
        <v>2546.0583333333334</v>
      </c>
      <c r="C140" s="7"/>
      <c r="D140" s="7"/>
      <c r="E140" s="7"/>
      <c r="F140" s="7"/>
      <c r="G140" s="7"/>
      <c r="H140" s="7">
        <f t="shared" si="86"/>
        <v>-8926.9416666666693</v>
      </c>
      <c r="I140" s="159">
        <f t="shared" si="81"/>
        <v>-3.5061811231085969</v>
      </c>
      <c r="J140" s="159">
        <f t="shared" si="82"/>
        <v>4.5061811231085969</v>
      </c>
      <c r="K140" s="155" t="s">
        <v>196</v>
      </c>
      <c r="L140" s="116">
        <v>7</v>
      </c>
      <c r="M140" s="7">
        <f>'WCLA Consolidated MTEF Budget'!N140</f>
        <v>45281.5</v>
      </c>
      <c r="N140" s="7">
        <v>30552.7</v>
      </c>
      <c r="O140" s="7"/>
      <c r="P140" s="7"/>
      <c r="Q140" s="7"/>
      <c r="R140" s="7"/>
      <c r="S140" s="7"/>
      <c r="T140" s="7">
        <f t="shared" si="83"/>
        <v>-14728.8</v>
      </c>
      <c r="U140" s="159">
        <f t="shared" si="84"/>
        <v>-0.4820785069731971</v>
      </c>
      <c r="V140" s="159">
        <f t="shared" si="85"/>
        <v>1.4820785069731972</v>
      </c>
    </row>
    <row r="141" spans="1:24" hidden="1" x14ac:dyDescent="0.3">
      <c r="A141" s="7">
        <f>'WCLA Consolidated MTEF Budget'!A141</f>
        <v>15686.000000000002</v>
      </c>
      <c r="B141" s="7">
        <f t="shared" si="80"/>
        <v>12513.200000000003</v>
      </c>
      <c r="C141" s="7"/>
      <c r="D141" s="7"/>
      <c r="E141" s="7"/>
      <c r="F141" s="7"/>
      <c r="G141" s="7"/>
      <c r="H141" s="7">
        <f t="shared" si="86"/>
        <v>-3172.7999999999993</v>
      </c>
      <c r="I141" s="159">
        <f t="shared" si="81"/>
        <v>-0.25355624460569626</v>
      </c>
      <c r="J141" s="159">
        <f t="shared" si="82"/>
        <v>1.2535562446056963</v>
      </c>
      <c r="K141" s="13" t="s">
        <v>197</v>
      </c>
      <c r="L141" s="116">
        <v>7</v>
      </c>
      <c r="M141" s="7">
        <f>'WCLA Consolidated MTEF Budget'!N141</f>
        <v>167948</v>
      </c>
      <c r="N141" s="7">
        <v>150158.40000000002</v>
      </c>
      <c r="O141" s="7"/>
      <c r="P141" s="7"/>
      <c r="Q141" s="7"/>
      <c r="R141" s="7"/>
      <c r="S141" s="7"/>
      <c r="T141" s="7">
        <f t="shared" si="83"/>
        <v>-17789.599999999977</v>
      </c>
      <c r="U141" s="159">
        <f t="shared" si="84"/>
        <v>-0.11847222666197811</v>
      </c>
      <c r="V141" s="159">
        <f t="shared" si="85"/>
        <v>1.1184722266619782</v>
      </c>
    </row>
    <row r="142" spans="1:24" hidden="1" x14ac:dyDescent="0.3">
      <c r="A142" s="7">
        <f>'WCLA Consolidated MTEF Budget'!A142</f>
        <v>2035.0000000000002</v>
      </c>
      <c r="B142" s="7">
        <f t="shared" si="80"/>
        <v>10829.15</v>
      </c>
      <c r="C142" s="7"/>
      <c r="D142" s="7"/>
      <c r="E142" s="7"/>
      <c r="F142" s="7"/>
      <c r="G142" s="7"/>
      <c r="H142" s="7">
        <f t="shared" si="86"/>
        <v>8794.15</v>
      </c>
      <c r="I142" s="159">
        <f t="shared" si="81"/>
        <v>0.81208128061759233</v>
      </c>
      <c r="J142" s="159">
        <f t="shared" si="82"/>
        <v>0.1879187193824077</v>
      </c>
      <c r="K142" s="13" t="s">
        <v>198</v>
      </c>
      <c r="L142" s="116">
        <v>7</v>
      </c>
      <c r="M142" s="7">
        <f>'WCLA Consolidated MTEF Budget'!N142</f>
        <v>186065</v>
      </c>
      <c r="N142" s="7">
        <v>129949.8</v>
      </c>
      <c r="O142" s="7"/>
      <c r="P142" s="7"/>
      <c r="Q142" s="7"/>
      <c r="R142" s="7"/>
      <c r="S142" s="7"/>
      <c r="T142" s="7">
        <f t="shared" si="83"/>
        <v>-56115.199999999997</v>
      </c>
      <c r="U142" s="159">
        <f t="shared" si="84"/>
        <v>-0.43182213439343498</v>
      </c>
      <c r="V142" s="159">
        <f t="shared" si="85"/>
        <v>1.431822134393435</v>
      </c>
    </row>
    <row r="143" spans="1:24" hidden="1" x14ac:dyDescent="0.3">
      <c r="A143" s="7">
        <f>'WCLA Consolidated MTEF Budget'!A143</f>
        <v>1562.0000000000002</v>
      </c>
      <c r="B143" s="7">
        <f t="shared" si="80"/>
        <v>1926.575</v>
      </c>
      <c r="C143" s="7"/>
      <c r="D143" s="7"/>
      <c r="E143" s="7"/>
      <c r="F143" s="7"/>
      <c r="G143" s="7"/>
      <c r="H143" s="7">
        <f t="shared" si="86"/>
        <v>364.57499999999982</v>
      </c>
      <c r="I143" s="159">
        <f t="shared" si="81"/>
        <v>0.18923478193166621</v>
      </c>
      <c r="J143" s="159">
        <f t="shared" si="82"/>
        <v>0.81076521806833379</v>
      </c>
      <c r="K143" s="155" t="s">
        <v>199</v>
      </c>
      <c r="L143" s="116">
        <v>7</v>
      </c>
      <c r="M143" s="7">
        <f>'WCLA Consolidated MTEF Budget'!N143</f>
        <v>22660</v>
      </c>
      <c r="N143" s="7">
        <v>23118.9</v>
      </c>
      <c r="O143" s="7"/>
      <c r="P143" s="7"/>
      <c r="Q143" s="7"/>
      <c r="R143" s="7"/>
      <c r="S143" s="7"/>
      <c r="T143" s="7">
        <f t="shared" si="83"/>
        <v>458.90000000000146</v>
      </c>
      <c r="U143" s="159">
        <f t="shared" si="84"/>
        <v>1.9849560316451104E-2</v>
      </c>
      <c r="V143" s="159">
        <f t="shared" si="85"/>
        <v>0.98015043968354887</v>
      </c>
    </row>
    <row r="144" spans="1:24" hidden="1" x14ac:dyDescent="0.3">
      <c r="A144" s="7">
        <f>'WCLA Consolidated MTEF Budget'!A144</f>
        <v>10626</v>
      </c>
      <c r="B144" s="7">
        <f t="shared" si="80"/>
        <v>370.60000000000008</v>
      </c>
      <c r="C144" s="7"/>
      <c r="D144" s="7"/>
      <c r="E144" s="7"/>
      <c r="F144" s="7"/>
      <c r="G144" s="7"/>
      <c r="H144" s="7">
        <f t="shared" si="86"/>
        <v>-10255.4</v>
      </c>
      <c r="I144" s="159">
        <f t="shared" si="81"/>
        <v>-27.672423097679431</v>
      </c>
      <c r="J144" s="159">
        <f t="shared" si="82"/>
        <v>28.672423097679431</v>
      </c>
      <c r="K144" s="13" t="s">
        <v>200</v>
      </c>
      <c r="L144" s="116">
        <v>7</v>
      </c>
      <c r="M144" s="7">
        <f>'WCLA Consolidated MTEF Budget'!N144</f>
        <v>31108</v>
      </c>
      <c r="N144" s="7">
        <v>4447.2000000000007</v>
      </c>
      <c r="O144" s="7"/>
      <c r="P144" s="7"/>
      <c r="Q144" s="7"/>
      <c r="R144" s="7"/>
      <c r="S144" s="7"/>
      <c r="T144" s="7">
        <f t="shared" si="83"/>
        <v>-26660.799999999999</v>
      </c>
      <c r="U144" s="159">
        <f t="shared" si="84"/>
        <v>-5.9949631228638234</v>
      </c>
      <c r="V144" s="159">
        <f t="shared" si="85"/>
        <v>6.9949631228638234</v>
      </c>
    </row>
    <row r="145" spans="1:22" hidden="1" x14ac:dyDescent="0.3">
      <c r="A145" s="7">
        <f>'WCLA Consolidated MTEF Budget'!A145</f>
        <v>3905.0000000000005</v>
      </c>
      <c r="B145" s="7">
        <f t="shared" si="80"/>
        <v>10997.191666666668</v>
      </c>
      <c r="C145" s="7"/>
      <c r="D145" s="7"/>
      <c r="E145" s="7"/>
      <c r="F145" s="7"/>
      <c r="G145" s="7"/>
      <c r="H145" s="7">
        <f t="shared" si="86"/>
        <v>7092.1916666666675</v>
      </c>
      <c r="I145" s="159">
        <f t="shared" si="81"/>
        <v>0.64490934427956226</v>
      </c>
      <c r="J145" s="159">
        <f t="shared" si="82"/>
        <v>0.35509065572043774</v>
      </c>
      <c r="K145" s="13" t="s">
        <v>201</v>
      </c>
      <c r="L145" s="116">
        <v>7</v>
      </c>
      <c r="M145" s="7">
        <f>'WCLA Consolidated MTEF Budget'!N145</f>
        <v>136461.6</v>
      </c>
      <c r="N145" s="7">
        <v>131966.30000000002</v>
      </c>
      <c r="O145" s="7"/>
      <c r="P145" s="7"/>
      <c r="Q145" s="7"/>
      <c r="R145" s="7"/>
      <c r="S145" s="7"/>
      <c r="T145" s="7">
        <f t="shared" si="83"/>
        <v>-4495.2999999999884</v>
      </c>
      <c r="U145" s="159">
        <f t="shared" si="84"/>
        <v>-3.4063999672643605E-2</v>
      </c>
      <c r="V145" s="159">
        <f t="shared" si="85"/>
        <v>1.0340639996726435</v>
      </c>
    </row>
    <row r="146" spans="1:22" hidden="1" x14ac:dyDescent="0.3">
      <c r="A146" s="7">
        <f>'WCLA Consolidated MTEF Budget'!A146</f>
        <v>0</v>
      </c>
      <c r="B146" s="7">
        <f t="shared" si="80"/>
        <v>6224.8083333333343</v>
      </c>
      <c r="C146" s="7"/>
      <c r="D146" s="7"/>
      <c r="E146" s="7"/>
      <c r="F146" s="7"/>
      <c r="G146" s="7"/>
      <c r="H146" s="7">
        <f t="shared" si="86"/>
        <v>6224.8083333333343</v>
      </c>
      <c r="I146" s="159">
        <f t="shared" si="81"/>
        <v>1</v>
      </c>
      <c r="J146" s="159">
        <f t="shared" si="82"/>
        <v>0</v>
      </c>
      <c r="K146" s="155" t="s">
        <v>202</v>
      </c>
      <c r="L146" s="116">
        <v>7</v>
      </c>
      <c r="M146" s="7">
        <f>'WCLA Consolidated MTEF Budget'!N146</f>
        <v>112277</v>
      </c>
      <c r="N146" s="7">
        <v>74697.700000000012</v>
      </c>
      <c r="O146" s="7"/>
      <c r="P146" s="7"/>
      <c r="Q146" s="7"/>
      <c r="R146" s="7"/>
      <c r="S146" s="7"/>
      <c r="T146" s="7">
        <f t="shared" si="83"/>
        <v>-37579.299999999988</v>
      </c>
      <c r="U146" s="159">
        <f t="shared" si="84"/>
        <v>-0.5030851016831841</v>
      </c>
      <c r="V146" s="159">
        <f t="shared" si="85"/>
        <v>1.5030851016831841</v>
      </c>
    </row>
    <row r="147" spans="1:22" hidden="1" x14ac:dyDescent="0.3">
      <c r="A147" s="7">
        <f>'WCLA Consolidated MTEF Budget'!A147</f>
        <v>0</v>
      </c>
      <c r="B147" s="7">
        <f t="shared" si="80"/>
        <v>174.85416666666666</v>
      </c>
      <c r="C147" s="7"/>
      <c r="D147" s="7"/>
      <c r="E147" s="7"/>
      <c r="F147" s="7"/>
      <c r="G147" s="7"/>
      <c r="H147" s="7">
        <f t="shared" si="86"/>
        <v>174.85416666666666</v>
      </c>
      <c r="I147" s="159">
        <f t="shared" si="81"/>
        <v>1</v>
      </c>
      <c r="J147" s="159">
        <f t="shared" si="82"/>
        <v>0</v>
      </c>
      <c r="K147" s="13" t="s">
        <v>203</v>
      </c>
      <c r="L147" s="116">
        <v>7</v>
      </c>
      <c r="M147" s="7">
        <f>'WCLA Consolidated MTEF Budget'!N147</f>
        <v>0</v>
      </c>
      <c r="N147" s="7">
        <v>2098.25</v>
      </c>
      <c r="O147" s="7"/>
      <c r="P147" s="7"/>
      <c r="Q147" s="7"/>
      <c r="R147" s="7"/>
      <c r="S147" s="7"/>
      <c r="T147" s="7">
        <f t="shared" si="83"/>
        <v>2098.25</v>
      </c>
      <c r="U147" s="159">
        <f t="shared" si="84"/>
        <v>1</v>
      </c>
      <c r="V147" s="159">
        <f t="shared" si="85"/>
        <v>0</v>
      </c>
    </row>
    <row r="148" spans="1:22" hidden="1" x14ac:dyDescent="0.3">
      <c r="A148" s="7">
        <f>'WCLA Consolidated MTEF Budget'!A148</f>
        <v>0</v>
      </c>
      <c r="B148" s="7">
        <f t="shared" si="80"/>
        <v>518.65833333333342</v>
      </c>
      <c r="C148" s="7"/>
      <c r="D148" s="7"/>
      <c r="E148" s="7"/>
      <c r="F148" s="7"/>
      <c r="G148" s="7"/>
      <c r="H148" s="7">
        <f t="shared" si="86"/>
        <v>518.65833333333342</v>
      </c>
      <c r="I148" s="159">
        <f t="shared" si="81"/>
        <v>1</v>
      </c>
      <c r="J148" s="159">
        <f t="shared" si="82"/>
        <v>0</v>
      </c>
      <c r="K148" s="13" t="s">
        <v>204</v>
      </c>
      <c r="L148" s="116">
        <v>7</v>
      </c>
      <c r="M148" s="7">
        <f>'WCLA Consolidated MTEF Budget'!N148</f>
        <v>7221.5000000000009</v>
      </c>
      <c r="N148" s="7">
        <v>6223.9000000000005</v>
      </c>
      <c r="O148" s="7"/>
      <c r="P148" s="7"/>
      <c r="Q148" s="7"/>
      <c r="R148" s="7"/>
      <c r="S148" s="7"/>
      <c r="T148" s="7">
        <f t="shared" si="83"/>
        <v>-997.60000000000036</v>
      </c>
      <c r="U148" s="159">
        <f t="shared" si="84"/>
        <v>-0.16028535162840024</v>
      </c>
      <c r="V148" s="159">
        <f t="shared" si="85"/>
        <v>1.1602853516284002</v>
      </c>
    </row>
    <row r="149" spans="1:22" hidden="1" x14ac:dyDescent="0.3">
      <c r="A149" s="7">
        <f>'WCLA Consolidated MTEF Budget'!A149</f>
        <v>0</v>
      </c>
      <c r="B149" s="7">
        <f t="shared" si="80"/>
        <v>287.03333333333336</v>
      </c>
      <c r="C149" s="7"/>
      <c r="D149" s="7"/>
      <c r="E149" s="7"/>
      <c r="F149" s="7"/>
      <c r="G149" s="7"/>
      <c r="H149" s="7">
        <f t="shared" si="86"/>
        <v>287.03333333333336</v>
      </c>
      <c r="I149" s="159">
        <f t="shared" si="81"/>
        <v>1</v>
      </c>
      <c r="J149" s="159">
        <f t="shared" si="82"/>
        <v>0</v>
      </c>
      <c r="K149" s="155" t="s">
        <v>205</v>
      </c>
      <c r="L149" s="116">
        <v>7</v>
      </c>
      <c r="M149" s="7">
        <f>'WCLA Consolidated MTEF Budget'!N149</f>
        <v>1292.5000000000002</v>
      </c>
      <c r="N149" s="7">
        <v>3444.4</v>
      </c>
      <c r="O149" s="7"/>
      <c r="P149" s="7"/>
      <c r="Q149" s="7"/>
      <c r="R149" s="7"/>
      <c r="S149" s="7"/>
      <c r="T149" s="7">
        <f t="shared" si="83"/>
        <v>2151.8999999999996</v>
      </c>
      <c r="U149" s="159">
        <f t="shared" si="84"/>
        <v>0.62475322262222721</v>
      </c>
      <c r="V149" s="159">
        <f t="shared" si="85"/>
        <v>0.37524677737777268</v>
      </c>
    </row>
    <row r="150" spans="1:22" hidden="1" x14ac:dyDescent="0.3">
      <c r="A150" s="7">
        <f>'WCLA Consolidated MTEF Budget'!A150</f>
        <v>0</v>
      </c>
      <c r="B150" s="7">
        <f t="shared" si="80"/>
        <v>0</v>
      </c>
      <c r="C150" s="7"/>
      <c r="D150" s="7"/>
      <c r="E150" s="7"/>
      <c r="F150" s="7"/>
      <c r="G150" s="7"/>
      <c r="H150" s="7">
        <f t="shared" si="86"/>
        <v>0</v>
      </c>
      <c r="I150" s="159">
        <f t="shared" si="81"/>
        <v>0</v>
      </c>
      <c r="J150" s="159">
        <f t="shared" si="82"/>
        <v>0</v>
      </c>
      <c r="K150" s="13" t="s">
        <v>206</v>
      </c>
      <c r="L150" s="116">
        <v>7</v>
      </c>
      <c r="M150" s="7">
        <f>'WCLA Consolidated MTEF Budget'!N150</f>
        <v>0</v>
      </c>
      <c r="N150" s="7">
        <v>0</v>
      </c>
      <c r="O150" s="7"/>
      <c r="P150" s="7"/>
      <c r="Q150" s="7"/>
      <c r="R150" s="7"/>
      <c r="S150" s="7"/>
      <c r="T150" s="7">
        <f t="shared" si="83"/>
        <v>0</v>
      </c>
      <c r="U150" s="159">
        <f t="shared" si="84"/>
        <v>0</v>
      </c>
      <c r="V150" s="159">
        <f t="shared" si="85"/>
        <v>0</v>
      </c>
    </row>
    <row r="151" spans="1:22" hidden="1" x14ac:dyDescent="0.3">
      <c r="A151" s="7">
        <f>'WCLA Consolidated MTEF Budget'!A151</f>
        <v>0</v>
      </c>
      <c r="B151" s="7">
        <f t="shared" si="80"/>
        <v>193.47500000000002</v>
      </c>
      <c r="C151" s="7"/>
      <c r="D151" s="7"/>
      <c r="E151" s="7"/>
      <c r="F151" s="7"/>
      <c r="G151" s="7"/>
      <c r="H151" s="7">
        <f t="shared" si="86"/>
        <v>193.47500000000002</v>
      </c>
      <c r="I151" s="159">
        <f t="shared" si="81"/>
        <v>1</v>
      </c>
      <c r="J151" s="159">
        <f t="shared" si="82"/>
        <v>0</v>
      </c>
      <c r="K151" s="13" t="s">
        <v>207</v>
      </c>
      <c r="L151" s="116">
        <v>7</v>
      </c>
      <c r="M151" s="7">
        <f>'WCLA Consolidated MTEF Budget'!N151</f>
        <v>0</v>
      </c>
      <c r="N151" s="7">
        <v>2321.7000000000003</v>
      </c>
      <c r="O151" s="7"/>
      <c r="P151" s="7"/>
      <c r="Q151" s="7"/>
      <c r="R151" s="7"/>
      <c r="S151" s="7"/>
      <c r="T151" s="7">
        <f t="shared" si="83"/>
        <v>2321.7000000000003</v>
      </c>
      <c r="U151" s="159">
        <f t="shared" si="84"/>
        <v>1</v>
      </c>
      <c r="V151" s="159">
        <f t="shared" si="85"/>
        <v>0</v>
      </c>
    </row>
    <row r="152" spans="1:22" hidden="1" x14ac:dyDescent="0.3">
      <c r="A152" s="7">
        <f>'WCLA Consolidated MTEF Budget'!A152</f>
        <v>0</v>
      </c>
      <c r="B152" s="7">
        <f t="shared" si="80"/>
        <v>247.06666666666669</v>
      </c>
      <c r="C152" s="7"/>
      <c r="D152" s="7"/>
      <c r="E152" s="7"/>
      <c r="F152" s="7"/>
      <c r="G152" s="7"/>
      <c r="H152" s="7">
        <f t="shared" si="86"/>
        <v>247.06666666666669</v>
      </c>
      <c r="I152" s="159">
        <f t="shared" si="81"/>
        <v>1</v>
      </c>
      <c r="J152" s="159">
        <f t="shared" si="82"/>
        <v>0</v>
      </c>
      <c r="K152" s="155" t="s">
        <v>208</v>
      </c>
      <c r="L152" s="116">
        <v>7</v>
      </c>
      <c r="M152" s="7">
        <f>'WCLA Consolidated MTEF Budget'!N152</f>
        <v>0</v>
      </c>
      <c r="N152" s="7">
        <v>2964.8</v>
      </c>
      <c r="O152" s="7"/>
      <c r="P152" s="7"/>
      <c r="Q152" s="7"/>
      <c r="R152" s="7"/>
      <c r="S152" s="7"/>
      <c r="T152" s="7">
        <f t="shared" si="83"/>
        <v>2964.8</v>
      </c>
      <c r="U152" s="159">
        <f t="shared" si="84"/>
        <v>1</v>
      </c>
      <c r="V152" s="159">
        <f t="shared" si="85"/>
        <v>0</v>
      </c>
    </row>
    <row r="153" spans="1:22" hidden="1" x14ac:dyDescent="0.3">
      <c r="A153" s="7">
        <f>'WCLA Consolidated MTEF Budget'!A153</f>
        <v>1694.0000000000002</v>
      </c>
      <c r="B153" s="7">
        <f t="shared" si="80"/>
        <v>2467.0333333333333</v>
      </c>
      <c r="C153" s="7"/>
      <c r="D153" s="7"/>
      <c r="E153" s="7"/>
      <c r="F153" s="7"/>
      <c r="G153" s="7"/>
      <c r="H153" s="7">
        <f t="shared" si="86"/>
        <v>773.03333333333308</v>
      </c>
      <c r="I153" s="159">
        <f t="shared" si="81"/>
        <v>0.31334531353447448</v>
      </c>
      <c r="J153" s="159">
        <f t="shared" si="82"/>
        <v>0.68665468646552552</v>
      </c>
      <c r="K153" s="13" t="s">
        <v>209</v>
      </c>
      <c r="L153" s="116">
        <v>7</v>
      </c>
      <c r="M153" s="7">
        <f>'WCLA Consolidated MTEF Budget'!N153</f>
        <v>18612.000000000004</v>
      </c>
      <c r="N153" s="7">
        <v>29604.400000000001</v>
      </c>
      <c r="O153" s="7"/>
      <c r="P153" s="7"/>
      <c r="Q153" s="7"/>
      <c r="R153" s="7"/>
      <c r="S153" s="7"/>
      <c r="T153" s="7">
        <f t="shared" si="83"/>
        <v>10992.399999999998</v>
      </c>
      <c r="U153" s="159">
        <f t="shared" si="84"/>
        <v>0.37130967018416172</v>
      </c>
      <c r="V153" s="159">
        <f t="shared" si="85"/>
        <v>0.62869032981583828</v>
      </c>
    </row>
    <row r="154" spans="1:22" hidden="1" x14ac:dyDescent="0.3">
      <c r="A154" s="7">
        <f>'WCLA Consolidated MTEF Budget'!A154</f>
        <v>781.00000000000011</v>
      </c>
      <c r="B154" s="7">
        <f t="shared" si="80"/>
        <v>3919.4583333333335</v>
      </c>
      <c r="C154" s="7"/>
      <c r="D154" s="7"/>
      <c r="E154" s="7"/>
      <c r="F154" s="7"/>
      <c r="G154" s="7"/>
      <c r="H154" s="7">
        <f t="shared" si="86"/>
        <v>3138.4583333333335</v>
      </c>
      <c r="I154" s="159">
        <f t="shared" si="81"/>
        <v>0.80073777201356477</v>
      </c>
      <c r="J154" s="159">
        <f t="shared" si="82"/>
        <v>0.19926222798643523</v>
      </c>
      <c r="K154" s="13" t="s">
        <v>210</v>
      </c>
      <c r="L154" s="116">
        <v>7</v>
      </c>
      <c r="M154" s="7">
        <f>'WCLA Consolidated MTEF Budget'!N154</f>
        <v>34276</v>
      </c>
      <c r="N154" s="7">
        <v>47033.5</v>
      </c>
      <c r="O154" s="7"/>
      <c r="P154" s="7"/>
      <c r="Q154" s="7"/>
      <c r="R154" s="7"/>
      <c r="S154" s="7"/>
      <c r="T154" s="7">
        <f t="shared" si="83"/>
        <v>12757.5</v>
      </c>
      <c r="U154" s="159">
        <f t="shared" si="84"/>
        <v>0.27124283755195766</v>
      </c>
      <c r="V154" s="159">
        <f t="shared" si="85"/>
        <v>0.72875716244804234</v>
      </c>
    </row>
    <row r="155" spans="1:22" hidden="1" x14ac:dyDescent="0.3">
      <c r="A155" s="7">
        <f>'WCLA Consolidated MTEF Budget'!A155</f>
        <v>88726</v>
      </c>
      <c r="B155" s="7">
        <f t="shared" si="80"/>
        <v>27550.658333333336</v>
      </c>
      <c r="C155" s="7"/>
      <c r="D155" s="7"/>
      <c r="E155" s="7"/>
      <c r="F155" s="7"/>
      <c r="G155" s="7"/>
      <c r="H155" s="7">
        <f t="shared" si="86"/>
        <v>-61175.34166666666</v>
      </c>
      <c r="I155" s="159">
        <f t="shared" si="81"/>
        <v>-2.2204675084896635</v>
      </c>
      <c r="J155" s="159">
        <f t="shared" si="82"/>
        <v>3.2204675084896635</v>
      </c>
      <c r="K155" s="155" t="s">
        <v>211</v>
      </c>
      <c r="L155" s="116">
        <v>7</v>
      </c>
      <c r="M155" s="7">
        <f>'WCLA Consolidated MTEF Budget'!N155</f>
        <v>995027</v>
      </c>
      <c r="N155" s="7">
        <v>330607.90000000002</v>
      </c>
      <c r="O155" s="7"/>
      <c r="P155" s="7"/>
      <c r="Q155" s="7"/>
      <c r="R155" s="7"/>
      <c r="S155" s="7"/>
      <c r="T155" s="7">
        <f t="shared" si="83"/>
        <v>-664419.1</v>
      </c>
      <c r="U155" s="159">
        <f t="shared" si="84"/>
        <v>-2.0096891211613515</v>
      </c>
      <c r="V155" s="159">
        <f t="shared" si="85"/>
        <v>3.0096891211613515</v>
      </c>
    </row>
    <row r="156" spans="1:22" hidden="1" x14ac:dyDescent="0.3">
      <c r="A156" s="7">
        <f>'WCLA Consolidated MTEF Budget'!A156</f>
        <v>181258.00000000003</v>
      </c>
      <c r="B156" s="7">
        <f t="shared" si="80"/>
        <v>78738.875000000015</v>
      </c>
      <c r="C156" s="7"/>
      <c r="D156" s="7"/>
      <c r="E156" s="7"/>
      <c r="F156" s="7"/>
      <c r="G156" s="7"/>
      <c r="H156" s="7">
        <f t="shared" si="86"/>
        <v>-102519.12500000001</v>
      </c>
      <c r="I156" s="159">
        <f t="shared" si="81"/>
        <v>-1.3020140940545568</v>
      </c>
      <c r="J156" s="159">
        <f t="shared" si="82"/>
        <v>2.3020140940545568</v>
      </c>
      <c r="K156" s="13" t="s">
        <v>212</v>
      </c>
      <c r="L156" s="116">
        <v>7</v>
      </c>
      <c r="M156" s="7">
        <f>'WCLA Consolidated MTEF Budget'!N156</f>
        <v>1920391</v>
      </c>
      <c r="N156" s="7">
        <v>944866.50000000012</v>
      </c>
      <c r="O156" s="7"/>
      <c r="P156" s="7"/>
      <c r="Q156" s="7"/>
      <c r="R156" s="7"/>
      <c r="S156" s="7"/>
      <c r="T156" s="7">
        <f t="shared" si="83"/>
        <v>-975524.49999999988</v>
      </c>
      <c r="U156" s="159">
        <f t="shared" si="84"/>
        <v>-1.0324469118124093</v>
      </c>
      <c r="V156" s="159">
        <f t="shared" si="85"/>
        <v>2.0324469118124093</v>
      </c>
    </row>
    <row r="157" spans="1:22" hidden="1" x14ac:dyDescent="0.3">
      <c r="A157" s="7">
        <f>'WCLA Consolidated MTEF Budget'!A157</f>
        <v>24024.000000000004</v>
      </c>
      <c r="B157" s="7">
        <f t="shared" si="80"/>
        <v>40181.941666666673</v>
      </c>
      <c r="C157" s="7"/>
      <c r="D157" s="7"/>
      <c r="E157" s="7"/>
      <c r="F157" s="7"/>
      <c r="G157" s="7"/>
      <c r="H157" s="7">
        <f t="shared" si="86"/>
        <v>16157.941666666669</v>
      </c>
      <c r="I157" s="159">
        <f t="shared" si="81"/>
        <v>0.40211948443672768</v>
      </c>
      <c r="J157" s="159">
        <f t="shared" si="82"/>
        <v>0.59788051556327226</v>
      </c>
      <c r="K157" s="13" t="s">
        <v>213</v>
      </c>
      <c r="L157" s="116">
        <v>7</v>
      </c>
      <c r="M157" s="7">
        <f>'WCLA Consolidated MTEF Budget'!N157</f>
        <v>612997</v>
      </c>
      <c r="N157" s="7">
        <v>482183.30000000005</v>
      </c>
      <c r="O157" s="7"/>
      <c r="P157" s="7"/>
      <c r="Q157" s="7"/>
      <c r="R157" s="7"/>
      <c r="S157" s="7"/>
      <c r="T157" s="7">
        <f t="shared" si="83"/>
        <v>-130813.69999999995</v>
      </c>
      <c r="U157" s="159">
        <f t="shared" si="84"/>
        <v>-0.2712945471151737</v>
      </c>
      <c r="V157" s="159">
        <f t="shared" si="85"/>
        <v>1.2712945471151738</v>
      </c>
    </row>
    <row r="158" spans="1:22" hidden="1" x14ac:dyDescent="0.3">
      <c r="A158" s="7">
        <f>'WCLA Consolidated MTEF Budget'!A158</f>
        <v>26680.500000000004</v>
      </c>
      <c r="B158" s="7">
        <f t="shared" si="80"/>
        <v>29651.633333333335</v>
      </c>
      <c r="C158" s="7"/>
      <c r="D158" s="7"/>
      <c r="E158" s="7"/>
      <c r="F158" s="7"/>
      <c r="G158" s="7"/>
      <c r="H158" s="7">
        <f t="shared" si="86"/>
        <v>2971.1333333333314</v>
      </c>
      <c r="I158" s="159">
        <f t="shared" si="81"/>
        <v>0.10020133798138151</v>
      </c>
      <c r="J158" s="159">
        <f t="shared" si="82"/>
        <v>0.89979866201861847</v>
      </c>
      <c r="K158" s="155" t="s">
        <v>214</v>
      </c>
      <c r="L158" s="116">
        <v>7</v>
      </c>
      <c r="M158" s="7">
        <f>'WCLA Consolidated MTEF Budget'!N158</f>
        <v>416520.50000000006</v>
      </c>
      <c r="N158" s="7">
        <v>355819.60000000003</v>
      </c>
      <c r="O158" s="7"/>
      <c r="P158" s="7"/>
      <c r="Q158" s="7"/>
      <c r="R158" s="7"/>
      <c r="S158" s="7"/>
      <c r="T158" s="7">
        <f t="shared" si="83"/>
        <v>-60700.900000000023</v>
      </c>
      <c r="U158" s="159">
        <f t="shared" si="84"/>
        <v>-0.17059459344004663</v>
      </c>
      <c r="V158" s="159">
        <f t="shared" si="85"/>
        <v>1.1705945934400466</v>
      </c>
    </row>
    <row r="159" spans="1:22" hidden="1" x14ac:dyDescent="0.3">
      <c r="A159" s="7">
        <f>'WCLA Consolidated MTEF Budget'!A159</f>
        <v>4686</v>
      </c>
      <c r="B159" s="7">
        <f t="shared" si="80"/>
        <v>7724.0125000000007</v>
      </c>
      <c r="C159" s="7"/>
      <c r="D159" s="7"/>
      <c r="E159" s="7"/>
      <c r="F159" s="7"/>
      <c r="G159" s="7"/>
      <c r="H159" s="7">
        <f t="shared" si="86"/>
        <v>3038.0125000000007</v>
      </c>
      <c r="I159" s="159">
        <f t="shared" si="81"/>
        <v>0.39332050537204599</v>
      </c>
      <c r="J159" s="159">
        <f t="shared" si="82"/>
        <v>0.60667949462795401</v>
      </c>
      <c r="K159" s="13" t="s">
        <v>215</v>
      </c>
      <c r="L159" s="116">
        <v>7</v>
      </c>
      <c r="M159" s="7">
        <f>'WCLA Consolidated MTEF Budget'!N159</f>
        <v>39699</v>
      </c>
      <c r="N159" s="7">
        <v>92688.150000000009</v>
      </c>
      <c r="O159" s="7"/>
      <c r="P159" s="7"/>
      <c r="Q159" s="7"/>
      <c r="R159" s="7"/>
      <c r="S159" s="7"/>
      <c r="T159" s="7">
        <f t="shared" si="83"/>
        <v>52989.150000000009</v>
      </c>
      <c r="U159" s="159">
        <f t="shared" si="84"/>
        <v>0.57169282157427892</v>
      </c>
      <c r="V159" s="159">
        <f t="shared" si="85"/>
        <v>0.42830717842572102</v>
      </c>
    </row>
    <row r="160" spans="1:22" hidden="1" x14ac:dyDescent="0.3">
      <c r="A160" s="11">
        <f>'WCLA Consolidated MTEF Budget'!A160</f>
        <v>0</v>
      </c>
      <c r="B160" s="11">
        <f t="shared" si="80"/>
        <v>781.16666666666663</v>
      </c>
      <c r="C160" s="11"/>
      <c r="D160" s="11"/>
      <c r="E160" s="11"/>
      <c r="F160" s="11"/>
      <c r="G160" s="11"/>
      <c r="H160" s="11">
        <f t="shared" si="86"/>
        <v>781.16666666666663</v>
      </c>
      <c r="I160" s="160">
        <f t="shared" si="81"/>
        <v>1</v>
      </c>
      <c r="J160" s="160">
        <f t="shared" si="82"/>
        <v>0</v>
      </c>
      <c r="K160" s="13" t="s">
        <v>216</v>
      </c>
      <c r="L160" s="116">
        <v>7</v>
      </c>
      <c r="M160" s="11">
        <f>'WCLA Consolidated MTEF Budget'!N160</f>
        <v>0</v>
      </c>
      <c r="N160" s="11">
        <v>9374</v>
      </c>
      <c r="O160" s="11"/>
      <c r="P160" s="11"/>
      <c r="Q160" s="11"/>
      <c r="R160" s="11"/>
      <c r="S160" s="11"/>
      <c r="T160" s="11">
        <f t="shared" si="83"/>
        <v>9374</v>
      </c>
      <c r="U160" s="160">
        <f t="shared" si="84"/>
        <v>1</v>
      </c>
      <c r="V160" s="160">
        <f t="shared" si="85"/>
        <v>0</v>
      </c>
    </row>
    <row r="161" spans="1:22" ht="6" customHeight="1" x14ac:dyDescent="0.3">
      <c r="A161" s="87"/>
      <c r="B161" s="87"/>
      <c r="C161" s="81"/>
      <c r="D161" s="81"/>
      <c r="E161" s="81"/>
      <c r="F161" s="81"/>
      <c r="G161" s="87"/>
      <c r="H161" s="87"/>
      <c r="I161" s="88"/>
      <c r="J161" s="88"/>
      <c r="K161" s="13"/>
      <c r="L161" s="115"/>
      <c r="M161" s="82"/>
      <c r="N161" s="82"/>
      <c r="O161" s="81"/>
      <c r="P161" s="81"/>
      <c r="Q161" s="81"/>
      <c r="R161" s="81"/>
      <c r="S161" s="87"/>
      <c r="T161" s="88"/>
      <c r="U161" s="119"/>
      <c r="V161" s="119"/>
    </row>
    <row r="162" spans="1:22" x14ac:dyDescent="0.3">
      <c r="A162" s="4">
        <f>SUM(A131:A160)</f>
        <v>699028</v>
      </c>
      <c r="B162" s="4">
        <f>SUM(B131:B160)</f>
        <v>688041.17233333329</v>
      </c>
      <c r="C162" s="4"/>
      <c r="D162" s="4"/>
      <c r="E162" s="4"/>
      <c r="F162" s="4"/>
      <c r="G162" s="4"/>
      <c r="H162" s="4">
        <f t="shared" ref="H162:J162" si="87">SUM(H131:H160)</f>
        <v>-259788.41099999999</v>
      </c>
      <c r="I162" s="4">
        <f t="shared" si="87"/>
        <v>-33.175714238676647</v>
      </c>
      <c r="J162" s="4">
        <f t="shared" si="87"/>
        <v>59.175714238676655</v>
      </c>
      <c r="K162" s="13" t="s">
        <v>243</v>
      </c>
      <c r="L162" s="111"/>
      <c r="M162" s="4">
        <f>SUM(M131:M160)</f>
        <v>8621502.2300000004</v>
      </c>
      <c r="N162" s="4">
        <f>SUM(N131:N160)</f>
        <v>8256494.0680000018</v>
      </c>
      <c r="O162" s="4"/>
      <c r="P162" s="4"/>
      <c r="Q162" s="4"/>
      <c r="R162" s="4"/>
      <c r="S162" s="4"/>
      <c r="T162" s="4">
        <f>N162-M162</f>
        <v>-365008.16199999861</v>
      </c>
      <c r="U162" s="162">
        <f t="shared" ref="U162" si="88">IFERROR(T162/N162,)</f>
        <v>-4.4208614333615788E-2</v>
      </c>
      <c r="V162" s="162">
        <f>IFERROR(M162/N162,)</f>
        <v>1.0442086143336158</v>
      </c>
    </row>
    <row r="163" spans="1:22" ht="6.6" customHeight="1" x14ac:dyDescent="0.3">
      <c r="A163" s="87"/>
      <c r="B163" s="87"/>
      <c r="C163" s="95"/>
      <c r="D163" s="95"/>
      <c r="E163" s="95"/>
      <c r="F163" s="95"/>
      <c r="G163" s="87"/>
      <c r="H163" s="87"/>
      <c r="I163" s="88"/>
      <c r="J163" s="88"/>
      <c r="K163" s="122"/>
      <c r="L163" s="115"/>
      <c r="M163" s="82"/>
      <c r="N163" s="82"/>
      <c r="O163" s="95"/>
      <c r="P163" s="95"/>
      <c r="Q163" s="95"/>
      <c r="R163" s="95"/>
      <c r="S163" s="87"/>
      <c r="T163" s="88"/>
      <c r="U163" s="119"/>
      <c r="V163" s="119"/>
    </row>
    <row r="164" spans="1:22" x14ac:dyDescent="0.3">
      <c r="A164" s="8">
        <f>SUM(A131:A135)</f>
        <v>245564</v>
      </c>
      <c r="B164" s="8">
        <f>SUM(B131:B135)</f>
        <v>329871.25983333337</v>
      </c>
      <c r="C164" s="8">
        <f t="shared" ref="C164:G164" si="89">SUM(C131:C135)</f>
        <v>0</v>
      </c>
      <c r="D164" s="8">
        <f t="shared" si="89"/>
        <v>0</v>
      </c>
      <c r="E164" s="8">
        <f t="shared" si="89"/>
        <v>0</v>
      </c>
      <c r="F164" s="8">
        <f t="shared" si="89"/>
        <v>0</v>
      </c>
      <c r="G164" s="8">
        <f t="shared" si="89"/>
        <v>0</v>
      </c>
      <c r="H164" s="8">
        <f>SUM(H131:H135)</f>
        <v>-164494.32350000003</v>
      </c>
      <c r="I164" s="158">
        <f t="shared" ref="I164" si="90">IFERROR(H164/B164,)</f>
        <v>-0.49866218591795591</v>
      </c>
      <c r="J164" s="158">
        <f t="shared" ref="J164" si="91">IFERROR(A164/B164,)</f>
        <v>0.74442374920467635</v>
      </c>
      <c r="K164" s="180" t="s">
        <v>244</v>
      </c>
      <c r="L164" s="173"/>
      <c r="M164" s="8">
        <f>SUM(M131:M134)</f>
        <v>2822470.75</v>
      </c>
      <c r="N164" s="8">
        <f t="shared" ref="N164:T164" si="92">SUM(N131:N134)</f>
        <v>3927826.1179999998</v>
      </c>
      <c r="O164" s="8">
        <f t="shared" si="92"/>
        <v>0</v>
      </c>
      <c r="P164" s="8">
        <f t="shared" si="92"/>
        <v>0</v>
      </c>
      <c r="Q164" s="8">
        <f t="shared" si="92"/>
        <v>0</v>
      </c>
      <c r="R164" s="8">
        <f t="shared" si="92"/>
        <v>0</v>
      </c>
      <c r="S164" s="8">
        <f t="shared" si="92"/>
        <v>0</v>
      </c>
      <c r="T164" s="8">
        <f t="shared" si="92"/>
        <v>1105355.3680000002</v>
      </c>
      <c r="U164" s="158">
        <f>IFERROR(T164/N164,)</f>
        <v>0.28141657364477057</v>
      </c>
      <c r="V164" s="158">
        <f t="shared" ref="V164" si="93">IFERROR(M164/N164,)</f>
        <v>0.71858342635522954</v>
      </c>
    </row>
    <row r="165" spans="1:22" x14ac:dyDescent="0.3">
      <c r="A165" s="7">
        <f>A136</f>
        <v>1463.0000000000002</v>
      </c>
      <c r="B165" s="7">
        <f t="shared" ref="B165:H165" si="94">B136</f>
        <v>5271.5124999999998</v>
      </c>
      <c r="C165" s="7">
        <f t="shared" si="94"/>
        <v>0</v>
      </c>
      <c r="D165" s="7">
        <f t="shared" si="94"/>
        <v>0</v>
      </c>
      <c r="E165" s="7">
        <f t="shared" si="94"/>
        <v>0</v>
      </c>
      <c r="F165" s="7">
        <f t="shared" si="94"/>
        <v>0</v>
      </c>
      <c r="G165" s="7">
        <f t="shared" si="94"/>
        <v>0</v>
      </c>
      <c r="H165" s="7">
        <f t="shared" si="94"/>
        <v>3808.5124999999998</v>
      </c>
      <c r="I165" s="159">
        <f t="shared" ref="I165:I166" si="95">IFERROR(H165/B165,)</f>
        <v>0.72247054332129534</v>
      </c>
      <c r="J165" s="159">
        <f t="shared" ref="J165:J166" si="96">IFERROR(A165/B165,)</f>
        <v>0.27752945667870471</v>
      </c>
      <c r="K165" s="181" t="s">
        <v>245</v>
      </c>
      <c r="L165" s="174"/>
      <c r="M165" s="7">
        <f>M136</f>
        <v>35646.380000000005</v>
      </c>
      <c r="N165" s="7">
        <f t="shared" ref="N165:V165" si="97">N136</f>
        <v>63258.15</v>
      </c>
      <c r="O165" s="7">
        <f t="shared" si="97"/>
        <v>0</v>
      </c>
      <c r="P165" s="7">
        <f t="shared" si="97"/>
        <v>0</v>
      </c>
      <c r="Q165" s="7">
        <f t="shared" si="97"/>
        <v>0</v>
      </c>
      <c r="R165" s="7">
        <f t="shared" si="97"/>
        <v>0</v>
      </c>
      <c r="S165" s="7">
        <f t="shared" si="97"/>
        <v>0</v>
      </c>
      <c r="T165" s="7">
        <f t="shared" si="97"/>
        <v>27611.769999999997</v>
      </c>
      <c r="U165" s="159">
        <f t="shared" si="97"/>
        <v>0.43649347949631778</v>
      </c>
      <c r="V165" s="159">
        <f t="shared" si="97"/>
        <v>0.56350652050368222</v>
      </c>
    </row>
    <row r="166" spans="1:22" x14ac:dyDescent="0.3">
      <c r="A166" s="11">
        <f>SUM(A137:A160)</f>
        <v>452001</v>
      </c>
      <c r="B166" s="11">
        <f t="shared" ref="B166:H166" si="98">SUM(B137:B160)</f>
        <v>352898.40000000008</v>
      </c>
      <c r="C166" s="11">
        <f t="shared" si="98"/>
        <v>0</v>
      </c>
      <c r="D166" s="11">
        <f t="shared" si="98"/>
        <v>0</v>
      </c>
      <c r="E166" s="11">
        <f t="shared" si="98"/>
        <v>0</v>
      </c>
      <c r="F166" s="11">
        <f t="shared" si="98"/>
        <v>0</v>
      </c>
      <c r="G166" s="11">
        <f t="shared" si="98"/>
        <v>0</v>
      </c>
      <c r="H166" s="11">
        <f t="shared" si="98"/>
        <v>-99102.60000000002</v>
      </c>
      <c r="I166" s="160">
        <f t="shared" si="95"/>
        <v>-0.28082473595799812</v>
      </c>
      <c r="J166" s="160">
        <f t="shared" si="96"/>
        <v>1.2808247359579978</v>
      </c>
      <c r="K166" s="181" t="s">
        <v>246</v>
      </c>
      <c r="L166" s="175"/>
      <c r="M166" s="11">
        <f>SUM(M137:M160)</f>
        <v>5763385.0999999996</v>
      </c>
      <c r="N166" s="11">
        <f t="shared" ref="N166:T166" si="99">SUM(N137:N160)</f>
        <v>4234780.8</v>
      </c>
      <c r="O166" s="11">
        <f t="shared" si="99"/>
        <v>0</v>
      </c>
      <c r="P166" s="11">
        <f t="shared" si="99"/>
        <v>0</v>
      </c>
      <c r="Q166" s="11">
        <f t="shared" si="99"/>
        <v>0</v>
      </c>
      <c r="R166" s="11">
        <f t="shared" si="99"/>
        <v>0</v>
      </c>
      <c r="S166" s="11">
        <f t="shared" si="99"/>
        <v>0</v>
      </c>
      <c r="T166" s="11">
        <f t="shared" si="99"/>
        <v>-1528604.2999999998</v>
      </c>
      <c r="U166" s="160">
        <f t="shared" ref="U166" si="100">IFERROR(T166/N166,)</f>
        <v>-0.36096420858430261</v>
      </c>
      <c r="V166" s="160">
        <f t="shared" ref="V166" si="101">IFERROR(M166/N166,)</f>
        <v>1.3609642085843026</v>
      </c>
    </row>
    <row r="167" spans="1:22" ht="14.4" hidden="1" customHeight="1" x14ac:dyDescent="0.3">
      <c r="A167" s="87"/>
      <c r="B167" s="87"/>
      <c r="C167" s="95"/>
      <c r="D167" s="95"/>
      <c r="E167" s="95"/>
      <c r="F167" s="95"/>
      <c r="G167" s="87"/>
      <c r="H167" s="87"/>
      <c r="I167" s="88"/>
      <c r="J167" s="88"/>
      <c r="K167" s="122"/>
      <c r="L167" s="115"/>
      <c r="M167" s="82"/>
      <c r="N167" s="82"/>
      <c r="O167" s="95"/>
      <c r="P167" s="95"/>
      <c r="Q167" s="95"/>
      <c r="R167" s="95"/>
      <c r="S167" s="87"/>
      <c r="T167" s="88"/>
      <c r="U167" s="119"/>
      <c r="V167" s="119"/>
    </row>
    <row r="168" spans="1:22" ht="6.6" customHeight="1" x14ac:dyDescent="0.3">
      <c r="A168" s="87"/>
      <c r="B168" s="87"/>
      <c r="C168" s="95"/>
      <c r="D168" s="95"/>
      <c r="E168" s="95"/>
      <c r="F168" s="95"/>
      <c r="G168" s="87"/>
      <c r="H168" s="87"/>
      <c r="I168" s="88"/>
      <c r="J168" s="88"/>
      <c r="K168" s="122"/>
      <c r="L168" s="115"/>
      <c r="M168" s="82"/>
      <c r="N168" s="82"/>
      <c r="O168" s="95"/>
      <c r="P168" s="95"/>
      <c r="Q168" s="95"/>
      <c r="R168" s="95"/>
      <c r="S168" s="87"/>
      <c r="T168" s="88"/>
      <c r="U168" s="119"/>
      <c r="V168" s="119"/>
    </row>
    <row r="169" spans="1:22" x14ac:dyDescent="0.3">
      <c r="A169" s="8">
        <f>'WCLA Consolidated MTEF Budget'!A164</f>
        <v>54474.16</v>
      </c>
      <c r="B169" s="8">
        <f t="shared" ref="B169:B173" si="102">N169/12</f>
        <v>52650</v>
      </c>
      <c r="C169" s="8"/>
      <c r="D169" s="8"/>
      <c r="E169" s="8"/>
      <c r="F169" s="8"/>
      <c r="G169" s="8"/>
      <c r="H169" s="8">
        <f t="shared" ref="H169:H173" si="103">B169-A169</f>
        <v>-1824.1600000000035</v>
      </c>
      <c r="I169" s="158">
        <f t="shared" ref="I169:J173" si="104">IFERROR(H169/B169,)</f>
        <v>-3.4646913580246977E-2</v>
      </c>
      <c r="J169" s="158">
        <f t="shared" ref="J169" si="105">IFERROR(A169/B169,)</f>
        <v>1.034646913580247</v>
      </c>
      <c r="K169" s="155" t="s">
        <v>218</v>
      </c>
      <c r="L169" s="176"/>
      <c r="M169" s="8">
        <f>'WCLA Consolidated MTEF Budget'!N164</f>
        <v>753641.52999999991</v>
      </c>
      <c r="N169" s="8">
        <v>631800</v>
      </c>
      <c r="O169" s="8"/>
      <c r="P169" s="8"/>
      <c r="Q169" s="8"/>
      <c r="R169" s="8"/>
      <c r="S169" s="8"/>
      <c r="T169" s="8">
        <f t="shared" ref="T169:T173" si="106">N169-M169</f>
        <v>-121841.52999999991</v>
      </c>
      <c r="U169" s="158">
        <f t="shared" ref="U169:V173" si="107">IFERROR(T169/N169,)</f>
        <v>-0.19284825894270324</v>
      </c>
      <c r="V169" s="158">
        <f t="shared" ref="V169" si="108">IFERROR(M169/N169,)</f>
        <v>1.1928482589427032</v>
      </c>
    </row>
    <row r="170" spans="1:22" x14ac:dyDescent="0.3">
      <c r="A170" s="7">
        <f>'WCLA Consolidated MTEF Budget'!A165</f>
        <v>0</v>
      </c>
      <c r="B170" s="7">
        <f t="shared" si="102"/>
        <v>3509000</v>
      </c>
      <c r="C170" s="7"/>
      <c r="D170" s="7"/>
      <c r="E170" s="7"/>
      <c r="F170" s="7"/>
      <c r="G170" s="7"/>
      <c r="H170" s="7">
        <f t="shared" si="103"/>
        <v>3509000</v>
      </c>
      <c r="I170" s="159">
        <f t="shared" si="104"/>
        <v>1</v>
      </c>
      <c r="J170" s="159">
        <f t="shared" si="104"/>
        <v>0</v>
      </c>
      <c r="K170" s="155" t="s">
        <v>219</v>
      </c>
      <c r="L170" s="177"/>
      <c r="M170" s="7">
        <f>'WCLA Consolidated MTEF Budget'!N165</f>
        <v>31707750</v>
      </c>
      <c r="N170" s="7">
        <v>42108000</v>
      </c>
      <c r="O170" s="7"/>
      <c r="P170" s="7"/>
      <c r="Q170" s="7"/>
      <c r="R170" s="7"/>
      <c r="S170" s="7"/>
      <c r="T170" s="7">
        <f t="shared" si="106"/>
        <v>10400250</v>
      </c>
      <c r="U170" s="159">
        <f t="shared" si="107"/>
        <v>0.24698988315759476</v>
      </c>
      <c r="V170" s="159">
        <f t="shared" si="107"/>
        <v>0</v>
      </c>
    </row>
    <row r="171" spans="1:22" hidden="1" x14ac:dyDescent="0.3">
      <c r="A171" s="7">
        <f>'WCLA Consolidated MTEF Budget'!A166</f>
        <v>0</v>
      </c>
      <c r="B171" s="7">
        <f t="shared" si="102"/>
        <v>0</v>
      </c>
      <c r="C171" s="7"/>
      <c r="D171" s="7"/>
      <c r="E171" s="7"/>
      <c r="F171" s="7"/>
      <c r="G171" s="7"/>
      <c r="H171" s="7">
        <f t="shared" si="103"/>
        <v>0</v>
      </c>
      <c r="I171" s="159">
        <f t="shared" si="104"/>
        <v>0</v>
      </c>
      <c r="J171" s="159">
        <f t="shared" si="104"/>
        <v>0</v>
      </c>
      <c r="K171" s="13" t="s">
        <v>220</v>
      </c>
      <c r="L171" s="178"/>
      <c r="M171" s="7">
        <f>'WCLA Consolidated MTEF Budget'!N166</f>
        <v>0</v>
      </c>
      <c r="N171" s="7">
        <v>0</v>
      </c>
      <c r="O171" s="7"/>
      <c r="P171" s="7"/>
      <c r="Q171" s="7"/>
      <c r="R171" s="7"/>
      <c r="S171" s="7"/>
      <c r="T171" s="7">
        <f t="shared" si="106"/>
        <v>0</v>
      </c>
      <c r="U171" s="159">
        <f t="shared" si="107"/>
        <v>0</v>
      </c>
      <c r="V171" s="159">
        <f t="shared" si="107"/>
        <v>0</v>
      </c>
    </row>
    <row r="172" spans="1:22" hidden="1" x14ac:dyDescent="0.3">
      <c r="A172" s="11">
        <f>'WCLA Consolidated MTEF Budget'!A167</f>
        <v>0</v>
      </c>
      <c r="B172" s="11">
        <f t="shared" si="102"/>
        <v>0</v>
      </c>
      <c r="C172" s="11"/>
      <c r="D172" s="11"/>
      <c r="E172" s="11"/>
      <c r="F172" s="11"/>
      <c r="G172" s="11"/>
      <c r="H172" s="11">
        <f t="shared" si="103"/>
        <v>0</v>
      </c>
      <c r="I172" s="160">
        <f t="shared" si="104"/>
        <v>0</v>
      </c>
      <c r="J172" s="160">
        <f t="shared" si="104"/>
        <v>0</v>
      </c>
      <c r="K172" s="13" t="s">
        <v>221</v>
      </c>
      <c r="L172" s="179"/>
      <c r="M172" s="11">
        <f>'WCLA Consolidated MTEF Budget'!N167</f>
        <v>0</v>
      </c>
      <c r="N172" s="11">
        <v>0</v>
      </c>
      <c r="O172" s="11"/>
      <c r="P172" s="11"/>
      <c r="Q172" s="11"/>
      <c r="R172" s="11"/>
      <c r="S172" s="11"/>
      <c r="T172" s="11">
        <f t="shared" si="106"/>
        <v>0</v>
      </c>
      <c r="U172" s="160">
        <f t="shared" si="107"/>
        <v>0</v>
      </c>
      <c r="V172" s="160">
        <f t="shared" si="107"/>
        <v>0</v>
      </c>
    </row>
    <row r="173" spans="1:22" x14ac:dyDescent="0.3">
      <c r="A173" s="11">
        <f>'WCLA Consolidated MTEF Budget'!A168</f>
        <v>0</v>
      </c>
      <c r="B173" s="11">
        <f t="shared" si="102"/>
        <v>0</v>
      </c>
      <c r="C173" s="11"/>
      <c r="D173" s="11"/>
      <c r="E173" s="11"/>
      <c r="F173" s="11"/>
      <c r="G173" s="11"/>
      <c r="H173" s="11">
        <f t="shared" si="103"/>
        <v>0</v>
      </c>
      <c r="I173" s="160">
        <f t="shared" si="104"/>
        <v>0</v>
      </c>
      <c r="J173" s="160">
        <f t="shared" si="104"/>
        <v>0</v>
      </c>
      <c r="K173" s="13" t="s">
        <v>222</v>
      </c>
      <c r="L173" s="115"/>
      <c r="M173" s="11">
        <f>'WCLA Consolidated MTEF Budget'!N168</f>
        <v>0</v>
      </c>
      <c r="N173" s="11">
        <v>0</v>
      </c>
      <c r="O173" s="11"/>
      <c r="P173" s="11"/>
      <c r="Q173" s="11"/>
      <c r="R173" s="11"/>
      <c r="S173" s="11"/>
      <c r="T173" s="11">
        <f t="shared" si="106"/>
        <v>0</v>
      </c>
      <c r="U173" s="160">
        <f t="shared" si="107"/>
        <v>0</v>
      </c>
      <c r="V173" s="160">
        <f t="shared" si="107"/>
        <v>0</v>
      </c>
    </row>
    <row r="174" spans="1:22" ht="4.2" customHeight="1" x14ac:dyDescent="0.3">
      <c r="A174" s="78"/>
      <c r="B174" s="78"/>
      <c r="C174" s="97"/>
      <c r="D174" s="96"/>
      <c r="E174" s="96"/>
      <c r="F174" s="96"/>
      <c r="I174" s="84"/>
      <c r="J174" s="84"/>
      <c r="K174" s="13"/>
      <c r="L174" s="115"/>
      <c r="M174" s="82"/>
      <c r="N174" s="82"/>
      <c r="O174" s="97"/>
      <c r="P174" s="96"/>
      <c r="Q174" s="96"/>
      <c r="R174" s="96"/>
      <c r="T174" s="84"/>
      <c r="U174" s="161"/>
      <c r="V174" s="161"/>
    </row>
    <row r="175" spans="1:22" x14ac:dyDescent="0.3">
      <c r="A175" s="4">
        <f>A162+SUM(A169:A173)</f>
        <v>753502.16</v>
      </c>
      <c r="B175" s="4">
        <f>B162+SUM(B169:B173)</f>
        <v>4249691.1723333336</v>
      </c>
      <c r="C175" s="4">
        <f t="shared" ref="C175:G175" si="109">SUM(C169:C173)</f>
        <v>0</v>
      </c>
      <c r="D175" s="4">
        <f t="shared" si="109"/>
        <v>0</v>
      </c>
      <c r="E175" s="4">
        <f t="shared" si="109"/>
        <v>0</v>
      </c>
      <c r="F175" s="4">
        <f t="shared" si="109"/>
        <v>0</v>
      </c>
      <c r="G175" s="4">
        <f t="shared" si="109"/>
        <v>0</v>
      </c>
      <c r="H175" s="4">
        <f>H162+SUM(H169:H173)</f>
        <v>3247387.429</v>
      </c>
      <c r="I175" s="4">
        <f>I162+SUM(I169:I173)</f>
        <v>-32.210361152256894</v>
      </c>
      <c r="J175" s="4">
        <f>J162+SUM(J169:J173)</f>
        <v>60.210361152256901</v>
      </c>
      <c r="K175" s="13" t="s">
        <v>223</v>
      </c>
      <c r="L175" s="111"/>
      <c r="M175" s="4">
        <f>M162+SUM(M169:M173)</f>
        <v>41082893.760000005</v>
      </c>
      <c r="N175" s="4">
        <f>N162+SUM(N169:N173)</f>
        <v>50996294.068000004</v>
      </c>
      <c r="O175" s="4">
        <f t="shared" ref="O175:S175" si="110">SUM(O169:O173)</f>
        <v>0</v>
      </c>
      <c r="P175" s="4">
        <f t="shared" si="110"/>
        <v>0</v>
      </c>
      <c r="Q175" s="4">
        <f t="shared" si="110"/>
        <v>0</v>
      </c>
      <c r="R175" s="4">
        <f t="shared" si="110"/>
        <v>0</v>
      </c>
      <c r="S175" s="4">
        <f t="shared" si="110"/>
        <v>0</v>
      </c>
      <c r="T175" s="4">
        <f>N175-M175</f>
        <v>9913400.3079999983</v>
      </c>
      <c r="U175" s="162">
        <f t="shared" ref="U175" si="111">IFERROR(T175/N175,)</f>
        <v>0.19439452393895859</v>
      </c>
      <c r="V175" s="162">
        <f>IFERROR(U175/O175,)</f>
        <v>0</v>
      </c>
    </row>
    <row r="176" spans="1:22" ht="7.95" customHeight="1" x14ac:dyDescent="0.3">
      <c r="A176" s="78"/>
      <c r="B176" s="78"/>
      <c r="C176" s="98"/>
      <c r="K176" s="13"/>
      <c r="L176" s="15"/>
      <c r="M176" s="100"/>
      <c r="N176" s="100"/>
      <c r="O176" s="98"/>
      <c r="T176" s="79"/>
      <c r="U176" s="164"/>
      <c r="V176" s="164"/>
    </row>
    <row r="177" spans="1:24" x14ac:dyDescent="0.3">
      <c r="A177" s="4">
        <f t="shared" ref="A177:J177" si="112">A129-A175</f>
        <v>3495884.124269166</v>
      </c>
      <c r="B177" s="4">
        <f t="shared" si="112"/>
        <v>0</v>
      </c>
      <c r="C177" s="4">
        <f t="shared" si="112"/>
        <v>0</v>
      </c>
      <c r="D177" s="4">
        <f t="shared" si="112"/>
        <v>0</v>
      </c>
      <c r="E177" s="4">
        <f t="shared" si="112"/>
        <v>0</v>
      </c>
      <c r="F177" s="4">
        <f t="shared" si="112"/>
        <v>0</v>
      </c>
      <c r="G177" s="4">
        <f t="shared" si="112"/>
        <v>0</v>
      </c>
      <c r="H177" s="4">
        <f t="shared" si="112"/>
        <v>-3247082.5409358325</v>
      </c>
      <c r="I177" s="4">
        <f t="shared" si="112"/>
        <v>32.210432895838203</v>
      </c>
      <c r="J177" s="4">
        <f t="shared" si="112"/>
        <v>-59.21043289583821</v>
      </c>
      <c r="K177" s="13" t="s">
        <v>224</v>
      </c>
      <c r="L177" s="111"/>
      <c r="M177" s="4" t="e">
        <f t="shared" ref="M177:S177" si="113">M129-M175</f>
        <v>#REF!</v>
      </c>
      <c r="N177" s="4">
        <f t="shared" si="113"/>
        <v>0</v>
      </c>
      <c r="O177" s="4">
        <f t="shared" si="113"/>
        <v>0</v>
      </c>
      <c r="P177" s="4">
        <f t="shared" si="113"/>
        <v>0</v>
      </c>
      <c r="Q177" s="4">
        <f t="shared" si="113"/>
        <v>0</v>
      </c>
      <c r="R177" s="4">
        <f t="shared" si="113"/>
        <v>0</v>
      </c>
      <c r="S177" s="4">
        <f t="shared" si="113"/>
        <v>0</v>
      </c>
      <c r="T177" s="4" t="e">
        <f>N177-M177</f>
        <v>#REF!</v>
      </c>
      <c r="U177" s="162">
        <f t="shared" ref="U177:V177" si="114">IFERROR(T177/N177,)</f>
        <v>0</v>
      </c>
      <c r="V177" s="162">
        <f t="shared" si="114"/>
        <v>0</v>
      </c>
      <c r="X177" s="157"/>
    </row>
    <row r="178" spans="1:24" x14ac:dyDescent="0.3">
      <c r="A178" s="101"/>
      <c r="B178" s="102"/>
      <c r="C178" s="98"/>
      <c r="K178" s="123"/>
      <c r="L178" s="118"/>
      <c r="M178" s="101"/>
      <c r="N178" s="102"/>
      <c r="O178" s="98"/>
      <c r="X178" s="156"/>
    </row>
    <row r="179" spans="1:24" x14ac:dyDescent="0.3">
      <c r="A179" s="103"/>
      <c r="B179" s="104"/>
      <c r="K179" s="123"/>
      <c r="L179" s="15"/>
      <c r="M179" s="103"/>
      <c r="N179" s="104"/>
    </row>
    <row r="180" spans="1:24" x14ac:dyDescent="0.3">
      <c r="A180" s="103"/>
      <c r="B180" s="104"/>
      <c r="K180" s="123"/>
      <c r="L180" s="15"/>
      <c r="M180" s="103"/>
      <c r="N180" s="104"/>
    </row>
    <row r="181" spans="1:24" x14ac:dyDescent="0.3">
      <c r="A181" s="105"/>
      <c r="B181" s="104"/>
      <c r="K181" s="123"/>
      <c r="L181" s="15"/>
      <c r="M181" s="105"/>
      <c r="N181" s="104"/>
    </row>
    <row r="182" spans="1:24" s="78" customFormat="1" x14ac:dyDescent="0.3">
      <c r="A182" s="103"/>
      <c r="B182" s="104"/>
      <c r="G182" s="77"/>
      <c r="I182" s="79"/>
      <c r="J182" s="79"/>
      <c r="K182" s="123"/>
      <c r="L182" s="15"/>
      <c r="M182" s="103"/>
      <c r="N182" s="104"/>
      <c r="S182" s="77"/>
      <c r="U182" s="79"/>
      <c r="V182" s="79"/>
      <c r="W182" s="167"/>
      <c r="X182" s="167"/>
    </row>
    <row r="183" spans="1:24" s="78" customFormat="1" x14ac:dyDescent="0.3">
      <c r="A183" s="105"/>
      <c r="B183" s="104"/>
      <c r="G183" s="77"/>
      <c r="I183" s="79"/>
      <c r="J183" s="79"/>
      <c r="K183" s="123"/>
      <c r="L183" s="15"/>
      <c r="M183" s="105"/>
      <c r="N183" s="104"/>
      <c r="S183" s="77"/>
      <c r="U183" s="79"/>
      <c r="V183" s="79"/>
      <c r="W183" s="167"/>
      <c r="X183" s="167"/>
    </row>
    <row r="184" spans="1:24" s="78" customFormat="1" x14ac:dyDescent="0.3">
      <c r="A184" s="15"/>
      <c r="B184" s="106"/>
      <c r="G184" s="77"/>
      <c r="I184" s="79"/>
      <c r="J184" s="79"/>
      <c r="K184" s="123"/>
      <c r="L184" s="15"/>
      <c r="M184" s="15"/>
      <c r="N184" s="106"/>
      <c r="S184" s="77"/>
      <c r="U184" s="79"/>
      <c r="V184" s="79"/>
      <c r="W184" s="167"/>
      <c r="X184" s="167"/>
    </row>
    <row r="185" spans="1:24" s="78" customFormat="1" x14ac:dyDescent="0.3">
      <c r="A185" s="15"/>
      <c r="B185" s="106"/>
      <c r="G185" s="77"/>
      <c r="I185" s="79"/>
      <c r="J185" s="79"/>
      <c r="K185" s="123"/>
      <c r="L185" s="15"/>
      <c r="M185" s="15"/>
      <c r="N185" s="106"/>
      <c r="S185" s="77"/>
      <c r="U185" s="79"/>
      <c r="V185" s="79"/>
      <c r="W185" s="167"/>
      <c r="X185" s="167"/>
    </row>
  </sheetData>
  <mergeCells count="5">
    <mergeCell ref="K1:V1"/>
    <mergeCell ref="A3:J3"/>
    <mergeCell ref="M3:V3"/>
    <mergeCell ref="K4:K5"/>
    <mergeCell ref="L8:L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P40"/>
  <sheetViews>
    <sheetView zoomScale="80" zoomScaleNormal="80" workbookViewId="0">
      <selection activeCell="J11" sqref="J11"/>
    </sheetView>
  </sheetViews>
  <sheetFormatPr defaultColWidth="9.109375" defaultRowHeight="14.4" x14ac:dyDescent="0.3"/>
  <cols>
    <col min="1" max="1" width="11.5546875" style="167" bestFit="1" customWidth="1"/>
    <col min="2" max="2" width="26" style="167" customWidth="1"/>
    <col min="3" max="3" width="28" style="167" customWidth="1"/>
    <col min="4" max="4" width="5" style="167" bestFit="1" customWidth="1"/>
    <col min="5" max="5" width="13" style="167" customWidth="1"/>
    <col min="6" max="6" width="6.5546875" style="167" bestFit="1" customWidth="1"/>
    <col min="7" max="7" width="14.33203125" style="167" customWidth="1"/>
    <col min="8" max="8" width="6.44140625" style="167" customWidth="1"/>
    <col min="9" max="9" width="14.88671875" style="167" bestFit="1" customWidth="1"/>
    <col min="10" max="11" width="9.109375" style="167"/>
    <col min="12" max="12" width="47.88671875" style="167" bestFit="1" customWidth="1"/>
    <col min="13" max="13" width="16.44140625" style="167" bestFit="1" customWidth="1"/>
    <col min="14" max="14" width="15" style="167" bestFit="1" customWidth="1"/>
    <col min="15" max="16384" width="9.109375" style="167"/>
  </cols>
  <sheetData>
    <row r="1" spans="1:16" x14ac:dyDescent="0.3">
      <c r="A1" s="410" t="s">
        <v>339</v>
      </c>
      <c r="B1" s="410"/>
      <c r="C1" s="410"/>
      <c r="D1" s="410"/>
      <c r="E1" s="410"/>
      <c r="F1" s="410"/>
      <c r="G1" s="410"/>
      <c r="H1" s="410"/>
      <c r="I1" s="410"/>
      <c r="K1" s="410" t="s">
        <v>339</v>
      </c>
      <c r="L1" s="410"/>
      <c r="M1" s="410"/>
      <c r="N1" s="410"/>
    </row>
    <row r="2" spans="1:16" ht="15" customHeight="1" x14ac:dyDescent="0.3">
      <c r="A2" s="415" t="s">
        <v>340</v>
      </c>
      <c r="B2" s="417" t="s">
        <v>341</v>
      </c>
      <c r="C2" s="417" t="s">
        <v>342</v>
      </c>
      <c r="D2" s="419" t="s">
        <v>343</v>
      </c>
      <c r="E2" s="421" t="s">
        <v>344</v>
      </c>
      <c r="F2" s="422"/>
      <c r="G2" s="421" t="s">
        <v>345</v>
      </c>
      <c r="H2" s="422"/>
      <c r="I2" s="297" t="s">
        <v>346</v>
      </c>
      <c r="K2" s="411" t="s">
        <v>340</v>
      </c>
      <c r="L2" s="412" t="s">
        <v>341</v>
      </c>
      <c r="M2" s="413" t="s">
        <v>333</v>
      </c>
      <c r="N2" s="413" t="s">
        <v>338</v>
      </c>
      <c r="P2" s="167">
        <v>1000</v>
      </c>
    </row>
    <row r="3" spans="1:16" x14ac:dyDescent="0.3">
      <c r="A3" s="416"/>
      <c r="B3" s="418"/>
      <c r="C3" s="418"/>
      <c r="D3" s="420"/>
      <c r="E3" s="298" t="s">
        <v>347</v>
      </c>
      <c r="F3" s="298" t="s">
        <v>13</v>
      </c>
      <c r="G3" s="298" t="s">
        <v>347</v>
      </c>
      <c r="H3" s="298" t="s">
        <v>13</v>
      </c>
      <c r="I3" s="298" t="s">
        <v>347</v>
      </c>
      <c r="K3" s="411"/>
      <c r="L3" s="412"/>
      <c r="M3" s="413"/>
      <c r="N3" s="413"/>
    </row>
    <row r="4" spans="1:16" ht="15" customHeight="1" x14ac:dyDescent="0.3">
      <c r="A4" s="299">
        <v>1</v>
      </c>
      <c r="B4" s="300" t="s">
        <v>348</v>
      </c>
      <c r="C4" s="301" t="s">
        <v>283</v>
      </c>
      <c r="D4" s="299" t="s">
        <v>266</v>
      </c>
      <c r="E4" s="302">
        <f>GB!Q112</f>
        <v>429117.61105784</v>
      </c>
      <c r="F4" s="303">
        <f>E4/$E$12</f>
        <v>7.8009450744645483E-3</v>
      </c>
      <c r="G4" s="302">
        <f>GB!N112</f>
        <v>0</v>
      </c>
      <c r="H4" s="303" t="e">
        <f>G4/$G$12</f>
        <v>#DIV/0!</v>
      </c>
      <c r="I4" s="302">
        <f>E4-G4</f>
        <v>429117.61105784</v>
      </c>
      <c r="K4" s="299">
        <v>1</v>
      </c>
      <c r="L4" s="300" t="s">
        <v>348</v>
      </c>
      <c r="M4" s="317">
        <f>(E4+E5)</f>
        <v>3216844.4249061993</v>
      </c>
      <c r="N4" s="317">
        <f>(G4+G5)</f>
        <v>0</v>
      </c>
    </row>
    <row r="5" spans="1:16" ht="15" customHeight="1" x14ac:dyDescent="0.3">
      <c r="A5" s="299">
        <v>1</v>
      </c>
      <c r="B5" s="300" t="s">
        <v>348</v>
      </c>
      <c r="C5" s="301" t="s">
        <v>349</v>
      </c>
      <c r="D5" s="299" t="s">
        <v>259</v>
      </c>
      <c r="E5" s="302">
        <f>CEO!Q112</f>
        <v>2787726.8138483595</v>
      </c>
      <c r="F5" s="303">
        <f t="shared" ref="F5:F11" si="0">E5/$E$12</f>
        <v>5.0678189841320408E-2</v>
      </c>
      <c r="G5" s="302">
        <f>CEO!N112</f>
        <v>0</v>
      </c>
      <c r="H5" s="303" t="e">
        <f t="shared" ref="H5:H11" si="1">G5/$G$12</f>
        <v>#DIV/0!</v>
      </c>
      <c r="I5" s="302">
        <f t="shared" ref="I5:I11" si="2">E5-G5</f>
        <v>2787726.8138483595</v>
      </c>
      <c r="K5" s="304">
        <v>2</v>
      </c>
      <c r="L5" s="300" t="s">
        <v>350</v>
      </c>
      <c r="M5" s="317">
        <f>(E6)</f>
        <v>12681434.706733271</v>
      </c>
      <c r="N5" s="317">
        <f>(G6)</f>
        <v>0</v>
      </c>
    </row>
    <row r="6" spans="1:16" ht="29.25" customHeight="1" x14ac:dyDescent="0.3">
      <c r="A6" s="304">
        <v>2</v>
      </c>
      <c r="B6" s="300" t="s">
        <v>350</v>
      </c>
      <c r="C6" s="301" t="s">
        <v>351</v>
      </c>
      <c r="D6" s="299" t="s">
        <v>352</v>
      </c>
      <c r="E6" s="302">
        <f>CFO!Q112</f>
        <v>12681434.706733271</v>
      </c>
      <c r="F6" s="303">
        <f t="shared" si="0"/>
        <v>0.23053627505234334</v>
      </c>
      <c r="G6" s="302">
        <f>CFO!N112</f>
        <v>0</v>
      </c>
      <c r="H6" s="303" t="e">
        <f t="shared" si="1"/>
        <v>#DIV/0!</v>
      </c>
      <c r="I6" s="302">
        <f t="shared" si="2"/>
        <v>12681434.706733271</v>
      </c>
      <c r="K6" s="304">
        <v>3</v>
      </c>
      <c r="L6" s="300" t="s">
        <v>362</v>
      </c>
      <c r="M6" s="317">
        <f>(E7)</f>
        <v>4643270.9864315614</v>
      </c>
      <c r="N6" s="317">
        <f>(G7)</f>
        <v>0</v>
      </c>
    </row>
    <row r="7" spans="1:16" ht="38.25" customHeight="1" x14ac:dyDescent="0.3">
      <c r="A7" s="304">
        <v>3</v>
      </c>
      <c r="B7" s="300" t="s">
        <v>353</v>
      </c>
      <c r="C7" s="300" t="s">
        <v>353</v>
      </c>
      <c r="D7" s="299" t="s">
        <v>264</v>
      </c>
      <c r="E7" s="302">
        <f>CES!Q112</f>
        <v>4643270.9864315614</v>
      </c>
      <c r="F7" s="303">
        <f t="shared" si="0"/>
        <v>8.4410196639832499E-2</v>
      </c>
      <c r="G7" s="302">
        <f>CES!N112</f>
        <v>0</v>
      </c>
      <c r="H7" s="303" t="e">
        <f t="shared" si="1"/>
        <v>#DIV/0!</v>
      </c>
      <c r="I7" s="302">
        <f t="shared" si="2"/>
        <v>4643270.9864315614</v>
      </c>
      <c r="K7" s="304">
        <v>4</v>
      </c>
      <c r="L7" s="300" t="s">
        <v>363</v>
      </c>
      <c r="M7" s="317">
        <f>(E8)</f>
        <v>9688056.4238239359</v>
      </c>
      <c r="N7" s="317">
        <f>(G8)</f>
        <v>0</v>
      </c>
    </row>
    <row r="8" spans="1:16" ht="25.5" customHeight="1" x14ac:dyDescent="0.3">
      <c r="A8" s="304">
        <v>4</v>
      </c>
      <c r="B8" s="300" t="s">
        <v>354</v>
      </c>
      <c r="C8" s="301" t="s">
        <v>354</v>
      </c>
      <c r="D8" s="299" t="s">
        <v>355</v>
      </c>
      <c r="E8" s="302">
        <f>'C&amp;E'!Q112</f>
        <v>9688056.4238239359</v>
      </c>
      <c r="F8" s="303">
        <f t="shared" si="0"/>
        <v>0.17611953947603703</v>
      </c>
      <c r="G8" s="302">
        <f>'C&amp;E'!N112</f>
        <v>0</v>
      </c>
      <c r="H8" s="303" t="e">
        <f t="shared" si="1"/>
        <v>#DIV/0!</v>
      </c>
      <c r="I8" s="302">
        <f t="shared" si="2"/>
        <v>9688056.4238239359</v>
      </c>
      <c r="K8" s="304">
        <v>5</v>
      </c>
      <c r="L8" s="300" t="s">
        <v>364</v>
      </c>
      <c r="M8" s="317">
        <f>(E9)</f>
        <v>10362608.577165477</v>
      </c>
      <c r="N8" s="317">
        <f>(G9)</f>
        <v>0</v>
      </c>
    </row>
    <row r="9" spans="1:16" ht="15" customHeight="1" x14ac:dyDescent="0.3">
      <c r="A9" s="304">
        <v>5</v>
      </c>
      <c r="B9" s="300" t="s">
        <v>356</v>
      </c>
      <c r="C9" s="301" t="s">
        <v>356</v>
      </c>
      <c r="D9" s="299" t="s">
        <v>260</v>
      </c>
      <c r="E9" s="302">
        <f>CS!Q112</f>
        <v>10362608.577165477</v>
      </c>
      <c r="F9" s="303">
        <f t="shared" si="0"/>
        <v>0.18838224825908412</v>
      </c>
      <c r="G9" s="302">
        <f>CS!N112</f>
        <v>0</v>
      </c>
      <c r="H9" s="303" t="e">
        <f t="shared" si="1"/>
        <v>#DIV/0!</v>
      </c>
      <c r="I9" s="302">
        <f t="shared" si="2"/>
        <v>10362608.577165477</v>
      </c>
      <c r="K9" s="304">
        <v>6</v>
      </c>
      <c r="L9" s="300" t="s">
        <v>365</v>
      </c>
      <c r="M9" s="317">
        <f>(E10+E11)</f>
        <v>14416198.215691088</v>
      </c>
      <c r="N9" s="317">
        <f>(G10+G11)</f>
        <v>0</v>
      </c>
    </row>
    <row r="10" spans="1:16" ht="25.5" customHeight="1" thickBot="1" x14ac:dyDescent="0.35">
      <c r="A10" s="304">
        <v>6</v>
      </c>
      <c r="B10" s="300" t="s">
        <v>357</v>
      </c>
      <c r="C10" s="300" t="s">
        <v>357</v>
      </c>
      <c r="D10" s="299" t="s">
        <v>358</v>
      </c>
      <c r="E10" s="302">
        <f>LLA!Q112</f>
        <v>10570695.856141923</v>
      </c>
      <c r="F10" s="303">
        <f t="shared" si="0"/>
        <v>0.19216507467347529</v>
      </c>
      <c r="G10" s="302">
        <f>LLA!N112</f>
        <v>0</v>
      </c>
      <c r="H10" s="303" t="e">
        <f t="shared" si="1"/>
        <v>#DIV/0!</v>
      </c>
      <c r="I10" s="302">
        <f t="shared" si="2"/>
        <v>10570695.856141923</v>
      </c>
      <c r="K10" s="305" t="s">
        <v>52</v>
      </c>
      <c r="L10" s="305"/>
      <c r="M10" s="306">
        <f>SUM(M4:M9)</f>
        <v>55008413.334751539</v>
      </c>
      <c r="N10" s="306">
        <f>SUM(N4:N9)</f>
        <v>0</v>
      </c>
    </row>
    <row r="11" spans="1:16" ht="25.5" customHeight="1" thickTop="1" x14ac:dyDescent="0.3">
      <c r="A11" s="304">
        <v>6</v>
      </c>
      <c r="B11" s="300" t="s">
        <v>357</v>
      </c>
      <c r="C11" s="301" t="s">
        <v>359</v>
      </c>
      <c r="D11" s="299" t="s">
        <v>265</v>
      </c>
      <c r="E11" s="302">
        <f>LLT!Q112</f>
        <v>3845502.3595491648</v>
      </c>
      <c r="F11" s="303">
        <f t="shared" si="0"/>
        <v>6.9907530983442684E-2</v>
      </c>
      <c r="G11" s="302">
        <f>LLT!N112</f>
        <v>0</v>
      </c>
      <c r="H11" s="303" t="e">
        <f t="shared" si="1"/>
        <v>#DIV/0!</v>
      </c>
      <c r="I11" s="302">
        <f t="shared" si="2"/>
        <v>3845502.3595491648</v>
      </c>
    </row>
    <row r="12" spans="1:16" s="308" customFormat="1" ht="15" thickBot="1" x14ac:dyDescent="0.35">
      <c r="A12" s="305" t="s">
        <v>52</v>
      </c>
      <c r="B12" s="305"/>
      <c r="C12" s="305"/>
      <c r="D12" s="305"/>
      <c r="E12" s="306">
        <f>SUM(E4:E11)</f>
        <v>55008413.334751539</v>
      </c>
      <c r="F12" s="307">
        <f>SUM(F4:F11)</f>
        <v>1</v>
      </c>
      <c r="G12" s="306">
        <f t="shared" ref="G12:I12" si="3">SUM(G4:G11)</f>
        <v>0</v>
      </c>
      <c r="H12" s="307" t="e">
        <f>SUM(H4:H11)</f>
        <v>#DIV/0!</v>
      </c>
      <c r="I12" s="306">
        <f t="shared" si="3"/>
        <v>55008413.334751539</v>
      </c>
      <c r="K12" s="167"/>
      <c r="L12" s="167"/>
      <c r="M12" s="167"/>
      <c r="N12" s="167"/>
    </row>
    <row r="13" spans="1:16" ht="15" thickTop="1" x14ac:dyDescent="0.3">
      <c r="E13" s="296">
        <f>E12-'Budget Report DOCs'!N112</f>
        <v>5719837.5971515328</v>
      </c>
      <c r="G13" s="296" t="e">
        <f>G12-'Budget Report DOCs'!M112</f>
        <v>#REF!</v>
      </c>
    </row>
    <row r="14" spans="1:16" x14ac:dyDescent="0.3">
      <c r="A14" s="414" t="s">
        <v>360</v>
      </c>
      <c r="B14" s="414"/>
      <c r="C14" s="414"/>
      <c r="D14" s="414"/>
      <c r="E14" s="414"/>
      <c r="F14" s="414"/>
      <c r="G14" s="414"/>
      <c r="H14" s="414"/>
      <c r="I14" s="414"/>
    </row>
    <row r="15" spans="1:16" ht="15" customHeight="1" x14ac:dyDescent="0.3">
      <c r="A15" s="415" t="s">
        <v>340</v>
      </c>
      <c r="B15" s="417" t="s">
        <v>341</v>
      </c>
      <c r="C15" s="417" t="s">
        <v>342</v>
      </c>
      <c r="D15" s="419" t="s">
        <v>343</v>
      </c>
      <c r="E15" s="421" t="s">
        <v>344</v>
      </c>
      <c r="F15" s="422"/>
      <c r="G15" s="421" t="s">
        <v>345</v>
      </c>
      <c r="H15" s="422"/>
      <c r="I15" s="297" t="s">
        <v>346</v>
      </c>
    </row>
    <row r="16" spans="1:16" x14ac:dyDescent="0.3">
      <c r="A16" s="416"/>
      <c r="B16" s="418"/>
      <c r="C16" s="418"/>
      <c r="D16" s="420"/>
      <c r="E16" s="298" t="s">
        <v>347</v>
      </c>
      <c r="F16" s="298" t="s">
        <v>13</v>
      </c>
      <c r="G16" s="298" t="s">
        <v>347</v>
      </c>
      <c r="H16" s="298" t="s">
        <v>13</v>
      </c>
      <c r="I16" s="297"/>
    </row>
    <row r="17" spans="1:9" x14ac:dyDescent="0.3">
      <c r="A17" s="299">
        <v>1</v>
      </c>
      <c r="B17" s="300" t="s">
        <v>348</v>
      </c>
      <c r="C17" s="301" t="s">
        <v>283</v>
      </c>
      <c r="D17" s="309" t="s">
        <v>266</v>
      </c>
      <c r="E17" s="302">
        <f>GB!Q127</f>
        <v>0</v>
      </c>
      <c r="F17" s="310">
        <f>E17/$E$25</f>
        <v>0</v>
      </c>
      <c r="G17" s="302">
        <f>GB!N127</f>
        <v>0</v>
      </c>
      <c r="H17" s="310">
        <f>G17/$G$25</f>
        <v>0</v>
      </c>
      <c r="I17" s="294">
        <f>E17-G17</f>
        <v>0</v>
      </c>
    </row>
    <row r="18" spans="1:9" x14ac:dyDescent="0.3">
      <c r="A18" s="299">
        <v>1</v>
      </c>
      <c r="B18" s="300" t="s">
        <v>348</v>
      </c>
      <c r="C18" s="301" t="s">
        <v>349</v>
      </c>
      <c r="D18" s="309" t="s">
        <v>259</v>
      </c>
      <c r="E18" s="302">
        <f>CEO!Q127</f>
        <v>0</v>
      </c>
      <c r="F18" s="310">
        <f t="shared" ref="F18:F24" si="4">E18/$E$25</f>
        <v>0</v>
      </c>
      <c r="G18" s="302">
        <f>CEO!N127</f>
        <v>0</v>
      </c>
      <c r="H18" s="310">
        <f t="shared" ref="H18:H24" si="5">G18/$G$25</f>
        <v>0</v>
      </c>
      <c r="I18" s="294">
        <f t="shared" ref="I18:I24" si="6">E18-G18</f>
        <v>0</v>
      </c>
    </row>
    <row r="19" spans="1:9" x14ac:dyDescent="0.3">
      <c r="A19" s="304">
        <v>2</v>
      </c>
      <c r="B19" s="300" t="s">
        <v>350</v>
      </c>
      <c r="C19" s="301" t="s">
        <v>351</v>
      </c>
      <c r="D19" s="309" t="s">
        <v>352</v>
      </c>
      <c r="E19" s="302">
        <f>CFO!Q127</f>
        <v>1644448.3360000006</v>
      </c>
      <c r="F19" s="310">
        <f t="shared" si="4"/>
        <v>0.70669019499390151</v>
      </c>
      <c r="G19" s="302">
        <f>CFO!N127</f>
        <v>0</v>
      </c>
      <c r="H19" s="310">
        <f t="shared" si="5"/>
        <v>0</v>
      </c>
      <c r="I19" s="294">
        <f t="shared" si="6"/>
        <v>1644448.3360000006</v>
      </c>
    </row>
    <row r="20" spans="1:9" ht="26.4" x14ac:dyDescent="0.3">
      <c r="A20" s="304">
        <v>3</v>
      </c>
      <c r="B20" s="300" t="s">
        <v>353</v>
      </c>
      <c r="C20" s="301" t="s">
        <v>353</v>
      </c>
      <c r="D20" s="309" t="s">
        <v>264</v>
      </c>
      <c r="E20" s="302">
        <f>CES!Q127</f>
        <v>0</v>
      </c>
      <c r="F20" s="310">
        <f t="shared" si="4"/>
        <v>0</v>
      </c>
      <c r="G20" s="302">
        <f>CES!N127</f>
        <v>0</v>
      </c>
      <c r="H20" s="310">
        <f t="shared" si="5"/>
        <v>0</v>
      </c>
      <c r="I20" s="294">
        <f t="shared" si="6"/>
        <v>0</v>
      </c>
    </row>
    <row r="21" spans="1:9" x14ac:dyDescent="0.3">
      <c r="A21" s="304">
        <v>4</v>
      </c>
      <c r="B21" s="300" t="s">
        <v>354</v>
      </c>
      <c r="C21" s="301" t="s">
        <v>354</v>
      </c>
      <c r="D21" s="309" t="s">
        <v>355</v>
      </c>
      <c r="E21" s="302">
        <f>'C&amp;E'!Q127</f>
        <v>50450.720000000001</v>
      </c>
      <c r="F21" s="310">
        <f t="shared" si="4"/>
        <v>2.1680844799968662E-2</v>
      </c>
      <c r="G21" s="302">
        <f>'C&amp;E'!N127+27866.7</f>
        <v>27866.7</v>
      </c>
      <c r="H21" s="310">
        <f t="shared" si="5"/>
        <v>1</v>
      </c>
      <c r="I21" s="294">
        <f t="shared" si="6"/>
        <v>22584.02</v>
      </c>
    </row>
    <row r="22" spans="1:9" x14ac:dyDescent="0.3">
      <c r="A22" s="304">
        <v>5</v>
      </c>
      <c r="B22" s="300" t="s">
        <v>356</v>
      </c>
      <c r="C22" s="301" t="s">
        <v>356</v>
      </c>
      <c r="D22" s="309" t="s">
        <v>260</v>
      </c>
      <c r="E22" s="302">
        <f>CS!Q127</f>
        <v>632073</v>
      </c>
      <c r="F22" s="310">
        <f t="shared" si="4"/>
        <v>0.2716289602061297</v>
      </c>
      <c r="G22" s="302">
        <f>CS!N127</f>
        <v>0</v>
      </c>
      <c r="H22" s="310">
        <f t="shared" si="5"/>
        <v>0</v>
      </c>
      <c r="I22" s="294">
        <f t="shared" si="6"/>
        <v>632073</v>
      </c>
    </row>
    <row r="23" spans="1:9" ht="26.4" x14ac:dyDescent="0.3">
      <c r="A23" s="304">
        <v>6</v>
      </c>
      <c r="B23" s="300" t="s">
        <v>357</v>
      </c>
      <c r="C23" s="300" t="s">
        <v>357</v>
      </c>
      <c r="D23" s="309" t="s">
        <v>358</v>
      </c>
      <c r="E23" s="302">
        <f>LLA!Q127</f>
        <v>0</v>
      </c>
      <c r="F23" s="310">
        <f t="shared" si="4"/>
        <v>0</v>
      </c>
      <c r="G23" s="302">
        <f>LLA!N127</f>
        <v>0</v>
      </c>
      <c r="H23" s="310">
        <f t="shared" si="5"/>
        <v>0</v>
      </c>
      <c r="I23" s="294">
        <f t="shared" si="6"/>
        <v>0</v>
      </c>
    </row>
    <row r="24" spans="1:9" ht="26.4" x14ac:dyDescent="0.3">
      <c r="A24" s="304">
        <v>6</v>
      </c>
      <c r="B24" s="300" t="s">
        <v>357</v>
      </c>
      <c r="C24" s="301" t="s">
        <v>359</v>
      </c>
      <c r="D24" s="309" t="s">
        <v>265</v>
      </c>
      <c r="E24" s="302">
        <f>LLT!Q127</f>
        <v>0</v>
      </c>
      <c r="F24" s="310">
        <f t="shared" si="4"/>
        <v>0</v>
      </c>
      <c r="G24" s="302">
        <f>LLT!N127</f>
        <v>0</v>
      </c>
      <c r="H24" s="310">
        <f t="shared" si="5"/>
        <v>0</v>
      </c>
      <c r="I24" s="294">
        <f t="shared" si="6"/>
        <v>0</v>
      </c>
    </row>
    <row r="25" spans="1:9" s="308" customFormat="1" ht="15" thickBot="1" x14ac:dyDescent="0.35">
      <c r="A25" s="308" t="s">
        <v>52</v>
      </c>
      <c r="E25" s="311">
        <f>SUM(E17:E24)</f>
        <v>2326972.0560000008</v>
      </c>
      <c r="F25" s="312">
        <f>SUM(F17:F24)</f>
        <v>0.99999999999999989</v>
      </c>
      <c r="G25" s="311">
        <f>SUM(G17:G24)</f>
        <v>27866.7</v>
      </c>
      <c r="H25" s="312">
        <f>SUM(H17:H24)</f>
        <v>1</v>
      </c>
      <c r="I25" s="311">
        <f t="shared" ref="I25" si="7">SUM(I17:I24)</f>
        <v>2299105.3560000006</v>
      </c>
    </row>
    <row r="26" spans="1:9" ht="15" thickTop="1" x14ac:dyDescent="0.3">
      <c r="E26" s="296">
        <f>E25-'Budget Report DOCs'!N127</f>
        <v>619253.72560000094</v>
      </c>
      <c r="G26" s="296">
        <f>G25-'Budget Report DOCs'!M127</f>
        <v>-1820708.5800000005</v>
      </c>
    </row>
    <row r="27" spans="1:9" x14ac:dyDescent="0.3">
      <c r="A27" s="414" t="s">
        <v>361</v>
      </c>
      <c r="B27" s="414"/>
      <c r="C27" s="414"/>
      <c r="D27" s="414"/>
      <c r="E27" s="414"/>
      <c r="F27" s="414"/>
      <c r="G27" s="414"/>
      <c r="H27" s="414"/>
      <c r="I27" s="414"/>
    </row>
    <row r="28" spans="1:9" ht="15" customHeight="1" x14ac:dyDescent="0.3">
      <c r="A28" s="415" t="s">
        <v>340</v>
      </c>
      <c r="B28" s="417" t="s">
        <v>341</v>
      </c>
      <c r="C28" s="417" t="s">
        <v>342</v>
      </c>
      <c r="D28" s="419" t="s">
        <v>343</v>
      </c>
      <c r="E28" s="421" t="s">
        <v>344</v>
      </c>
      <c r="F28" s="422"/>
      <c r="G28" s="421" t="s">
        <v>345</v>
      </c>
      <c r="H28" s="422"/>
      <c r="I28" s="297" t="s">
        <v>346</v>
      </c>
    </row>
    <row r="29" spans="1:9" ht="15" customHeight="1" x14ac:dyDescent="0.3">
      <c r="A29" s="416"/>
      <c r="B29" s="418"/>
      <c r="C29" s="418"/>
      <c r="D29" s="420"/>
      <c r="E29" s="298" t="s">
        <v>347</v>
      </c>
      <c r="F29" s="298" t="s">
        <v>13</v>
      </c>
      <c r="G29" s="298" t="s">
        <v>347</v>
      </c>
      <c r="H29" s="298" t="s">
        <v>13</v>
      </c>
      <c r="I29" s="297"/>
    </row>
    <row r="30" spans="1:9" x14ac:dyDescent="0.3">
      <c r="A30" s="299">
        <v>1</v>
      </c>
      <c r="B30" s="300" t="s">
        <v>348</v>
      </c>
      <c r="C30" s="301" t="s">
        <v>283</v>
      </c>
      <c r="D30" s="309" t="s">
        <v>266</v>
      </c>
      <c r="E30" s="294">
        <f t="shared" ref="E30:E37" si="8">E4+E17</f>
        <v>429117.61105784</v>
      </c>
      <c r="F30" s="310">
        <f>E30/$E$38</f>
        <v>7.4843416178913243E-3</v>
      </c>
      <c r="G30" s="294">
        <f>G4+G17</f>
        <v>0</v>
      </c>
      <c r="H30" s="310">
        <f>G30/$G$38</f>
        <v>0</v>
      </c>
      <c r="I30" s="313">
        <f>E30-G30</f>
        <v>429117.61105784</v>
      </c>
    </row>
    <row r="31" spans="1:9" x14ac:dyDescent="0.3">
      <c r="A31" s="299">
        <v>1</v>
      </c>
      <c r="B31" s="300" t="s">
        <v>348</v>
      </c>
      <c r="C31" s="301" t="s">
        <v>349</v>
      </c>
      <c r="D31" s="309" t="s">
        <v>259</v>
      </c>
      <c r="E31" s="294">
        <f t="shared" si="8"/>
        <v>2787726.8138483595</v>
      </c>
      <c r="F31" s="310">
        <f t="shared" ref="F31:F37" si="9">E31/$E$38</f>
        <v>4.8621401859418434E-2</v>
      </c>
      <c r="G31" s="294">
        <f t="shared" ref="G31:G37" si="10">G5+G18</f>
        <v>0</v>
      </c>
      <c r="H31" s="310">
        <f t="shared" ref="H31:H37" si="11">G31/$G$38</f>
        <v>0</v>
      </c>
      <c r="I31" s="313">
        <f t="shared" ref="I31:I37" si="12">E31-G31</f>
        <v>2787726.8138483595</v>
      </c>
    </row>
    <row r="32" spans="1:9" x14ac:dyDescent="0.3">
      <c r="A32" s="304">
        <v>2</v>
      </c>
      <c r="B32" s="300" t="s">
        <v>350</v>
      </c>
      <c r="C32" s="301" t="s">
        <v>351</v>
      </c>
      <c r="D32" s="309" t="s">
        <v>352</v>
      </c>
      <c r="E32" s="294">
        <f t="shared" si="8"/>
        <v>14325883.042733273</v>
      </c>
      <c r="F32" s="310">
        <f t="shared" si="9"/>
        <v>0.24986111011724538</v>
      </c>
      <c r="G32" s="294">
        <f t="shared" si="10"/>
        <v>0</v>
      </c>
      <c r="H32" s="310">
        <f t="shared" si="11"/>
        <v>0</v>
      </c>
      <c r="I32" s="313">
        <f t="shared" si="12"/>
        <v>14325883.042733273</v>
      </c>
    </row>
    <row r="33" spans="1:9" ht="26.4" x14ac:dyDescent="0.3">
      <c r="A33" s="304">
        <v>3</v>
      </c>
      <c r="B33" s="300" t="s">
        <v>353</v>
      </c>
      <c r="C33" s="301" t="s">
        <v>353</v>
      </c>
      <c r="D33" s="299" t="s">
        <v>264</v>
      </c>
      <c r="E33" s="302">
        <f t="shared" si="8"/>
        <v>4643270.9864315614</v>
      </c>
      <c r="F33" s="303">
        <f t="shared" si="9"/>
        <v>8.0984386078279375E-2</v>
      </c>
      <c r="G33" s="294">
        <f t="shared" si="10"/>
        <v>0</v>
      </c>
      <c r="H33" s="303">
        <f t="shared" si="11"/>
        <v>0</v>
      </c>
      <c r="I33" s="314">
        <f t="shared" si="12"/>
        <v>4643270.9864315614</v>
      </c>
    </row>
    <row r="34" spans="1:9" x14ac:dyDescent="0.3">
      <c r="A34" s="304">
        <v>4</v>
      </c>
      <c r="B34" s="300" t="s">
        <v>354</v>
      </c>
      <c r="C34" s="301" t="s">
        <v>354</v>
      </c>
      <c r="D34" s="309" t="s">
        <v>355</v>
      </c>
      <c r="E34" s="294">
        <f t="shared" si="8"/>
        <v>9738507.1438239366</v>
      </c>
      <c r="F34" s="310">
        <f t="shared" si="9"/>
        <v>0.16985160346362305</v>
      </c>
      <c r="G34" s="294">
        <f t="shared" si="10"/>
        <v>27866.7</v>
      </c>
      <c r="H34" s="310">
        <f t="shared" si="11"/>
        <v>1</v>
      </c>
      <c r="I34" s="313">
        <f t="shared" si="12"/>
        <v>9710640.4438239373</v>
      </c>
    </row>
    <row r="35" spans="1:9" x14ac:dyDescent="0.3">
      <c r="A35" s="304">
        <v>5</v>
      </c>
      <c r="B35" s="300" t="s">
        <v>356</v>
      </c>
      <c r="C35" s="301" t="s">
        <v>356</v>
      </c>
      <c r="D35" s="309" t="s">
        <v>260</v>
      </c>
      <c r="E35" s="294">
        <f t="shared" si="8"/>
        <v>10994681.577165477</v>
      </c>
      <c r="F35" s="310">
        <f t="shared" si="9"/>
        <v>0.19176083848106426</v>
      </c>
      <c r="G35" s="294">
        <f t="shared" si="10"/>
        <v>0</v>
      </c>
      <c r="H35" s="310">
        <f t="shared" si="11"/>
        <v>0</v>
      </c>
      <c r="I35" s="313">
        <f t="shared" si="12"/>
        <v>10994681.577165477</v>
      </c>
    </row>
    <row r="36" spans="1:9" ht="26.4" x14ac:dyDescent="0.3">
      <c r="A36" s="304">
        <v>6</v>
      </c>
      <c r="B36" s="300" t="s">
        <v>357</v>
      </c>
      <c r="C36" s="300" t="s">
        <v>357</v>
      </c>
      <c r="D36" s="309" t="s">
        <v>358</v>
      </c>
      <c r="E36" s="294">
        <f t="shared" si="8"/>
        <v>10570695.856141923</v>
      </c>
      <c r="F36" s="310">
        <f t="shared" si="9"/>
        <v>0.18436600336948331</v>
      </c>
      <c r="G36" s="294">
        <f t="shared" si="10"/>
        <v>0</v>
      </c>
      <c r="H36" s="310">
        <f t="shared" si="11"/>
        <v>0</v>
      </c>
      <c r="I36" s="313">
        <f t="shared" si="12"/>
        <v>10570695.856141923</v>
      </c>
    </row>
    <row r="37" spans="1:9" ht="26.4" x14ac:dyDescent="0.3">
      <c r="A37" s="304">
        <v>6</v>
      </c>
      <c r="B37" s="300" t="s">
        <v>357</v>
      </c>
      <c r="C37" s="301" t="s">
        <v>359</v>
      </c>
      <c r="D37" s="309" t="s">
        <v>265</v>
      </c>
      <c r="E37" s="294">
        <f t="shared" si="8"/>
        <v>3845502.3595491648</v>
      </c>
      <c r="F37" s="310">
        <f t="shared" si="9"/>
        <v>6.7070315012994777E-2</v>
      </c>
      <c r="G37" s="294">
        <f t="shared" si="10"/>
        <v>0</v>
      </c>
      <c r="H37" s="310">
        <f t="shared" si="11"/>
        <v>0</v>
      </c>
      <c r="I37" s="313">
        <f t="shared" si="12"/>
        <v>3845502.3595491648</v>
      </c>
    </row>
    <row r="38" spans="1:9" s="308" customFormat="1" ht="15" thickBot="1" x14ac:dyDescent="0.35">
      <c r="A38" s="308" t="s">
        <v>52</v>
      </c>
      <c r="E38" s="311">
        <f>SUM(E30:E37)</f>
        <v>57335385.390751541</v>
      </c>
      <c r="F38" s="312">
        <f>SUM(F30:F37)</f>
        <v>0.99999999999999989</v>
      </c>
      <c r="G38" s="315">
        <f>SUM(G30:G37)</f>
        <v>27866.7</v>
      </c>
      <c r="H38" s="312">
        <f>SUM(H30:H37)</f>
        <v>1</v>
      </c>
      <c r="I38" s="315">
        <f t="shared" ref="I38" si="13">SUM(I30:I37)</f>
        <v>57307518.690751538</v>
      </c>
    </row>
    <row r="39" spans="1:9" ht="15" thickTop="1" x14ac:dyDescent="0.3"/>
    <row r="40" spans="1:9" x14ac:dyDescent="0.3">
      <c r="E40" s="295"/>
      <c r="G40" s="182" t="e">
        <f>G38-'Budget Report DOCs'!M129</f>
        <v>#REF!</v>
      </c>
    </row>
  </sheetData>
  <mergeCells count="26">
    <mergeCell ref="A1:I1"/>
    <mergeCell ref="A2:A3"/>
    <mergeCell ref="B2:B3"/>
    <mergeCell ref="C2:C3"/>
    <mergeCell ref="D2:D3"/>
    <mergeCell ref="E2:F2"/>
    <mergeCell ref="G2:H2"/>
    <mergeCell ref="A14:I14"/>
    <mergeCell ref="A15:A16"/>
    <mergeCell ref="B15:B16"/>
    <mergeCell ref="C15:C16"/>
    <mergeCell ref="D15:D16"/>
    <mergeCell ref="E15:F15"/>
    <mergeCell ref="G15:H15"/>
    <mergeCell ref="A27:I27"/>
    <mergeCell ref="A28:A29"/>
    <mergeCell ref="B28:B29"/>
    <mergeCell ref="C28:C29"/>
    <mergeCell ref="D28:D29"/>
    <mergeCell ref="E28:F28"/>
    <mergeCell ref="G28:H28"/>
    <mergeCell ref="K1:N1"/>
    <mergeCell ref="K2:K3"/>
    <mergeCell ref="L2:L3"/>
    <mergeCell ref="M2:M3"/>
    <mergeCell ref="N2:N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T41"/>
  <sheetViews>
    <sheetView topLeftCell="F5" zoomScale="60" zoomScaleNormal="60" workbookViewId="0">
      <selection activeCell="M22" sqref="M22"/>
    </sheetView>
  </sheetViews>
  <sheetFormatPr defaultColWidth="9.109375" defaultRowHeight="14.4" x14ac:dyDescent="0.3"/>
  <cols>
    <col min="1" max="1" width="11.5546875" style="167" bestFit="1" customWidth="1"/>
    <col min="2" max="2" width="26" style="167" customWidth="1"/>
    <col min="3" max="3" width="28" style="167" customWidth="1"/>
    <col min="4" max="4" width="5" style="167" bestFit="1" customWidth="1"/>
    <col min="5" max="5" width="14.109375" style="167" customWidth="1"/>
    <col min="6" max="6" width="6.5546875" style="167" bestFit="1" customWidth="1"/>
    <col min="7" max="7" width="14.33203125" style="167" customWidth="1"/>
    <col min="8" max="8" width="6.44140625" style="167" customWidth="1"/>
    <col min="9" max="9" width="14.88671875" style="167" bestFit="1" customWidth="1"/>
    <col min="10" max="11" width="9.109375" style="167"/>
    <col min="12" max="12" width="47.88671875" style="167" bestFit="1" customWidth="1"/>
    <col min="13" max="13" width="16.44140625" style="167" bestFit="1" customWidth="1"/>
    <col min="14" max="14" width="15" style="167" bestFit="1" customWidth="1"/>
    <col min="15" max="15" width="9.109375" style="167"/>
    <col min="16" max="16" width="15" style="167" customWidth="1"/>
    <col min="17" max="17" width="9.109375" style="167"/>
    <col min="18" max="18" width="47.88671875" style="167" bestFit="1" customWidth="1"/>
    <col min="19" max="19" width="15.88671875" style="167" bestFit="1" customWidth="1"/>
    <col min="20" max="20" width="20.88671875" style="167" bestFit="1" customWidth="1"/>
    <col min="21" max="16384" width="9.109375" style="167"/>
  </cols>
  <sheetData>
    <row r="1" spans="1:20" x14ac:dyDescent="0.3">
      <c r="A1" s="410" t="s">
        <v>339</v>
      </c>
      <c r="B1" s="410"/>
      <c r="C1" s="410"/>
      <c r="D1" s="410"/>
      <c r="E1" s="410"/>
      <c r="F1" s="410"/>
      <c r="G1" s="410"/>
      <c r="H1" s="410"/>
      <c r="I1" s="410"/>
      <c r="K1" s="410" t="s">
        <v>339</v>
      </c>
      <c r="L1" s="410"/>
      <c r="M1" s="410"/>
      <c r="N1" s="410"/>
      <c r="Q1" s="410" t="s">
        <v>372</v>
      </c>
      <c r="R1" s="410"/>
      <c r="S1" s="410"/>
      <c r="T1" s="410"/>
    </row>
    <row r="2" spans="1:20" ht="15" customHeight="1" x14ac:dyDescent="0.3">
      <c r="A2" s="415" t="s">
        <v>340</v>
      </c>
      <c r="B2" s="417" t="s">
        <v>341</v>
      </c>
      <c r="C2" s="417" t="s">
        <v>342</v>
      </c>
      <c r="D2" s="419" t="s">
        <v>343</v>
      </c>
      <c r="E2" s="421" t="s">
        <v>373</v>
      </c>
      <c r="F2" s="422"/>
      <c r="G2" s="421" t="s">
        <v>374</v>
      </c>
      <c r="H2" s="422"/>
      <c r="I2" s="297" t="s">
        <v>346</v>
      </c>
      <c r="K2" s="411" t="s">
        <v>340</v>
      </c>
      <c r="L2" s="412" t="s">
        <v>341</v>
      </c>
      <c r="M2" s="413" t="s">
        <v>333</v>
      </c>
      <c r="N2" s="413" t="s">
        <v>338</v>
      </c>
      <c r="P2" s="167">
        <v>1000</v>
      </c>
      <c r="Q2" s="411" t="s">
        <v>340</v>
      </c>
      <c r="R2" s="412" t="s">
        <v>341</v>
      </c>
      <c r="S2" s="413" t="s">
        <v>333</v>
      </c>
      <c r="T2" s="413" t="s">
        <v>338</v>
      </c>
    </row>
    <row r="3" spans="1:20" x14ac:dyDescent="0.3">
      <c r="A3" s="416"/>
      <c r="B3" s="418"/>
      <c r="C3" s="418"/>
      <c r="D3" s="420"/>
      <c r="E3" s="320" t="s">
        <v>347</v>
      </c>
      <c r="F3" s="320" t="s">
        <v>13</v>
      </c>
      <c r="G3" s="320" t="s">
        <v>347</v>
      </c>
      <c r="H3" s="320" t="s">
        <v>13</v>
      </c>
      <c r="I3" s="320" t="s">
        <v>347</v>
      </c>
      <c r="K3" s="411"/>
      <c r="L3" s="412"/>
      <c r="M3" s="413"/>
      <c r="N3" s="413"/>
      <c r="Q3" s="411"/>
      <c r="R3" s="412"/>
      <c r="S3" s="413"/>
      <c r="T3" s="413"/>
    </row>
    <row r="4" spans="1:20" ht="15" customHeight="1" x14ac:dyDescent="0.3">
      <c r="A4" s="299">
        <v>1</v>
      </c>
      <c r="B4" s="300" t="s">
        <v>348</v>
      </c>
      <c r="C4" s="301" t="s">
        <v>283</v>
      </c>
      <c r="D4" s="299" t="s">
        <v>266</v>
      </c>
      <c r="E4" s="332">
        <f>GB!Q112</f>
        <v>429117.61105784</v>
      </c>
      <c r="F4" s="333">
        <f t="shared" ref="F4:F11" si="0">E4/$E$12</f>
        <v>7.782294113159032E-3</v>
      </c>
      <c r="G4" s="332">
        <f>GB!N112</f>
        <v>0</v>
      </c>
      <c r="H4" s="333" t="e">
        <f t="shared" ref="H4:H11" si="1">G4/$G$12</f>
        <v>#DIV/0!</v>
      </c>
      <c r="I4" s="332">
        <f t="shared" ref="I4:I11" si="2">E4-G4</f>
        <v>429117.61105784</v>
      </c>
      <c r="K4" s="304">
        <v>1</v>
      </c>
      <c r="L4" s="300" t="s">
        <v>351</v>
      </c>
      <c r="M4" s="334">
        <f t="shared" ref="M4:M9" si="3">(E32)+(($E$30+$E$31)/6)</f>
        <v>15307557.780217638</v>
      </c>
      <c r="N4" s="334">
        <f t="shared" ref="N4:N9" si="4">(G32)+(($G$30+$G$31)/6)</f>
        <v>0</v>
      </c>
      <c r="Q4" s="304">
        <v>1</v>
      </c>
      <c r="R4" s="293" t="s">
        <v>357</v>
      </c>
      <c r="S4" s="334">
        <f>M8</f>
        <v>13406448.330675483</v>
      </c>
      <c r="T4" s="334">
        <f>N8</f>
        <v>0</v>
      </c>
    </row>
    <row r="5" spans="1:20" ht="15" customHeight="1" x14ac:dyDescent="0.3">
      <c r="A5" s="299">
        <v>1</v>
      </c>
      <c r="B5" s="300" t="s">
        <v>348</v>
      </c>
      <c r="C5" s="301" t="s">
        <v>349</v>
      </c>
      <c r="D5" s="299" t="s">
        <v>259</v>
      </c>
      <c r="E5" s="332">
        <f>CEO!Q112</f>
        <v>2787726.8138483595</v>
      </c>
      <c r="F5" s="333">
        <f t="shared" si="0"/>
        <v>5.0557025424862963E-2</v>
      </c>
      <c r="G5" s="332">
        <f>CEO!N112</f>
        <v>0</v>
      </c>
      <c r="H5" s="333" t="e">
        <f t="shared" si="1"/>
        <v>#DIV/0!</v>
      </c>
      <c r="I5" s="332">
        <f t="shared" si="2"/>
        <v>2787726.8138483595</v>
      </c>
      <c r="K5" s="304">
        <v>2</v>
      </c>
      <c r="L5" s="300" t="s">
        <v>353</v>
      </c>
      <c r="M5" s="334">
        <f t="shared" si="3"/>
        <v>5179411.723915928</v>
      </c>
      <c r="N5" s="334">
        <f t="shared" si="4"/>
        <v>0</v>
      </c>
      <c r="Q5" s="304">
        <v>2</v>
      </c>
      <c r="R5" s="300" t="s">
        <v>359</v>
      </c>
      <c r="S5" s="334">
        <f>M9</f>
        <v>4381643.0970335314</v>
      </c>
      <c r="T5" s="334">
        <f>N9</f>
        <v>0</v>
      </c>
    </row>
    <row r="6" spans="1:20" ht="29.25" customHeight="1" x14ac:dyDescent="0.3">
      <c r="A6" s="304">
        <v>2</v>
      </c>
      <c r="B6" s="300" t="s">
        <v>350</v>
      </c>
      <c r="C6" s="301" t="s">
        <v>351</v>
      </c>
      <c r="D6" s="299" t="s">
        <v>352</v>
      </c>
      <c r="E6" s="332">
        <f>CFO!U112</f>
        <v>12842393.706733271</v>
      </c>
      <c r="F6" s="333">
        <f t="shared" si="0"/>
        <v>0.23290417910466452</v>
      </c>
      <c r="G6" s="332">
        <f>CFO!N112</f>
        <v>0</v>
      </c>
      <c r="H6" s="333" t="e">
        <f t="shared" si="1"/>
        <v>#DIV/0!</v>
      </c>
      <c r="I6" s="332">
        <f t="shared" si="2"/>
        <v>12842393.706733271</v>
      </c>
      <c r="K6" s="335">
        <v>3</v>
      </c>
      <c r="L6" s="300" t="s">
        <v>354</v>
      </c>
      <c r="M6" s="334">
        <f t="shared" si="3"/>
        <v>9595932.0974608865</v>
      </c>
      <c r="N6" s="334">
        <f t="shared" si="4"/>
        <v>0</v>
      </c>
      <c r="Q6" s="335">
        <v>3</v>
      </c>
      <c r="R6" s="300" t="s">
        <v>353</v>
      </c>
      <c r="S6" s="334">
        <f>M5</f>
        <v>5179411.723915928</v>
      </c>
      <c r="T6" s="334">
        <f>N5</f>
        <v>0</v>
      </c>
    </row>
    <row r="7" spans="1:20" ht="38.25" customHeight="1" x14ac:dyDescent="0.3">
      <c r="A7" s="304">
        <v>3</v>
      </c>
      <c r="B7" s="300" t="s">
        <v>353</v>
      </c>
      <c r="C7" s="300" t="s">
        <v>353</v>
      </c>
      <c r="D7" s="299" t="s">
        <v>264</v>
      </c>
      <c r="E7" s="332">
        <f>CES!Q112</f>
        <v>4643270.9864315614</v>
      </c>
      <c r="F7" s="333">
        <f t="shared" si="0"/>
        <v>8.4208383744562409E-2</v>
      </c>
      <c r="G7" s="332">
        <f>CES!N112</f>
        <v>0</v>
      </c>
      <c r="H7" s="333" t="e">
        <f t="shared" si="1"/>
        <v>#DIV/0!</v>
      </c>
      <c r="I7" s="332">
        <f t="shared" si="2"/>
        <v>4643270.9864315614</v>
      </c>
      <c r="K7" s="304">
        <v>4</v>
      </c>
      <c r="L7" s="300" t="s">
        <v>356</v>
      </c>
      <c r="M7" s="334">
        <f t="shared" si="3"/>
        <v>9805966.2056850716</v>
      </c>
      <c r="N7" s="334">
        <f t="shared" si="4"/>
        <v>632073</v>
      </c>
      <c r="Q7" s="304">
        <v>4</v>
      </c>
      <c r="R7" s="300" t="s">
        <v>354</v>
      </c>
      <c r="S7" s="334">
        <f>M6</f>
        <v>9595932.0974608865</v>
      </c>
      <c r="T7" s="334">
        <f>N6</f>
        <v>0</v>
      </c>
    </row>
    <row r="8" spans="1:20" ht="25.5" customHeight="1" x14ac:dyDescent="0.3">
      <c r="A8" s="304">
        <v>4</v>
      </c>
      <c r="B8" s="300" t="s">
        <v>354</v>
      </c>
      <c r="C8" s="301" t="s">
        <v>354</v>
      </c>
      <c r="D8" s="299" t="s">
        <v>355</v>
      </c>
      <c r="E8" s="332">
        <f>'C&amp;E'!Q242</f>
        <v>8940791.3599765208</v>
      </c>
      <c r="F8" s="333">
        <f t="shared" si="0"/>
        <v>0.16214638172552154</v>
      </c>
      <c r="G8" s="332">
        <f>'C&amp;E'!N112</f>
        <v>0</v>
      </c>
      <c r="H8" s="333" t="e">
        <f t="shared" si="1"/>
        <v>#DIV/0!</v>
      </c>
      <c r="I8" s="332">
        <f t="shared" si="2"/>
        <v>8940791.3599765208</v>
      </c>
      <c r="K8" s="304">
        <v>5</v>
      </c>
      <c r="L8" s="293" t="s">
        <v>357</v>
      </c>
      <c r="M8" s="334">
        <f t="shared" si="3"/>
        <v>13406448.330675483</v>
      </c>
      <c r="N8" s="334">
        <f t="shared" si="4"/>
        <v>0</v>
      </c>
      <c r="Q8" s="304">
        <v>5</v>
      </c>
      <c r="R8" s="300" t="s">
        <v>351</v>
      </c>
      <c r="S8" s="334">
        <f>M4</f>
        <v>15307557.780217638</v>
      </c>
      <c r="T8" s="334">
        <f>N4</f>
        <v>0</v>
      </c>
    </row>
    <row r="9" spans="1:20" ht="15" customHeight="1" x14ac:dyDescent="0.3">
      <c r="A9" s="304">
        <v>5</v>
      </c>
      <c r="B9" s="300" t="s">
        <v>356</v>
      </c>
      <c r="C9" s="301" t="s">
        <v>356</v>
      </c>
      <c r="D9" s="299" t="s">
        <v>260</v>
      </c>
      <c r="E9" s="332">
        <f>CS!U112</f>
        <v>8791216.4682007059</v>
      </c>
      <c r="F9" s="333">
        <f t="shared" si="0"/>
        <v>0.15943375523397812</v>
      </c>
      <c r="G9" s="332">
        <f>CS!N112</f>
        <v>0</v>
      </c>
      <c r="H9" s="333" t="e">
        <f t="shared" si="1"/>
        <v>#DIV/0!</v>
      </c>
      <c r="I9" s="332">
        <f t="shared" si="2"/>
        <v>8791216.4682007059</v>
      </c>
      <c r="K9" s="335">
        <v>6</v>
      </c>
      <c r="L9" s="300" t="s">
        <v>359</v>
      </c>
      <c r="M9" s="334">
        <f t="shared" si="3"/>
        <v>4381643.0970335314</v>
      </c>
      <c r="N9" s="334">
        <f t="shared" si="4"/>
        <v>0</v>
      </c>
      <c r="Q9" s="299">
        <v>6</v>
      </c>
      <c r="R9" s="300" t="s">
        <v>356</v>
      </c>
      <c r="S9" s="334">
        <f>M7</f>
        <v>9805966.2056850716</v>
      </c>
      <c r="T9" s="334">
        <f>N7</f>
        <v>632073</v>
      </c>
    </row>
    <row r="10" spans="1:20" ht="25.5" customHeight="1" thickBot="1" x14ac:dyDescent="0.35">
      <c r="A10" s="304">
        <v>6</v>
      </c>
      <c r="B10" s="300" t="s">
        <v>357</v>
      </c>
      <c r="C10" s="300" t="s">
        <v>357</v>
      </c>
      <c r="D10" s="299" t="s">
        <v>358</v>
      </c>
      <c r="E10" s="332">
        <f>LLA!U112</f>
        <v>12860226.593191117</v>
      </c>
      <c r="F10" s="333">
        <f t="shared" si="0"/>
        <v>0.23322758873345931</v>
      </c>
      <c r="G10" s="332">
        <f>LLA!N112</f>
        <v>0</v>
      </c>
      <c r="H10" s="333" t="e">
        <f t="shared" si="1"/>
        <v>#DIV/0!</v>
      </c>
      <c r="I10" s="332">
        <f t="shared" si="2"/>
        <v>12860226.593191117</v>
      </c>
      <c r="K10" s="305" t="s">
        <v>52</v>
      </c>
      <c r="L10" s="305"/>
      <c r="M10" s="306">
        <f>SUM(M4:M9)</f>
        <v>57676959.23498854</v>
      </c>
      <c r="N10" s="306">
        <f>SUM(N4:N9)</f>
        <v>632073</v>
      </c>
      <c r="Q10" s="305" t="s">
        <v>52</v>
      </c>
      <c r="R10" s="305"/>
      <c r="S10" s="306">
        <f>SUM(S4:S9)</f>
        <v>57676959.23498854</v>
      </c>
      <c r="T10" s="306">
        <f>SUM(T4:T9)</f>
        <v>632073</v>
      </c>
    </row>
    <row r="11" spans="1:20" ht="25.5" customHeight="1" thickTop="1" x14ac:dyDescent="0.3">
      <c r="A11" s="304">
        <v>6</v>
      </c>
      <c r="B11" s="300" t="s">
        <v>357</v>
      </c>
      <c r="C11" s="301" t="s">
        <v>359</v>
      </c>
      <c r="D11" s="299" t="s">
        <v>265</v>
      </c>
      <c r="E11" s="332">
        <f>LLT!Q112</f>
        <v>3845502.3595491648</v>
      </c>
      <c r="F11" s="333">
        <f t="shared" si="0"/>
        <v>6.9740391919792005E-2</v>
      </c>
      <c r="G11" s="332">
        <f>LLT!N112</f>
        <v>0</v>
      </c>
      <c r="H11" s="333" t="e">
        <f t="shared" si="1"/>
        <v>#DIV/0!</v>
      </c>
      <c r="I11" s="332">
        <f t="shared" si="2"/>
        <v>3845502.3595491648</v>
      </c>
    </row>
    <row r="12" spans="1:20" s="308" customFormat="1" ht="15" thickBot="1" x14ac:dyDescent="0.35">
      <c r="A12" s="305" t="s">
        <v>52</v>
      </c>
      <c r="B12" s="305"/>
      <c r="C12" s="305"/>
      <c r="D12" s="305"/>
      <c r="E12" s="306">
        <f>SUM(E4:E11)</f>
        <v>55140245.898988545</v>
      </c>
      <c r="F12" s="307">
        <f>SUM(F4:F11)</f>
        <v>0.99999999999999978</v>
      </c>
      <c r="G12" s="306">
        <f>SUM(G4:G11)</f>
        <v>0</v>
      </c>
      <c r="H12" s="307" t="e">
        <f>SUM(H4:H11)</f>
        <v>#DIV/0!</v>
      </c>
      <c r="I12" s="306">
        <f>SUM(I4:I11)</f>
        <v>55140245.898988545</v>
      </c>
      <c r="K12" s="167"/>
      <c r="L12" s="167"/>
      <c r="M12" s="167"/>
      <c r="N12" s="167"/>
    </row>
    <row r="13" spans="1:20" ht="15" thickTop="1" x14ac:dyDescent="0.3">
      <c r="E13" s="336">
        <f>E12-'Budget Report DOCs'!S112</f>
        <v>6567074.1613885388</v>
      </c>
      <c r="G13" s="336" t="e">
        <f>G12-'Budget Report DOCs'!M112</f>
        <v>#REF!</v>
      </c>
    </row>
    <row r="14" spans="1:20" x14ac:dyDescent="0.3">
      <c r="A14" s="414" t="s">
        <v>360</v>
      </c>
      <c r="B14" s="414"/>
      <c r="C14" s="414"/>
      <c r="D14" s="414"/>
      <c r="E14" s="414"/>
      <c r="F14" s="414"/>
      <c r="G14" s="414"/>
      <c r="H14" s="414"/>
      <c r="I14" s="414"/>
    </row>
    <row r="15" spans="1:20" ht="15" customHeight="1" x14ac:dyDescent="0.3">
      <c r="A15" s="415" t="s">
        <v>340</v>
      </c>
      <c r="B15" s="417" t="s">
        <v>341</v>
      </c>
      <c r="C15" s="417" t="s">
        <v>342</v>
      </c>
      <c r="D15" s="419" t="s">
        <v>343</v>
      </c>
      <c r="E15" s="421" t="s">
        <v>373</v>
      </c>
      <c r="F15" s="422"/>
      <c r="G15" s="421" t="s">
        <v>374</v>
      </c>
      <c r="H15" s="422"/>
      <c r="I15" s="297" t="s">
        <v>346</v>
      </c>
    </row>
    <row r="16" spans="1:20" x14ac:dyDescent="0.3">
      <c r="A16" s="416"/>
      <c r="B16" s="418"/>
      <c r="C16" s="418"/>
      <c r="D16" s="420"/>
      <c r="E16" s="320" t="s">
        <v>347</v>
      </c>
      <c r="F16" s="320" t="s">
        <v>13</v>
      </c>
      <c r="G16" s="320" t="s">
        <v>347</v>
      </c>
      <c r="H16" s="320" t="s">
        <v>13</v>
      </c>
      <c r="I16" s="320" t="s">
        <v>347</v>
      </c>
    </row>
    <row r="17" spans="1:9" x14ac:dyDescent="0.3">
      <c r="A17" s="299">
        <v>1</v>
      </c>
      <c r="B17" s="300" t="s">
        <v>348</v>
      </c>
      <c r="C17" s="301" t="s">
        <v>283</v>
      </c>
      <c r="D17" s="309" t="s">
        <v>266</v>
      </c>
      <c r="E17" s="332">
        <f>GB!Q127</f>
        <v>0</v>
      </c>
      <c r="F17" s="337">
        <f t="shared" ref="F17:F24" si="5">E17/$E$25</f>
        <v>0</v>
      </c>
      <c r="G17" s="332">
        <f>GB!N127</f>
        <v>0</v>
      </c>
      <c r="H17" s="337">
        <f t="shared" ref="H17:H24" si="6">G17/$G$25</f>
        <v>0</v>
      </c>
      <c r="I17" s="334">
        <f t="shared" ref="I17:I24" si="7">E17-G17</f>
        <v>0</v>
      </c>
    </row>
    <row r="18" spans="1:9" x14ac:dyDescent="0.3">
      <c r="A18" s="299">
        <v>1</v>
      </c>
      <c r="B18" s="300" t="s">
        <v>348</v>
      </c>
      <c r="C18" s="301" t="s">
        <v>349</v>
      </c>
      <c r="D18" s="309" t="s">
        <v>259</v>
      </c>
      <c r="E18" s="332">
        <f>CEO!Q127</f>
        <v>0</v>
      </c>
      <c r="F18" s="337">
        <f t="shared" si="5"/>
        <v>0</v>
      </c>
      <c r="G18" s="332">
        <f>CEO!N127</f>
        <v>0</v>
      </c>
      <c r="H18" s="337">
        <f t="shared" si="6"/>
        <v>0</v>
      </c>
      <c r="I18" s="334">
        <f t="shared" si="7"/>
        <v>0</v>
      </c>
    </row>
    <row r="19" spans="1:9" x14ac:dyDescent="0.3">
      <c r="A19" s="304">
        <v>2</v>
      </c>
      <c r="B19" s="300" t="s">
        <v>350</v>
      </c>
      <c r="C19" s="301" t="s">
        <v>351</v>
      </c>
      <c r="D19" s="309" t="s">
        <v>352</v>
      </c>
      <c r="E19" s="332">
        <f>CFO!U127</f>
        <v>1929023.3360000006</v>
      </c>
      <c r="F19" s="337">
        <f t="shared" si="5"/>
        <v>0.76044198949250141</v>
      </c>
      <c r="G19" s="332">
        <f>CFO!N127</f>
        <v>0</v>
      </c>
      <c r="H19" s="337">
        <f t="shared" si="6"/>
        <v>0</v>
      </c>
      <c r="I19" s="334">
        <f t="shared" si="7"/>
        <v>1929023.3360000006</v>
      </c>
    </row>
    <row r="20" spans="1:9" ht="26.4" x14ac:dyDescent="0.3">
      <c r="A20" s="304">
        <v>3</v>
      </c>
      <c r="B20" s="300" t="s">
        <v>353</v>
      </c>
      <c r="C20" s="301" t="s">
        <v>353</v>
      </c>
      <c r="D20" s="309" t="s">
        <v>264</v>
      </c>
      <c r="E20" s="332">
        <f>CES!Q127</f>
        <v>0</v>
      </c>
      <c r="F20" s="337">
        <f t="shared" si="5"/>
        <v>0</v>
      </c>
      <c r="G20" s="332">
        <f>CES!N127</f>
        <v>0</v>
      </c>
      <c r="H20" s="337">
        <f t="shared" si="6"/>
        <v>0</v>
      </c>
      <c r="I20" s="334">
        <f t="shared" si="7"/>
        <v>0</v>
      </c>
    </row>
    <row r="21" spans="1:9" x14ac:dyDescent="0.3">
      <c r="A21" s="304">
        <v>4</v>
      </c>
      <c r="B21" s="300" t="s">
        <v>354</v>
      </c>
      <c r="C21" s="301" t="s">
        <v>354</v>
      </c>
      <c r="D21" s="309" t="s">
        <v>355</v>
      </c>
      <c r="E21" s="332">
        <f>'C&amp;E'!Q257</f>
        <v>119000</v>
      </c>
      <c r="F21" s="337">
        <f t="shared" si="5"/>
        <v>4.6911094884550239E-2</v>
      </c>
      <c r="G21" s="332">
        <f>'C&amp;E'!N127</f>
        <v>0</v>
      </c>
      <c r="H21" s="337">
        <f t="shared" si="6"/>
        <v>0</v>
      </c>
      <c r="I21" s="334">
        <f t="shared" si="7"/>
        <v>119000</v>
      </c>
    </row>
    <row r="22" spans="1:9" x14ac:dyDescent="0.3">
      <c r="A22" s="304">
        <v>5</v>
      </c>
      <c r="B22" s="300" t="s">
        <v>356</v>
      </c>
      <c r="C22" s="301" t="s">
        <v>356</v>
      </c>
      <c r="D22" s="309" t="s">
        <v>260</v>
      </c>
      <c r="E22" s="332">
        <f>CS!U127</f>
        <v>478609</v>
      </c>
      <c r="F22" s="337">
        <f t="shared" si="5"/>
        <v>0.18867287572772862</v>
      </c>
      <c r="G22" s="332">
        <f>CS!P127</f>
        <v>632073</v>
      </c>
      <c r="H22" s="337">
        <f t="shared" si="6"/>
        <v>1</v>
      </c>
      <c r="I22" s="334">
        <f t="shared" si="7"/>
        <v>-153464</v>
      </c>
    </row>
    <row r="23" spans="1:9" ht="26.4" x14ac:dyDescent="0.3">
      <c r="A23" s="304">
        <v>6</v>
      </c>
      <c r="B23" s="300" t="s">
        <v>357</v>
      </c>
      <c r="C23" s="300" t="s">
        <v>357</v>
      </c>
      <c r="D23" s="309" t="s">
        <v>358</v>
      </c>
      <c r="E23" s="332">
        <f>LLA!U127</f>
        <v>10081</v>
      </c>
      <c r="F23" s="337">
        <f t="shared" si="5"/>
        <v>3.9740398952197564E-3</v>
      </c>
      <c r="G23" s="332">
        <f>LLA!N127</f>
        <v>0</v>
      </c>
      <c r="H23" s="337">
        <f t="shared" si="6"/>
        <v>0</v>
      </c>
      <c r="I23" s="334">
        <f t="shared" si="7"/>
        <v>10081</v>
      </c>
    </row>
    <row r="24" spans="1:9" ht="26.4" x14ac:dyDescent="0.3">
      <c r="A24" s="304">
        <v>6</v>
      </c>
      <c r="B24" s="300" t="s">
        <v>357</v>
      </c>
      <c r="C24" s="301" t="s">
        <v>359</v>
      </c>
      <c r="D24" s="309" t="s">
        <v>265</v>
      </c>
      <c r="E24" s="332">
        <f>LLT!Q127</f>
        <v>0</v>
      </c>
      <c r="F24" s="337">
        <f t="shared" si="5"/>
        <v>0</v>
      </c>
      <c r="G24" s="332">
        <f>LLT!N127</f>
        <v>0</v>
      </c>
      <c r="H24" s="337">
        <f t="shared" si="6"/>
        <v>0</v>
      </c>
      <c r="I24" s="334">
        <f t="shared" si="7"/>
        <v>0</v>
      </c>
    </row>
    <row r="25" spans="1:9" s="308" customFormat="1" ht="15" thickBot="1" x14ac:dyDescent="0.35">
      <c r="A25" s="308" t="s">
        <v>52</v>
      </c>
      <c r="E25" s="311">
        <f>SUM(E17:E24)</f>
        <v>2536713.3360000006</v>
      </c>
      <c r="F25" s="312">
        <f>SUM(F17:F24)</f>
        <v>1</v>
      </c>
      <c r="G25" s="311">
        <f>SUM(G17:G24)</f>
        <v>632073</v>
      </c>
      <c r="H25" s="312">
        <f>SUM(H17:H24)</f>
        <v>1</v>
      </c>
      <c r="I25" s="311">
        <f>SUM(I17:I24)</f>
        <v>1904640.3360000006</v>
      </c>
    </row>
    <row r="26" spans="1:9" ht="15" thickTop="1" x14ac:dyDescent="0.3">
      <c r="E26" s="336">
        <f>E25-'Budget Report DOCs'!S127</f>
        <v>373107.00560000073</v>
      </c>
      <c r="G26" s="336">
        <f>G25-'Budget Report DOCs'!M127</f>
        <v>-1216502.2800000005</v>
      </c>
    </row>
    <row r="27" spans="1:9" x14ac:dyDescent="0.3">
      <c r="A27" s="414" t="s">
        <v>361</v>
      </c>
      <c r="B27" s="414"/>
      <c r="C27" s="414"/>
      <c r="D27" s="414"/>
      <c r="E27" s="414"/>
      <c r="F27" s="414"/>
      <c r="G27" s="414"/>
      <c r="H27" s="414"/>
      <c r="I27" s="414"/>
    </row>
    <row r="28" spans="1:9" ht="15" customHeight="1" x14ac:dyDescent="0.3">
      <c r="A28" s="415" t="s">
        <v>340</v>
      </c>
      <c r="B28" s="417" t="s">
        <v>341</v>
      </c>
      <c r="C28" s="417" t="s">
        <v>342</v>
      </c>
      <c r="D28" s="419" t="s">
        <v>343</v>
      </c>
      <c r="E28" s="421" t="s">
        <v>373</v>
      </c>
      <c r="F28" s="422"/>
      <c r="G28" s="421" t="s">
        <v>374</v>
      </c>
      <c r="H28" s="422"/>
      <c r="I28" s="297" t="s">
        <v>346</v>
      </c>
    </row>
    <row r="29" spans="1:9" ht="15" customHeight="1" x14ac:dyDescent="0.3">
      <c r="A29" s="416"/>
      <c r="B29" s="418"/>
      <c r="C29" s="418"/>
      <c r="D29" s="420"/>
      <c r="E29" s="320" t="s">
        <v>347</v>
      </c>
      <c r="F29" s="320" t="s">
        <v>13</v>
      </c>
      <c r="G29" s="320" t="s">
        <v>347</v>
      </c>
      <c r="H29" s="320" t="s">
        <v>13</v>
      </c>
      <c r="I29" s="320" t="s">
        <v>347</v>
      </c>
    </row>
    <row r="30" spans="1:9" x14ac:dyDescent="0.3">
      <c r="A30" s="299">
        <v>1</v>
      </c>
      <c r="B30" s="300" t="s">
        <v>348</v>
      </c>
      <c r="C30" s="301" t="s">
        <v>283</v>
      </c>
      <c r="D30" s="309" t="s">
        <v>266</v>
      </c>
      <c r="E30" s="334">
        <f t="shared" ref="E30:E37" si="8">E4+E17</f>
        <v>429117.61105784</v>
      </c>
      <c r="F30" s="337">
        <f t="shared" ref="F30:F37" si="9">E30/$E$38</f>
        <v>7.4400179334961304E-3</v>
      </c>
      <c r="G30" s="334">
        <f t="shared" ref="G30:G37" si="10">G4+G17</f>
        <v>0</v>
      </c>
      <c r="H30" s="337">
        <f t="shared" ref="H30:H37" si="11">G30/$G$38</f>
        <v>0</v>
      </c>
      <c r="I30" s="338">
        <f t="shared" ref="I30:I37" si="12">E30-G30</f>
        <v>429117.61105784</v>
      </c>
    </row>
    <row r="31" spans="1:9" x14ac:dyDescent="0.3">
      <c r="A31" s="299">
        <v>1</v>
      </c>
      <c r="B31" s="300" t="s">
        <v>348</v>
      </c>
      <c r="C31" s="301" t="s">
        <v>349</v>
      </c>
      <c r="D31" s="309" t="s">
        <v>259</v>
      </c>
      <c r="E31" s="334">
        <f t="shared" si="8"/>
        <v>2787726.8138483595</v>
      </c>
      <c r="F31" s="337">
        <f t="shared" si="9"/>
        <v>4.8333456736000091E-2</v>
      </c>
      <c r="G31" s="334">
        <f t="shared" si="10"/>
        <v>0</v>
      </c>
      <c r="H31" s="337">
        <f t="shared" si="11"/>
        <v>0</v>
      </c>
      <c r="I31" s="338">
        <f t="shared" si="12"/>
        <v>2787726.8138483595</v>
      </c>
    </row>
    <row r="32" spans="1:9" x14ac:dyDescent="0.3">
      <c r="A32" s="304">
        <v>2</v>
      </c>
      <c r="B32" s="300" t="s">
        <v>350</v>
      </c>
      <c r="C32" s="301" t="s">
        <v>351</v>
      </c>
      <c r="D32" s="309" t="s">
        <v>352</v>
      </c>
      <c r="E32" s="334">
        <f t="shared" si="8"/>
        <v>14771417.042733273</v>
      </c>
      <c r="F32" s="337">
        <f t="shared" si="9"/>
        <v>0.25610602983682429</v>
      </c>
      <c r="G32" s="334">
        <f t="shared" si="10"/>
        <v>0</v>
      </c>
      <c r="H32" s="337">
        <f t="shared" si="11"/>
        <v>0</v>
      </c>
      <c r="I32" s="338">
        <f t="shared" si="12"/>
        <v>14771417.042733273</v>
      </c>
    </row>
    <row r="33" spans="1:9" ht="26.4" x14ac:dyDescent="0.3">
      <c r="A33" s="304">
        <v>3</v>
      </c>
      <c r="B33" s="300" t="s">
        <v>353</v>
      </c>
      <c r="C33" s="301" t="s">
        <v>353</v>
      </c>
      <c r="D33" s="299" t="s">
        <v>264</v>
      </c>
      <c r="E33" s="332">
        <f t="shared" si="8"/>
        <v>4643270.9864315614</v>
      </c>
      <c r="F33" s="333">
        <f t="shared" si="9"/>
        <v>8.0504781250930038E-2</v>
      </c>
      <c r="G33" s="334">
        <f t="shared" si="10"/>
        <v>0</v>
      </c>
      <c r="H33" s="333">
        <f t="shared" si="11"/>
        <v>0</v>
      </c>
      <c r="I33" s="339">
        <f t="shared" si="12"/>
        <v>4643270.9864315614</v>
      </c>
    </row>
    <row r="34" spans="1:9" x14ac:dyDescent="0.3">
      <c r="A34" s="304">
        <v>4</v>
      </c>
      <c r="B34" s="300" t="s">
        <v>354</v>
      </c>
      <c r="C34" s="301" t="s">
        <v>354</v>
      </c>
      <c r="D34" s="309" t="s">
        <v>355</v>
      </c>
      <c r="E34" s="334">
        <f t="shared" si="8"/>
        <v>9059791.3599765208</v>
      </c>
      <c r="F34" s="337">
        <f t="shared" si="9"/>
        <v>0.15707817263848725</v>
      </c>
      <c r="G34" s="334">
        <f t="shared" si="10"/>
        <v>0</v>
      </c>
      <c r="H34" s="337">
        <f t="shared" si="11"/>
        <v>0</v>
      </c>
      <c r="I34" s="338">
        <f t="shared" si="12"/>
        <v>9059791.3599765208</v>
      </c>
    </row>
    <row r="35" spans="1:9" x14ac:dyDescent="0.3">
      <c r="A35" s="304">
        <v>5</v>
      </c>
      <c r="B35" s="300" t="s">
        <v>356</v>
      </c>
      <c r="C35" s="301" t="s">
        <v>356</v>
      </c>
      <c r="D35" s="309" t="s">
        <v>260</v>
      </c>
      <c r="E35" s="334">
        <f t="shared" si="8"/>
        <v>9269825.4682007059</v>
      </c>
      <c r="F35" s="337">
        <f t="shared" si="9"/>
        <v>0.16071973264806508</v>
      </c>
      <c r="G35" s="334">
        <f t="shared" si="10"/>
        <v>632073</v>
      </c>
      <c r="H35" s="337">
        <f t="shared" si="11"/>
        <v>1</v>
      </c>
      <c r="I35" s="338">
        <f t="shared" si="12"/>
        <v>8637752.4682007059</v>
      </c>
    </row>
    <row r="36" spans="1:9" ht="26.4" x14ac:dyDescent="0.3">
      <c r="A36" s="304">
        <v>6</v>
      </c>
      <c r="B36" s="300" t="s">
        <v>357</v>
      </c>
      <c r="C36" s="300" t="s">
        <v>357</v>
      </c>
      <c r="D36" s="309" t="s">
        <v>358</v>
      </c>
      <c r="E36" s="334">
        <f t="shared" si="8"/>
        <v>12870307.593191117</v>
      </c>
      <c r="F36" s="337">
        <f t="shared" si="9"/>
        <v>0.22314469701418674</v>
      </c>
      <c r="G36" s="334">
        <f t="shared" si="10"/>
        <v>0</v>
      </c>
      <c r="H36" s="337">
        <f t="shared" si="11"/>
        <v>0</v>
      </c>
      <c r="I36" s="338">
        <f t="shared" si="12"/>
        <v>12870307.593191117</v>
      </c>
    </row>
    <row r="37" spans="1:9" ht="26.4" x14ac:dyDescent="0.3">
      <c r="A37" s="304">
        <v>6</v>
      </c>
      <c r="B37" s="300" t="s">
        <v>357</v>
      </c>
      <c r="C37" s="301" t="s">
        <v>359</v>
      </c>
      <c r="D37" s="309" t="s">
        <v>265</v>
      </c>
      <c r="E37" s="334">
        <f t="shared" si="8"/>
        <v>3845502.3595491648</v>
      </c>
      <c r="F37" s="337">
        <f t="shared" si="9"/>
        <v>6.6673111942010463E-2</v>
      </c>
      <c r="G37" s="334">
        <f t="shared" si="10"/>
        <v>0</v>
      </c>
      <c r="H37" s="337">
        <f t="shared" si="11"/>
        <v>0</v>
      </c>
      <c r="I37" s="338">
        <f t="shared" si="12"/>
        <v>3845502.3595491648</v>
      </c>
    </row>
    <row r="38" spans="1:9" s="308" customFormat="1" ht="15" thickBot="1" x14ac:dyDescent="0.35">
      <c r="A38" s="308" t="s">
        <v>52</v>
      </c>
      <c r="E38" s="311">
        <f>SUM(E30:E37)</f>
        <v>57676959.23498854</v>
      </c>
      <c r="F38" s="312">
        <f>SUM(F30:F37)</f>
        <v>1</v>
      </c>
      <c r="G38" s="315">
        <f>SUM(G30:G37)</f>
        <v>632073</v>
      </c>
      <c r="H38" s="312">
        <f>SUM(H30:H37)</f>
        <v>1</v>
      </c>
      <c r="I38" s="315">
        <f>SUM(I30:I37)</f>
        <v>57044886.23498854</v>
      </c>
    </row>
    <row r="39" spans="1:9" ht="15" thickTop="1" x14ac:dyDescent="0.3"/>
    <row r="40" spans="1:9" x14ac:dyDescent="0.3">
      <c r="E40" s="182">
        <f>E38-'Budget Report DOCs'!S129</f>
        <v>6940181.1669885367</v>
      </c>
      <c r="G40" s="182" t="e">
        <f>G38-'Budget Report DOCs'!M129</f>
        <v>#REF!</v>
      </c>
    </row>
    <row r="41" spans="1:9" x14ac:dyDescent="0.3">
      <c r="E41" s="182"/>
    </row>
  </sheetData>
  <mergeCells count="31">
    <mergeCell ref="A1:I1"/>
    <mergeCell ref="K1:N1"/>
    <mergeCell ref="Q1:T1"/>
    <mergeCell ref="A2:A3"/>
    <mergeCell ref="B2:B3"/>
    <mergeCell ref="C2:C3"/>
    <mergeCell ref="D2:D3"/>
    <mergeCell ref="E2:F2"/>
    <mergeCell ref="G2:H2"/>
    <mergeCell ref="K2:K3"/>
    <mergeCell ref="T2:T3"/>
    <mergeCell ref="L2:L3"/>
    <mergeCell ref="M2:M3"/>
    <mergeCell ref="N2:N3"/>
    <mergeCell ref="Q2:Q3"/>
    <mergeCell ref="R2:R3"/>
    <mergeCell ref="S2:S3"/>
    <mergeCell ref="A27:I27"/>
    <mergeCell ref="A28:A29"/>
    <mergeCell ref="B28:B29"/>
    <mergeCell ref="C28:C29"/>
    <mergeCell ref="D28:D29"/>
    <mergeCell ref="E28:F28"/>
    <mergeCell ref="G28:H28"/>
    <mergeCell ref="A14:I14"/>
    <mergeCell ref="A15:A16"/>
    <mergeCell ref="B15:B16"/>
    <mergeCell ref="C15:C16"/>
    <mergeCell ref="D15:D16"/>
    <mergeCell ref="E15:F15"/>
    <mergeCell ref="G15:H1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D9"/>
  <sheetViews>
    <sheetView topLeftCell="A4" workbookViewId="0">
      <selection activeCell="D21" sqref="D21"/>
    </sheetView>
  </sheetViews>
  <sheetFormatPr defaultColWidth="9.109375" defaultRowHeight="14.4" x14ac:dyDescent="0.3"/>
  <cols>
    <col min="1" max="1" width="14.6640625" style="167" bestFit="1" customWidth="1"/>
    <col min="2" max="2" width="13.88671875" style="167" bestFit="1" customWidth="1"/>
    <col min="3" max="3" width="16.88671875" style="167" bestFit="1" customWidth="1"/>
    <col min="4" max="4" width="23.6640625" style="167" bestFit="1" customWidth="1"/>
    <col min="5" max="16384" width="9.109375" style="167"/>
  </cols>
  <sheetData>
    <row r="1" spans="1:4" x14ac:dyDescent="0.3">
      <c r="A1" s="423" t="s">
        <v>370</v>
      </c>
      <c r="B1" s="423"/>
      <c r="C1" s="423"/>
      <c r="D1" s="423"/>
    </row>
    <row r="2" spans="1:4" x14ac:dyDescent="0.3">
      <c r="B2" s="167" t="s">
        <v>330</v>
      </c>
      <c r="C2" s="167" t="s">
        <v>331</v>
      </c>
      <c r="D2" s="167" t="s">
        <v>332</v>
      </c>
    </row>
    <row r="3" spans="1:4" x14ac:dyDescent="0.3">
      <c r="A3" s="167" t="s">
        <v>333</v>
      </c>
      <c r="B3" s="290">
        <f>'Budget Report DOCs'!S170</f>
        <v>54980182.068000004</v>
      </c>
      <c r="C3" s="290">
        <f>'Budget Report DOCs'!S112</f>
        <v>48573171.737600006</v>
      </c>
      <c r="D3" s="290">
        <f>'Budget Report DOCs'!S127</f>
        <v>2163606.3303999999</v>
      </c>
    </row>
    <row r="4" spans="1:4" x14ac:dyDescent="0.3">
      <c r="A4" s="167" t="s">
        <v>338</v>
      </c>
      <c r="B4" s="290">
        <f>'Budget Report DOCs'!M170</f>
        <v>41082893.760000005</v>
      </c>
      <c r="C4" s="290" t="e">
        <f>'Budget Report DOCs'!M112</f>
        <v>#REF!</v>
      </c>
      <c r="D4" s="290">
        <f>'Budget Report DOCs'!M127</f>
        <v>1848575.2800000005</v>
      </c>
    </row>
    <row r="9" spans="1:4" x14ac:dyDescent="0.3">
      <c r="B9" s="291"/>
    </row>
  </sheetData>
  <mergeCells count="1">
    <mergeCell ref="A1:D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Q43"/>
  <sheetViews>
    <sheetView topLeftCell="B1" workbookViewId="0">
      <selection activeCell="Q16" sqref="Q16"/>
    </sheetView>
  </sheetViews>
  <sheetFormatPr defaultColWidth="9.109375" defaultRowHeight="14.4" x14ac:dyDescent="0.3"/>
  <cols>
    <col min="1" max="1" width="19.33203125" style="167" bestFit="1" customWidth="1"/>
    <col min="2" max="3" width="9.6640625" style="167" bestFit="1" customWidth="1"/>
    <col min="4" max="15" width="10.6640625" style="167" bestFit="1" customWidth="1"/>
    <col min="16" max="16" width="9.6640625" style="167" bestFit="1" customWidth="1"/>
    <col min="17" max="17" width="12.88671875" style="167" bestFit="1" customWidth="1"/>
    <col min="18" max="16384" width="9.109375" style="167"/>
  </cols>
  <sheetData>
    <row r="1" spans="1:17" x14ac:dyDescent="0.3">
      <c r="A1" s="408" t="s">
        <v>334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</row>
    <row r="2" spans="1:17" x14ac:dyDescent="0.3">
      <c r="A2" s="125" t="s">
        <v>335</v>
      </c>
      <c r="B2" s="292">
        <v>43585</v>
      </c>
      <c r="C2" s="292">
        <v>43616</v>
      </c>
      <c r="D2" s="292">
        <v>43646</v>
      </c>
      <c r="E2" s="292">
        <v>43677</v>
      </c>
      <c r="F2" s="292">
        <v>43708</v>
      </c>
      <c r="G2" s="292">
        <v>43738</v>
      </c>
      <c r="H2" s="292">
        <v>43769</v>
      </c>
      <c r="I2" s="292">
        <v>43799</v>
      </c>
      <c r="J2" s="292">
        <v>43830</v>
      </c>
      <c r="K2" s="292">
        <v>43861</v>
      </c>
      <c r="L2" s="292">
        <v>43889</v>
      </c>
      <c r="M2" s="292">
        <v>43921</v>
      </c>
    </row>
    <row r="3" spans="1:17" x14ac:dyDescent="0.3">
      <c r="A3" s="293" t="s">
        <v>336</v>
      </c>
      <c r="B3" s="294">
        <f>B9</f>
        <v>4107381.3114666673</v>
      </c>
      <c r="C3" s="294">
        <f>B3+C9</f>
        <v>8214762.6229333347</v>
      </c>
      <c r="D3" s="294">
        <f t="shared" ref="D3:L3" si="0">C3+D9</f>
        <v>12322143.934400002</v>
      </c>
      <c r="E3" s="294">
        <f t="shared" si="0"/>
        <v>16429525.245866669</v>
      </c>
      <c r="F3" s="294">
        <f t="shared" si="0"/>
        <v>20536906.557333335</v>
      </c>
      <c r="G3" s="294">
        <f t="shared" si="0"/>
        <v>24644287.868800003</v>
      </c>
      <c r="H3" s="294">
        <f t="shared" si="0"/>
        <v>28751669.180266671</v>
      </c>
      <c r="I3" s="294">
        <f t="shared" si="0"/>
        <v>32859050.491733339</v>
      </c>
      <c r="J3" s="294">
        <f t="shared" si="0"/>
        <v>36966431.803200006</v>
      </c>
      <c r="K3" s="294">
        <f t="shared" si="0"/>
        <v>42249813.00698223</v>
      </c>
      <c r="L3" s="294">
        <f t="shared" si="0"/>
        <v>47533194.210764453</v>
      </c>
      <c r="M3" s="294">
        <f>L3+M9</f>
        <v>52816575.414546676</v>
      </c>
      <c r="O3" s="295">
        <f>J3-I5</f>
        <v>4904557.7832000107</v>
      </c>
      <c r="P3" s="166">
        <f>8/12</f>
        <v>0.66666666666666663</v>
      </c>
    </row>
    <row r="4" spans="1:17" x14ac:dyDescent="0.3">
      <c r="A4" s="293" t="s">
        <v>337</v>
      </c>
      <c r="B4" s="294">
        <f t="shared" ref="B4:B5" si="1">B10</f>
        <v>4679187.3599999994</v>
      </c>
      <c r="C4" s="294">
        <f t="shared" ref="C4:M5" si="2">B4+C10</f>
        <v>8099491.169999999</v>
      </c>
      <c r="D4" s="294">
        <f t="shared" si="2"/>
        <v>11350363.038095236</v>
      </c>
      <c r="E4" s="294">
        <f t="shared" si="2"/>
        <v>15950497.065095235</v>
      </c>
      <c r="F4" s="294">
        <f t="shared" si="2"/>
        <v>20888852.890095234</v>
      </c>
      <c r="G4" s="294">
        <f t="shared" si="2"/>
        <v>24339459.030095235</v>
      </c>
      <c r="H4" s="294">
        <f t="shared" si="2"/>
        <v>27849244.610095233</v>
      </c>
      <c r="I4" s="294">
        <f t="shared" si="2"/>
        <v>32959887.210095234</v>
      </c>
      <c r="J4" s="294">
        <f t="shared" si="2"/>
        <v>37005252.750095233</v>
      </c>
      <c r="K4" s="294">
        <f t="shared" si="2"/>
        <v>39959769.23009523</v>
      </c>
      <c r="L4" s="294">
        <f t="shared" si="2"/>
        <v>43157600.460095227</v>
      </c>
      <c r="M4" s="294">
        <f t="shared" si="2"/>
        <v>50125288</v>
      </c>
      <c r="O4" s="295"/>
      <c r="P4" s="166">
        <f>I3/M3</f>
        <v>0.62213519588934463</v>
      </c>
    </row>
    <row r="5" spans="1:17" x14ac:dyDescent="0.3">
      <c r="A5" s="293" t="s">
        <v>338</v>
      </c>
      <c r="B5" s="294">
        <f t="shared" si="1"/>
        <v>2913263.1</v>
      </c>
      <c r="C5" s="294">
        <f t="shared" si="2"/>
        <v>6222320.9600000009</v>
      </c>
      <c r="D5" s="294">
        <f t="shared" si="2"/>
        <v>10720173.939999999</v>
      </c>
      <c r="E5" s="294">
        <f t="shared" si="2"/>
        <v>14544680.710000001</v>
      </c>
      <c r="F5" s="294">
        <f t="shared" si="2"/>
        <v>18794602.43</v>
      </c>
      <c r="G5" s="294">
        <f t="shared" si="2"/>
        <v>22516030.02</v>
      </c>
      <c r="H5" s="294">
        <f t="shared" si="2"/>
        <v>27011128.619999997</v>
      </c>
      <c r="I5" s="294">
        <f t="shared" si="2"/>
        <v>32061874.019999996</v>
      </c>
      <c r="J5" s="294">
        <f>I5+J11</f>
        <v>36463867.599999994</v>
      </c>
      <c r="K5" s="294">
        <f>J5+K11</f>
        <v>40485334.999999993</v>
      </c>
      <c r="L5" s="294"/>
      <c r="M5" s="294"/>
    </row>
    <row r="6" spans="1:17" x14ac:dyDescent="0.3">
      <c r="N6" s="296"/>
    </row>
    <row r="7" spans="1:17" x14ac:dyDescent="0.3">
      <c r="A7" s="408" t="s">
        <v>334</v>
      </c>
      <c r="B7" s="408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</row>
    <row r="8" spans="1:17" x14ac:dyDescent="0.3">
      <c r="A8" s="125" t="s">
        <v>335</v>
      </c>
      <c r="B8" s="125">
        <v>43191</v>
      </c>
      <c r="C8" s="125">
        <v>43221</v>
      </c>
      <c r="D8" s="125">
        <v>43252</v>
      </c>
      <c r="E8" s="125">
        <v>43282</v>
      </c>
      <c r="F8" s="125">
        <v>43313</v>
      </c>
      <c r="G8" s="125">
        <v>43344</v>
      </c>
      <c r="H8" s="125">
        <v>43374</v>
      </c>
      <c r="I8" s="125">
        <v>43405</v>
      </c>
      <c r="J8" s="125">
        <v>43435</v>
      </c>
      <c r="K8" s="125">
        <v>43466</v>
      </c>
      <c r="L8" s="125">
        <v>43497</v>
      </c>
      <c r="M8" s="125">
        <v>43525</v>
      </c>
      <c r="N8" s="125" t="s">
        <v>52</v>
      </c>
    </row>
    <row r="9" spans="1:17" x14ac:dyDescent="0.3">
      <c r="A9" s="293" t="s">
        <v>336</v>
      </c>
      <c r="B9" s="294">
        <v>4107381.3114666673</v>
      </c>
      <c r="C9" s="294">
        <v>4107381.3114666673</v>
      </c>
      <c r="D9" s="294">
        <v>4107381.3114666673</v>
      </c>
      <c r="E9" s="294">
        <v>4107381.3114666673</v>
      </c>
      <c r="F9" s="294">
        <v>4107381.3114666673</v>
      </c>
      <c r="G9" s="294">
        <v>4107381.3114666673</v>
      </c>
      <c r="H9" s="294">
        <v>4107381.3114666673</v>
      </c>
      <c r="I9" s="294">
        <v>4107381.3114666673</v>
      </c>
      <c r="J9" s="294">
        <v>4107381.3114666673</v>
      </c>
      <c r="K9" s="294">
        <f>4107381.31146667+1175999.89231555</f>
        <v>5283381.2037822204</v>
      </c>
      <c r="L9" s="294">
        <f>4107381.31146667+1175999.89231555</f>
        <v>5283381.2037822204</v>
      </c>
      <c r="M9" s="294">
        <f>4107381.31146667+1175999.89231555</f>
        <v>5283381.2037822204</v>
      </c>
      <c r="N9" s="294">
        <f t="shared" ref="N9:N10" si="3">SUM(B9:M9)</f>
        <v>52816575.414546676</v>
      </c>
      <c r="P9" s="167">
        <v>52816575.414546646</v>
      </c>
      <c r="Q9" s="295">
        <f>P9-N9</f>
        <v>0</v>
      </c>
    </row>
    <row r="10" spans="1:17" x14ac:dyDescent="0.3">
      <c r="A10" s="293" t="s">
        <v>337</v>
      </c>
      <c r="B10" s="294">
        <v>4679187.3599999994</v>
      </c>
      <c r="C10" s="294">
        <v>3420303.8099999996</v>
      </c>
      <c r="D10" s="294">
        <v>3250871.8680952378</v>
      </c>
      <c r="E10" s="294">
        <v>4600134.0269999998</v>
      </c>
      <c r="F10" s="294">
        <v>4938355.8250000002</v>
      </c>
      <c r="G10" s="294">
        <v>3450606.14</v>
      </c>
      <c r="H10" s="294">
        <v>3509785.58</v>
      </c>
      <c r="I10" s="294">
        <v>5110642.5999999996</v>
      </c>
      <c r="J10" s="294">
        <v>4045365.54</v>
      </c>
      <c r="K10" s="294">
        <v>2954516.48</v>
      </c>
      <c r="L10" s="294">
        <v>3197831.23</v>
      </c>
      <c r="M10" s="294">
        <v>6967687.5399047723</v>
      </c>
      <c r="N10" s="294">
        <f t="shared" si="3"/>
        <v>50125288</v>
      </c>
      <c r="Q10" s="182">
        <f>Q9/3</f>
        <v>0</v>
      </c>
    </row>
    <row r="11" spans="1:17" x14ac:dyDescent="0.3">
      <c r="A11" s="293" t="s">
        <v>338</v>
      </c>
      <c r="B11" s="294">
        <v>2913263.1</v>
      </c>
      <c r="C11" s="294">
        <v>3309057.8600000003</v>
      </c>
      <c r="D11" s="294">
        <v>4497852.9799999986</v>
      </c>
      <c r="E11" s="294">
        <v>3824506.7700000005</v>
      </c>
      <c r="F11" s="294">
        <v>4249921.72</v>
      </c>
      <c r="G11" s="294">
        <v>3721427.5900000008</v>
      </c>
      <c r="H11" s="294">
        <v>4495098.5999999996</v>
      </c>
      <c r="I11" s="294">
        <v>5050745.4000000004</v>
      </c>
      <c r="J11" s="294">
        <v>4401993.58</v>
      </c>
      <c r="K11" s="294">
        <v>4021467.4000000013</v>
      </c>
      <c r="L11" s="294">
        <v>0</v>
      </c>
      <c r="M11" s="294">
        <v>0</v>
      </c>
      <c r="N11" s="294">
        <f>SUM(B11:M11)</f>
        <v>40485334.999999993</v>
      </c>
    </row>
    <row r="13" spans="1:17" x14ac:dyDescent="0.3">
      <c r="B13" s="295"/>
      <c r="C13" s="295"/>
      <c r="D13" s="295"/>
      <c r="E13" s="295"/>
      <c r="F13" s="295"/>
      <c r="G13" s="295"/>
      <c r="H13" s="295"/>
      <c r="I13" s="295"/>
      <c r="J13" s="295"/>
    </row>
    <row r="31" spans="1:13" x14ac:dyDescent="0.3">
      <c r="A31" s="408" t="s">
        <v>371</v>
      </c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</row>
    <row r="32" spans="1:13" x14ac:dyDescent="0.3">
      <c r="A32" s="125" t="s">
        <v>335</v>
      </c>
      <c r="B32" s="292">
        <v>43585</v>
      </c>
      <c r="C32" s="292">
        <v>43616</v>
      </c>
      <c r="D32" s="292">
        <v>43646</v>
      </c>
      <c r="E32" s="292">
        <v>43677</v>
      </c>
      <c r="F32" s="292">
        <v>43708</v>
      </c>
      <c r="G32" s="292">
        <v>43738</v>
      </c>
      <c r="H32" s="292">
        <v>43769</v>
      </c>
      <c r="I32" s="292">
        <v>43799</v>
      </c>
      <c r="J32" s="292">
        <v>43830</v>
      </c>
      <c r="K32" s="292">
        <v>43861</v>
      </c>
      <c r="L32" s="292">
        <v>43889</v>
      </c>
      <c r="M32" s="292">
        <v>43921</v>
      </c>
    </row>
    <row r="33" spans="1:16" x14ac:dyDescent="0.3">
      <c r="A33" s="293" t="s">
        <v>336</v>
      </c>
      <c r="B33" s="294">
        <f>B39</f>
        <v>142309.86086666666</v>
      </c>
      <c r="C33" s="294">
        <f>B33+C39</f>
        <v>284619.72173333331</v>
      </c>
      <c r="D33" s="294">
        <f t="shared" ref="D33:M35" si="4">C33+D39</f>
        <v>426929.58259999997</v>
      </c>
      <c r="E33" s="294">
        <f t="shared" si="4"/>
        <v>569239.44346666662</v>
      </c>
      <c r="F33" s="294">
        <f t="shared" si="4"/>
        <v>711549.30433333328</v>
      </c>
      <c r="G33" s="294">
        <f t="shared" si="4"/>
        <v>853859.16519999993</v>
      </c>
      <c r="H33" s="294">
        <f t="shared" si="4"/>
        <v>996169.02606666659</v>
      </c>
      <c r="I33" s="294">
        <f t="shared" si="4"/>
        <v>1138478.8869333332</v>
      </c>
      <c r="J33" s="294">
        <f t="shared" si="4"/>
        <v>1280788.7478</v>
      </c>
      <c r="K33" s="294">
        <f t="shared" si="4"/>
        <v>1639179.942</v>
      </c>
      <c r="L33" s="294">
        <f t="shared" si="4"/>
        <v>1997571.1362000001</v>
      </c>
      <c r="M33" s="294">
        <f>L33+M39</f>
        <v>2355962.3304000003</v>
      </c>
      <c r="O33" s="295">
        <f>J33-I35</f>
        <v>-229267.43219999992</v>
      </c>
      <c r="P33" s="166">
        <f>8/12</f>
        <v>0.66666666666666663</v>
      </c>
    </row>
    <row r="34" spans="1:16" x14ac:dyDescent="0.3">
      <c r="A34" s="293" t="s">
        <v>337</v>
      </c>
      <c r="B34" s="294">
        <f t="shared" ref="B34:B35" si="5">B40</f>
        <v>169570.75</v>
      </c>
      <c r="C34" s="294">
        <f t="shared" ref="C34:C35" si="6">B34+C40</f>
        <v>252805.89</v>
      </c>
      <c r="D34" s="294">
        <f t="shared" si="4"/>
        <v>427574.11</v>
      </c>
      <c r="E34" s="294">
        <f t="shared" si="4"/>
        <v>881432.51</v>
      </c>
      <c r="F34" s="294">
        <f t="shared" si="4"/>
        <v>1069228.6499999999</v>
      </c>
      <c r="G34" s="294">
        <f t="shared" si="4"/>
        <v>1275860.95</v>
      </c>
      <c r="H34" s="294">
        <f t="shared" si="4"/>
        <v>1381784.5</v>
      </c>
      <c r="I34" s="294">
        <f t="shared" si="4"/>
        <v>2096787.4100000001</v>
      </c>
      <c r="J34" s="294">
        <f t="shared" si="4"/>
        <v>2096787.4100000001</v>
      </c>
      <c r="K34" s="294">
        <f t="shared" si="4"/>
        <v>2281100.7800000003</v>
      </c>
      <c r="L34" s="294">
        <f t="shared" si="4"/>
        <v>2684779.56</v>
      </c>
      <c r="M34" s="294">
        <f t="shared" si="4"/>
        <v>4188711.16</v>
      </c>
      <c r="O34" s="295"/>
      <c r="P34" s="166">
        <f>I33/M33</f>
        <v>0.48323306032657992</v>
      </c>
    </row>
    <row r="35" spans="1:16" x14ac:dyDescent="0.3">
      <c r="A35" s="293" t="s">
        <v>338</v>
      </c>
      <c r="B35" s="294">
        <f t="shared" si="5"/>
        <v>15440.33</v>
      </c>
      <c r="C35" s="294">
        <f t="shared" si="6"/>
        <v>852675.41999999993</v>
      </c>
      <c r="D35" s="294">
        <f t="shared" si="4"/>
        <v>950410.92999999993</v>
      </c>
      <c r="E35" s="294">
        <f t="shared" si="4"/>
        <v>988140.34</v>
      </c>
      <c r="F35" s="294">
        <f t="shared" si="4"/>
        <v>1189852.6199999999</v>
      </c>
      <c r="G35" s="294">
        <f t="shared" si="4"/>
        <v>1296877.0299999998</v>
      </c>
      <c r="H35" s="294">
        <f t="shared" si="4"/>
        <v>1399746.3399999999</v>
      </c>
      <c r="I35" s="294">
        <f t="shared" si="4"/>
        <v>1510056.18</v>
      </c>
      <c r="J35" s="294">
        <f>I35+J41</f>
        <v>1640828.15</v>
      </c>
      <c r="K35" s="294">
        <v>1734603.1</v>
      </c>
      <c r="L35" s="294"/>
      <c r="M35" s="294"/>
      <c r="P35" s="166">
        <f>N41/N39</f>
        <v>0.73626105460926239</v>
      </c>
    </row>
    <row r="36" spans="1:16" x14ac:dyDescent="0.3">
      <c r="N36" s="296"/>
    </row>
    <row r="37" spans="1:16" x14ac:dyDescent="0.3">
      <c r="A37" s="408" t="s">
        <v>371</v>
      </c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</row>
    <row r="38" spans="1:16" x14ac:dyDescent="0.3">
      <c r="A38" s="125" t="s">
        <v>335</v>
      </c>
      <c r="B38" s="125">
        <v>43191</v>
      </c>
      <c r="C38" s="125">
        <v>43221</v>
      </c>
      <c r="D38" s="125">
        <v>43252</v>
      </c>
      <c r="E38" s="125">
        <v>43282</v>
      </c>
      <c r="F38" s="125">
        <v>43313</v>
      </c>
      <c r="G38" s="125">
        <v>43344</v>
      </c>
      <c r="H38" s="125">
        <v>43374</v>
      </c>
      <c r="I38" s="125">
        <v>43405</v>
      </c>
      <c r="J38" s="125">
        <v>43435</v>
      </c>
      <c r="K38" s="125">
        <v>43831</v>
      </c>
      <c r="L38" s="125">
        <v>43862</v>
      </c>
      <c r="M38" s="125">
        <v>43891</v>
      </c>
      <c r="N38" s="125" t="s">
        <v>52</v>
      </c>
    </row>
    <row r="39" spans="1:16" x14ac:dyDescent="0.3">
      <c r="A39" s="293" t="s">
        <v>336</v>
      </c>
      <c r="B39" s="331">
        <v>142309.86086666666</v>
      </c>
      <c r="C39" s="331">
        <v>142309.86086666666</v>
      </c>
      <c r="D39" s="331">
        <v>142309.86086666666</v>
      </c>
      <c r="E39" s="331">
        <v>142309.86086666666</v>
      </c>
      <c r="F39" s="331">
        <v>142309.86086666666</v>
      </c>
      <c r="G39" s="331">
        <v>142309.86086666666</v>
      </c>
      <c r="H39" s="331">
        <v>142309.86086666666</v>
      </c>
      <c r="I39" s="331">
        <v>142309.86086666666</v>
      </c>
      <c r="J39" s="331">
        <v>142309.86086666666</v>
      </c>
      <c r="K39" s="331">
        <f>142309.860866667+216081.333333333</f>
        <v>358391.19420000003</v>
      </c>
      <c r="L39" s="331">
        <f>142309.860866667+216081.333333333</f>
        <v>358391.19420000003</v>
      </c>
      <c r="M39" s="331">
        <f>142309.860866667+216081.333333333</f>
        <v>358391.19420000003</v>
      </c>
      <c r="N39" s="294">
        <f>SUM(B39:M39)</f>
        <v>2355962.3304000003</v>
      </c>
    </row>
    <row r="40" spans="1:16" x14ac:dyDescent="0.3">
      <c r="A40" s="293" t="s">
        <v>337</v>
      </c>
      <c r="B40" s="294">
        <v>169570.75</v>
      </c>
      <c r="C40" s="294">
        <v>83235.14</v>
      </c>
      <c r="D40" s="294">
        <v>174768.21999999997</v>
      </c>
      <c r="E40" s="294">
        <v>453858.39999999997</v>
      </c>
      <c r="F40" s="294">
        <v>187796.14</v>
      </c>
      <c r="G40" s="294">
        <v>206632.3</v>
      </c>
      <c r="H40" s="294">
        <v>105923.55</v>
      </c>
      <c r="I40" s="294">
        <v>715002.91000000015</v>
      </c>
      <c r="J40" s="294">
        <v>0</v>
      </c>
      <c r="K40" s="294">
        <v>184313.37000000002</v>
      </c>
      <c r="L40" s="294">
        <v>403678.77999999997</v>
      </c>
      <c r="M40" s="294">
        <v>1503931.5999999999</v>
      </c>
      <c r="N40" s="294">
        <f t="shared" ref="N40" si="7">SUM(B40:M40)</f>
        <v>4188711.16</v>
      </c>
    </row>
    <row r="41" spans="1:16" x14ac:dyDescent="0.3">
      <c r="A41" s="293" t="s">
        <v>338</v>
      </c>
      <c r="B41" s="294">
        <v>15440.33</v>
      </c>
      <c r="C41" s="294">
        <v>837235.09</v>
      </c>
      <c r="D41" s="294">
        <v>97735.51</v>
      </c>
      <c r="E41" s="294">
        <v>37729.410000000003</v>
      </c>
      <c r="F41" s="294">
        <v>201712.28</v>
      </c>
      <c r="G41" s="294">
        <v>107024.41</v>
      </c>
      <c r="H41" s="294">
        <v>102869.31</v>
      </c>
      <c r="I41" s="294">
        <v>110309.84</v>
      </c>
      <c r="J41" s="294">
        <v>130771.97</v>
      </c>
      <c r="K41" s="294">
        <v>93775.159999999989</v>
      </c>
      <c r="L41" s="294">
        <v>0</v>
      </c>
      <c r="M41" s="294">
        <v>0</v>
      </c>
      <c r="N41" s="294">
        <f>SUM(B41:M41)</f>
        <v>1734603.3099999998</v>
      </c>
    </row>
    <row r="43" spans="1:16" x14ac:dyDescent="0.3">
      <c r="B43" s="295"/>
      <c r="C43" s="295"/>
      <c r="D43" s="295"/>
      <c r="E43" s="295"/>
      <c r="F43" s="295"/>
      <c r="G43" s="295"/>
      <c r="H43" s="295"/>
      <c r="I43" s="295"/>
      <c r="J43" s="295"/>
    </row>
  </sheetData>
  <mergeCells count="4">
    <mergeCell ref="A1:M1"/>
    <mergeCell ref="A7:N7"/>
    <mergeCell ref="A31:M31"/>
    <mergeCell ref="A37:N3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Y180"/>
  <sheetViews>
    <sheetView topLeftCell="K1" zoomScale="84" zoomScaleNormal="84" workbookViewId="0">
      <pane xSplit="2" ySplit="6" topLeftCell="M109" activePane="bottomRight" state="frozen"/>
      <selection activeCell="K1" sqref="K1"/>
      <selection pane="topRight" activeCell="M1" sqref="M1"/>
      <selection pane="bottomLeft" activeCell="K7" sqref="K7"/>
      <selection pane="bottomRight" activeCell="X122" sqref="X122"/>
    </sheetView>
  </sheetViews>
  <sheetFormatPr defaultRowHeight="14.4" x14ac:dyDescent="0.3"/>
  <cols>
    <col min="1" max="1" width="15.109375" style="107" hidden="1" customWidth="1"/>
    <col min="2" max="2" width="11.88671875" style="108" hidden="1" customWidth="1"/>
    <col min="3" max="3" width="28.5546875" style="78" hidden="1" customWidth="1"/>
    <col min="4" max="4" width="16.109375" style="78" hidden="1" customWidth="1"/>
    <col min="5" max="5" width="17.88671875" style="78" hidden="1" customWidth="1"/>
    <col min="6" max="6" width="18.5546875" style="78" hidden="1" customWidth="1"/>
    <col min="7" max="7" width="15.6640625" style="77" hidden="1" customWidth="1"/>
    <col min="8" max="8" width="12.33203125" style="78" hidden="1" customWidth="1"/>
    <col min="9" max="10" width="12.33203125" style="79" hidden="1" customWidth="1"/>
    <col min="11" max="11" width="59.44140625" style="121" customWidth="1"/>
    <col min="12" max="12" width="11" style="107" hidden="1" customWidth="1"/>
    <col min="13" max="13" width="14.6640625" style="107" customWidth="1"/>
    <col min="14" max="14" width="12.6640625" style="108" hidden="1" customWidth="1"/>
    <col min="15" max="15" width="18.88671875" style="78" hidden="1" customWidth="1"/>
    <col min="16" max="16" width="16.109375" style="78" hidden="1" customWidth="1"/>
    <col min="17" max="17" width="17.88671875" style="78" hidden="1" customWidth="1"/>
    <col min="18" max="18" width="18.5546875" style="78" hidden="1" customWidth="1"/>
    <col min="19" max="19" width="17.88671875" style="77" customWidth="1"/>
    <col min="20" max="20" width="15.109375" style="78" customWidth="1"/>
    <col min="21" max="22" width="11.88671875" style="79" customWidth="1"/>
    <col min="23" max="23" width="10.88671875" style="317" bestFit="1" customWidth="1"/>
    <col min="24" max="24" width="17.6640625" bestFit="1" customWidth="1"/>
  </cols>
  <sheetData>
    <row r="1" spans="1:25" ht="17.399999999999999" x14ac:dyDescent="0.3">
      <c r="A1" s="18"/>
      <c r="B1" s="166"/>
      <c r="C1" s="18"/>
      <c r="D1" s="18"/>
      <c r="E1" s="18"/>
      <c r="F1" s="18"/>
      <c r="G1" s="18"/>
      <c r="H1" s="18"/>
      <c r="I1" s="18"/>
      <c r="J1" s="18"/>
      <c r="K1" s="407" t="s">
        <v>248</v>
      </c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</row>
    <row r="2" spans="1:25" ht="24.6" hidden="1" customHeight="1" x14ac:dyDescent="0.4">
      <c r="A2" s="75"/>
      <c r="B2" s="76"/>
      <c r="C2" s="75"/>
      <c r="D2" s="75"/>
      <c r="E2" s="75"/>
      <c r="F2" s="75"/>
      <c r="K2" s="120" t="s">
        <v>68</v>
      </c>
      <c r="L2" s="75"/>
      <c r="M2" s="75"/>
      <c r="N2" s="76">
        <v>5.7</v>
      </c>
      <c r="O2" s="75"/>
      <c r="P2" s="75"/>
      <c r="Q2" s="75"/>
      <c r="R2" s="75"/>
    </row>
    <row r="3" spans="1:25" ht="17.399999999999999" customHeight="1" x14ac:dyDescent="0.4">
      <c r="A3" s="408" t="s">
        <v>225</v>
      </c>
      <c r="B3" s="408"/>
      <c r="C3" s="408"/>
      <c r="D3" s="408"/>
      <c r="E3" s="408"/>
      <c r="F3" s="408"/>
      <c r="G3" s="408"/>
      <c r="H3" s="408"/>
      <c r="I3" s="408"/>
      <c r="J3" s="408"/>
      <c r="K3" s="14" t="s">
        <v>69</v>
      </c>
      <c r="L3" s="75"/>
      <c r="M3" s="408" t="s">
        <v>226</v>
      </c>
      <c r="N3" s="408"/>
      <c r="O3" s="408"/>
      <c r="P3" s="408"/>
      <c r="Q3" s="408"/>
      <c r="R3" s="408"/>
      <c r="S3" s="408"/>
      <c r="T3" s="408"/>
      <c r="U3" s="408"/>
      <c r="V3" s="408"/>
      <c r="X3" s="166"/>
      <c r="Y3" s="166"/>
    </row>
    <row r="4" spans="1:25" ht="18.600000000000001" customHeight="1" x14ac:dyDescent="0.4">
      <c r="A4" s="125">
        <v>43831</v>
      </c>
      <c r="B4" s="125">
        <f>A4</f>
        <v>43831</v>
      </c>
      <c r="C4" s="125">
        <f t="shared" ref="C4:J4" si="0">B4</f>
        <v>43831</v>
      </c>
      <c r="D4" s="125">
        <f t="shared" si="0"/>
        <v>43831</v>
      </c>
      <c r="E4" s="125">
        <f t="shared" si="0"/>
        <v>43831</v>
      </c>
      <c r="F4" s="125">
        <f t="shared" si="0"/>
        <v>43831</v>
      </c>
      <c r="G4" s="125">
        <f t="shared" si="0"/>
        <v>43831</v>
      </c>
      <c r="H4" s="125">
        <f t="shared" si="0"/>
        <v>43831</v>
      </c>
      <c r="I4" s="125">
        <f t="shared" si="0"/>
        <v>43831</v>
      </c>
      <c r="J4" s="125">
        <f t="shared" si="0"/>
        <v>43831</v>
      </c>
      <c r="K4" s="395" t="s">
        <v>230</v>
      </c>
      <c r="L4" s="75"/>
      <c r="M4" s="125">
        <f>A4</f>
        <v>43831</v>
      </c>
      <c r="N4" s="125">
        <f t="shared" ref="N4:V4" si="1">B4</f>
        <v>43831</v>
      </c>
      <c r="O4" s="125">
        <f t="shared" si="1"/>
        <v>43831</v>
      </c>
      <c r="P4" s="125">
        <f t="shared" si="1"/>
        <v>43831</v>
      </c>
      <c r="Q4" s="125">
        <f t="shared" si="1"/>
        <v>43831</v>
      </c>
      <c r="R4" s="125">
        <f t="shared" si="1"/>
        <v>43831</v>
      </c>
      <c r="S4" s="125">
        <f t="shared" si="1"/>
        <v>43831</v>
      </c>
      <c r="T4" s="125">
        <f t="shared" si="1"/>
        <v>43831</v>
      </c>
      <c r="U4" s="165">
        <f>T4</f>
        <v>43831</v>
      </c>
      <c r="V4" s="125">
        <f t="shared" si="1"/>
        <v>43831</v>
      </c>
    </row>
    <row r="5" spans="1:25" ht="32.4" customHeight="1" x14ac:dyDescent="0.3">
      <c r="A5" s="10" t="s">
        <v>2</v>
      </c>
      <c r="B5" s="10" t="s">
        <v>241</v>
      </c>
      <c r="C5" s="10" t="s">
        <v>70</v>
      </c>
      <c r="D5" s="10" t="s">
        <v>71</v>
      </c>
      <c r="E5" s="10" t="s">
        <v>72</v>
      </c>
      <c r="F5" s="10" t="s">
        <v>73</v>
      </c>
      <c r="G5" s="10" t="s">
        <v>74</v>
      </c>
      <c r="H5" s="10" t="s">
        <v>242</v>
      </c>
      <c r="I5" s="10" t="s">
        <v>75</v>
      </c>
      <c r="J5" s="10" t="s">
        <v>76</v>
      </c>
      <c r="K5" s="396"/>
      <c r="L5" s="109"/>
      <c r="M5" s="10" t="s">
        <v>2</v>
      </c>
      <c r="N5" s="10" t="s">
        <v>241</v>
      </c>
      <c r="O5" s="10" t="s">
        <v>70</v>
      </c>
      <c r="P5" s="10" t="s">
        <v>71</v>
      </c>
      <c r="Q5" s="10" t="s">
        <v>72</v>
      </c>
      <c r="R5" s="10" t="s">
        <v>73</v>
      </c>
      <c r="S5" s="10" t="s">
        <v>74</v>
      </c>
      <c r="T5" s="10" t="s">
        <v>242</v>
      </c>
      <c r="U5" s="10" t="s">
        <v>75</v>
      </c>
      <c r="V5" s="10" t="s">
        <v>76</v>
      </c>
      <c r="X5" s="188"/>
    </row>
    <row r="6" spans="1:25" ht="3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24"/>
      <c r="L6" s="109"/>
      <c r="M6" s="1"/>
      <c r="N6" s="1"/>
      <c r="O6" s="1"/>
      <c r="P6" s="1"/>
      <c r="Q6" s="1"/>
      <c r="R6" s="1"/>
      <c r="S6" s="1"/>
      <c r="T6" s="1"/>
      <c r="U6" s="3"/>
      <c r="V6" s="3"/>
    </row>
    <row r="7" spans="1:25" x14ac:dyDescent="0.3">
      <c r="A7" s="183">
        <f>'WCLA Consolidated MTEF Budget'!F7</f>
        <v>0</v>
      </c>
      <c r="B7" s="183">
        <f>N7/12</f>
        <v>29108.516872499997</v>
      </c>
      <c r="C7" s="8"/>
      <c r="D7" s="8"/>
      <c r="E7" s="8"/>
      <c r="F7" s="8"/>
      <c r="G7" s="8"/>
      <c r="H7" s="8">
        <f>B7-A7</f>
        <v>29108.516872499997</v>
      </c>
      <c r="I7" s="158">
        <f t="shared" ref="I7:I15" si="2">IFERROR(H7/B7,)</f>
        <v>1</v>
      </c>
      <c r="J7" s="158">
        <f>IFERROR(A7/B7,)</f>
        <v>0</v>
      </c>
      <c r="K7" s="16" t="s">
        <v>77</v>
      </c>
      <c r="L7" s="110">
        <v>1</v>
      </c>
      <c r="M7" s="8">
        <f>'WCLA Consolidated MTEF Budget'!N7</f>
        <v>300547.57966666669</v>
      </c>
      <c r="N7" s="8">
        <v>349302.20246999996</v>
      </c>
      <c r="O7" s="8">
        <v>0</v>
      </c>
      <c r="P7" s="183"/>
      <c r="Q7" s="7">
        <f>N7+P7</f>
        <v>349302.20246999996</v>
      </c>
      <c r="R7" s="8">
        <v>0</v>
      </c>
      <c r="S7" s="8">
        <f>SUM(Q7:R7)</f>
        <v>349302.20246999996</v>
      </c>
      <c r="T7" s="8">
        <f>M7-S7</f>
        <v>-48754.622803333274</v>
      </c>
      <c r="U7" s="158">
        <f>IFERROR(T7/S7,)</f>
        <v>-0.13957719836456112</v>
      </c>
      <c r="V7" s="158">
        <f>IFERROR(M7/S7,)</f>
        <v>0.86042280163543894</v>
      </c>
      <c r="X7" s="295"/>
    </row>
    <row r="8" spans="1:25" x14ac:dyDescent="0.3">
      <c r="A8" s="7">
        <f>'WCLA Consolidated MTEF Budget'!F8</f>
        <v>2791140.8284950005</v>
      </c>
      <c r="B8" s="7">
        <f t="shared" ref="B8:B16" si="3">N8/12</f>
        <v>2401035.0475050001</v>
      </c>
      <c r="C8" s="7"/>
      <c r="D8" s="7"/>
      <c r="E8" s="7"/>
      <c r="F8" s="7"/>
      <c r="G8" s="7"/>
      <c r="H8" s="7">
        <f t="shared" ref="H8:H16" si="4">B8-A8</f>
        <v>-390105.78099000035</v>
      </c>
      <c r="I8" s="159">
        <f t="shared" si="2"/>
        <v>-0.16247400528175254</v>
      </c>
      <c r="J8" s="159">
        <f t="shared" ref="J8:J16" si="5">IFERROR(A8/B8,)</f>
        <v>1.1624740052817526</v>
      </c>
      <c r="K8" s="13" t="s">
        <v>78</v>
      </c>
      <c r="L8" s="409" t="s">
        <v>79</v>
      </c>
      <c r="M8" s="7">
        <f>'WCLA Consolidated MTEF Budget'!N8</f>
        <v>27594855.382997241</v>
      </c>
      <c r="N8" s="7">
        <v>28812420.57006</v>
      </c>
      <c r="O8" s="7">
        <v>0</v>
      </c>
      <c r="P8" s="203"/>
      <c r="Q8" s="7">
        <f>N8+P8</f>
        <v>28812420.57006</v>
      </c>
      <c r="R8" s="7">
        <v>0</v>
      </c>
      <c r="S8" s="7">
        <f t="shared" ref="S8:S71" si="6">SUM(Q8:R8)</f>
        <v>28812420.57006</v>
      </c>
      <c r="T8" s="7">
        <f t="shared" ref="T8:T16" si="7">M8-S8</f>
        <v>-1217565.187062759</v>
      </c>
      <c r="U8" s="159">
        <f t="shared" ref="U8:U71" si="8">IFERROR(T8/S8,)</f>
        <v>-4.2258344247826707E-2</v>
      </c>
      <c r="V8" s="159">
        <f t="shared" ref="V8:V71" si="9">IFERROR(M8/S8,)</f>
        <v>0.95774165575217329</v>
      </c>
    </row>
    <row r="9" spans="1:25" x14ac:dyDescent="0.3">
      <c r="A9" s="7">
        <f>'WCLA Consolidated MTEF Budget'!F9</f>
        <v>0</v>
      </c>
      <c r="B9" s="7">
        <f t="shared" si="3"/>
        <v>3481.9900463319996</v>
      </c>
      <c r="C9" s="7"/>
      <c r="D9" s="7"/>
      <c r="E9" s="7"/>
      <c r="F9" s="7"/>
      <c r="G9" s="7"/>
      <c r="H9" s="7">
        <f t="shared" si="4"/>
        <v>3481.9900463319996</v>
      </c>
      <c r="I9" s="159">
        <f t="shared" si="2"/>
        <v>1</v>
      </c>
      <c r="J9" s="159">
        <f t="shared" si="5"/>
        <v>0</v>
      </c>
      <c r="K9" s="13" t="s">
        <v>80</v>
      </c>
      <c r="L9" s="409"/>
      <c r="M9" s="7">
        <f>'WCLA Consolidated MTEF Budget'!N9</f>
        <v>0</v>
      </c>
      <c r="N9" s="7">
        <v>41783.880555983997</v>
      </c>
      <c r="O9" s="7">
        <v>0</v>
      </c>
      <c r="P9" s="203"/>
      <c r="Q9" s="7">
        <f t="shared" ref="Q9:Q72" si="10">N9+P9</f>
        <v>41783.880555983997</v>
      </c>
      <c r="R9" s="7">
        <v>0</v>
      </c>
      <c r="S9" s="7">
        <f t="shared" si="6"/>
        <v>41783.880555983997</v>
      </c>
      <c r="T9" s="7">
        <f t="shared" si="7"/>
        <v>-41783.880555983997</v>
      </c>
      <c r="U9" s="159">
        <f t="shared" si="8"/>
        <v>-1</v>
      </c>
      <c r="V9" s="159">
        <f t="shared" si="9"/>
        <v>0</v>
      </c>
    </row>
    <row r="10" spans="1:25" x14ac:dyDescent="0.3">
      <c r="A10" s="7">
        <f>'WCLA Consolidated MTEF Budget'!F10</f>
        <v>0</v>
      </c>
      <c r="B10" s="7">
        <f t="shared" si="3"/>
        <v>4440.9932774999997</v>
      </c>
      <c r="C10" s="7"/>
      <c r="D10" s="7"/>
      <c r="E10" s="7"/>
      <c r="F10" s="7"/>
      <c r="G10" s="7"/>
      <c r="H10" s="7">
        <f t="shared" si="4"/>
        <v>4440.9932774999997</v>
      </c>
      <c r="I10" s="159">
        <f t="shared" si="2"/>
        <v>1</v>
      </c>
      <c r="J10" s="159">
        <f t="shared" si="5"/>
        <v>0</v>
      </c>
      <c r="K10" s="13" t="s">
        <v>81</v>
      </c>
      <c r="L10" s="110">
        <v>1</v>
      </c>
      <c r="M10" s="7">
        <f>'WCLA Consolidated MTEF Budget'!N10</f>
        <v>47162.549548199997</v>
      </c>
      <c r="N10" s="7">
        <v>53291.919329999997</v>
      </c>
      <c r="O10" s="7">
        <v>0</v>
      </c>
      <c r="P10" s="203"/>
      <c r="Q10" s="7">
        <f t="shared" si="10"/>
        <v>53291.919329999997</v>
      </c>
      <c r="R10" s="7">
        <v>0</v>
      </c>
      <c r="S10" s="7">
        <f t="shared" si="6"/>
        <v>53291.919329999997</v>
      </c>
      <c r="T10" s="7">
        <f t="shared" si="7"/>
        <v>-6129.3697818000001</v>
      </c>
      <c r="U10" s="159">
        <f t="shared" si="8"/>
        <v>-0.11501499399646413</v>
      </c>
      <c r="V10" s="159">
        <f t="shared" si="9"/>
        <v>0.88498500600353591</v>
      </c>
    </row>
    <row r="11" spans="1:25" x14ac:dyDescent="0.3">
      <c r="A11" s="7">
        <f>'WCLA Consolidated MTEF Budget'!F11</f>
        <v>0</v>
      </c>
      <c r="B11" s="7">
        <f t="shared" si="3"/>
        <v>59.213243700000014</v>
      </c>
      <c r="C11" s="7"/>
      <c r="D11" s="7"/>
      <c r="E11" s="7"/>
      <c r="F11" s="7"/>
      <c r="G11" s="7"/>
      <c r="H11" s="7">
        <f t="shared" si="4"/>
        <v>59.213243700000014</v>
      </c>
      <c r="I11" s="159">
        <f t="shared" si="2"/>
        <v>1</v>
      </c>
      <c r="J11" s="159">
        <f t="shared" si="5"/>
        <v>0</v>
      </c>
      <c r="K11" s="13" t="s">
        <v>82</v>
      </c>
      <c r="L11" s="110">
        <v>1</v>
      </c>
      <c r="M11" s="7">
        <f>'WCLA Consolidated MTEF Budget'!N11</f>
        <v>0</v>
      </c>
      <c r="N11" s="7">
        <v>710.55892440000014</v>
      </c>
      <c r="O11" s="7">
        <v>0</v>
      </c>
      <c r="P11" s="203"/>
      <c r="Q11" s="7">
        <f t="shared" si="10"/>
        <v>710.55892440000014</v>
      </c>
      <c r="R11" s="7">
        <v>0</v>
      </c>
      <c r="S11" s="7">
        <f t="shared" si="6"/>
        <v>710.55892440000014</v>
      </c>
      <c r="T11" s="7">
        <f t="shared" si="7"/>
        <v>-710.55892440000014</v>
      </c>
      <c r="U11" s="159">
        <f t="shared" si="8"/>
        <v>-1</v>
      </c>
      <c r="V11" s="159">
        <f t="shared" si="9"/>
        <v>0</v>
      </c>
    </row>
    <row r="12" spans="1:25" x14ac:dyDescent="0.3">
      <c r="A12" s="7">
        <f>'WCLA Consolidated MTEF Budget'!F12</f>
        <v>25910.2360696</v>
      </c>
      <c r="B12" s="7">
        <f t="shared" si="3"/>
        <v>22372.407076499996</v>
      </c>
      <c r="C12" s="7"/>
      <c r="D12" s="7"/>
      <c r="E12" s="7"/>
      <c r="F12" s="7"/>
      <c r="G12" s="7"/>
      <c r="H12" s="7">
        <f t="shared" si="4"/>
        <v>-3537.8289931000036</v>
      </c>
      <c r="I12" s="159">
        <f t="shared" si="2"/>
        <v>-0.15813358754839318</v>
      </c>
      <c r="J12" s="159">
        <f t="shared" si="5"/>
        <v>1.1581335875483931</v>
      </c>
      <c r="K12" s="13" t="s">
        <v>83</v>
      </c>
      <c r="L12" s="110" t="s">
        <v>79</v>
      </c>
      <c r="M12" s="7">
        <f>'WCLA Consolidated MTEF Budget'!N12</f>
        <v>257044.96947712003</v>
      </c>
      <c r="N12" s="7">
        <v>268468.88491799997</v>
      </c>
      <c r="O12" s="7">
        <v>0</v>
      </c>
      <c r="P12" s="203"/>
      <c r="Q12" s="7">
        <f t="shared" si="10"/>
        <v>268468.88491799997</v>
      </c>
      <c r="R12" s="7">
        <v>0</v>
      </c>
      <c r="S12" s="7">
        <f t="shared" si="6"/>
        <v>268468.88491799997</v>
      </c>
      <c r="T12" s="7">
        <f t="shared" si="7"/>
        <v>-11423.915440879937</v>
      </c>
      <c r="U12" s="159">
        <f t="shared" si="8"/>
        <v>-4.2552102245923998E-2</v>
      </c>
      <c r="V12" s="159">
        <f t="shared" si="9"/>
        <v>0.95744789775407602</v>
      </c>
    </row>
    <row r="13" spans="1:25" x14ac:dyDescent="0.3">
      <c r="A13" s="7">
        <f>'WCLA Consolidated MTEF Budget'!F13</f>
        <v>9073.4477600000009</v>
      </c>
      <c r="B13" s="7">
        <f t="shared" si="3"/>
        <v>4166.666666666667</v>
      </c>
      <c r="C13" s="7"/>
      <c r="D13" s="7"/>
      <c r="E13" s="7"/>
      <c r="F13" s="7"/>
      <c r="G13" s="7"/>
      <c r="H13" s="7">
        <f t="shared" si="4"/>
        <v>-4906.781093333334</v>
      </c>
      <c r="I13" s="159">
        <f t="shared" si="2"/>
        <v>-1.1776274624</v>
      </c>
      <c r="J13" s="159">
        <f t="shared" si="5"/>
        <v>2.1776274624000003</v>
      </c>
      <c r="K13" s="13" t="s">
        <v>84</v>
      </c>
      <c r="L13" s="110" t="s">
        <v>85</v>
      </c>
      <c r="M13" s="7">
        <f>'WCLA Consolidated MTEF Budget'!N13</f>
        <v>130032.25584</v>
      </c>
      <c r="N13" s="7">
        <v>50000</v>
      </c>
      <c r="O13" s="7">
        <v>0</v>
      </c>
      <c r="P13" s="203"/>
      <c r="Q13" s="7">
        <f t="shared" si="10"/>
        <v>50000</v>
      </c>
      <c r="R13" s="7">
        <v>0</v>
      </c>
      <c r="S13" s="7">
        <f t="shared" si="6"/>
        <v>50000</v>
      </c>
      <c r="T13" s="7">
        <f t="shared" si="7"/>
        <v>80032.255839999998</v>
      </c>
      <c r="U13" s="159">
        <f t="shared" si="8"/>
        <v>1.6006451168</v>
      </c>
      <c r="V13" s="159">
        <f t="shared" si="9"/>
        <v>2.6006451168</v>
      </c>
    </row>
    <row r="14" spans="1:25" x14ac:dyDescent="0.3">
      <c r="A14" s="168">
        <f>'WCLA Consolidated MTEF Budget'!F14</f>
        <v>0</v>
      </c>
      <c r="B14" s="168">
        <f>N14/12</f>
        <v>167028.52504382608</v>
      </c>
      <c r="C14" s="7"/>
      <c r="D14" s="7"/>
      <c r="E14" s="7"/>
      <c r="F14" s="7"/>
      <c r="G14" s="7"/>
      <c r="H14" s="7">
        <f t="shared" si="4"/>
        <v>167028.52504382608</v>
      </c>
      <c r="I14" s="159">
        <f t="shared" si="2"/>
        <v>1</v>
      </c>
      <c r="J14" s="159">
        <f t="shared" si="5"/>
        <v>0</v>
      </c>
      <c r="K14" s="13" t="s">
        <v>86</v>
      </c>
      <c r="L14" s="110" t="s">
        <v>79</v>
      </c>
      <c r="M14" s="7" t="e">
        <f>'WCLA Consolidated MTEF Budget'!N14</f>
        <v>#REF!</v>
      </c>
      <c r="N14" s="7">
        <v>2004342.300525913</v>
      </c>
      <c r="O14" s="7">
        <v>0</v>
      </c>
      <c r="P14" s="203"/>
      <c r="Q14" s="7">
        <f t="shared" si="10"/>
        <v>2004342.300525913</v>
      </c>
      <c r="R14" s="7">
        <v>0</v>
      </c>
      <c r="S14" s="7">
        <f t="shared" si="6"/>
        <v>2004342.300525913</v>
      </c>
      <c r="T14" s="7" t="e">
        <f t="shared" si="7"/>
        <v>#REF!</v>
      </c>
      <c r="U14" s="159">
        <f t="shared" si="8"/>
        <v>0</v>
      </c>
      <c r="V14" s="159">
        <f t="shared" si="9"/>
        <v>0</v>
      </c>
    </row>
    <row r="15" spans="1:25" x14ac:dyDescent="0.3">
      <c r="A15" s="168">
        <f>'WCLA Consolidated MTEF Budget'!F15</f>
        <v>0</v>
      </c>
      <c r="B15" s="168">
        <f>N15/12</f>
        <v>11250</v>
      </c>
      <c r="C15" s="7"/>
      <c r="D15" s="7"/>
      <c r="E15" s="7"/>
      <c r="F15" s="7"/>
      <c r="G15" s="7"/>
      <c r="H15" s="7">
        <f t="shared" si="4"/>
        <v>11250</v>
      </c>
      <c r="I15" s="159">
        <f t="shared" si="2"/>
        <v>1</v>
      </c>
      <c r="J15" s="159">
        <f t="shared" si="5"/>
        <v>0</v>
      </c>
      <c r="K15" s="13" t="s">
        <v>87</v>
      </c>
      <c r="L15" s="110"/>
      <c r="M15" s="7">
        <f>'WCLA Consolidated MTEF Budget'!N15</f>
        <v>438095.66</v>
      </c>
      <c r="N15" s="7">
        <v>135000</v>
      </c>
      <c r="O15" s="7">
        <v>0</v>
      </c>
      <c r="P15" s="203"/>
      <c r="Q15" s="7">
        <f t="shared" si="10"/>
        <v>135000</v>
      </c>
      <c r="R15" s="7">
        <v>0</v>
      </c>
      <c r="S15" s="7">
        <f t="shared" si="6"/>
        <v>135000</v>
      </c>
      <c r="T15" s="7">
        <f t="shared" si="7"/>
        <v>303095.65999999997</v>
      </c>
      <c r="U15" s="159">
        <f t="shared" si="8"/>
        <v>2.2451530370370367</v>
      </c>
      <c r="V15" s="159">
        <f t="shared" si="9"/>
        <v>3.2451530370370367</v>
      </c>
    </row>
    <row r="16" spans="1:25" x14ac:dyDescent="0.3">
      <c r="A16" s="11">
        <f>'WCLA Consolidated MTEF Budget'!F16</f>
        <v>0</v>
      </c>
      <c r="B16" s="11">
        <f t="shared" si="3"/>
        <v>0</v>
      </c>
      <c r="C16" s="11"/>
      <c r="D16" s="11"/>
      <c r="E16" s="11"/>
      <c r="F16" s="11"/>
      <c r="G16" s="11"/>
      <c r="H16" s="11">
        <f t="shared" si="4"/>
        <v>0</v>
      </c>
      <c r="I16" s="160">
        <f>IFERROR(H16/B16,)</f>
        <v>0</v>
      </c>
      <c r="J16" s="160">
        <f t="shared" si="5"/>
        <v>0</v>
      </c>
      <c r="K16" s="13" t="s">
        <v>88</v>
      </c>
      <c r="L16" s="110"/>
      <c r="M16" s="11">
        <f>'WCLA Consolidated MTEF Budget'!N16</f>
        <v>0</v>
      </c>
      <c r="N16" s="11">
        <v>0</v>
      </c>
      <c r="O16" s="11">
        <v>0</v>
      </c>
      <c r="P16" s="321"/>
      <c r="Q16" s="11">
        <f t="shared" si="10"/>
        <v>0</v>
      </c>
      <c r="R16" s="11">
        <v>0</v>
      </c>
      <c r="S16" s="11">
        <f t="shared" si="6"/>
        <v>0</v>
      </c>
      <c r="T16" s="11">
        <f t="shared" si="7"/>
        <v>0</v>
      </c>
      <c r="U16" s="160">
        <f t="shared" si="8"/>
        <v>0</v>
      </c>
      <c r="V16" s="160">
        <f t="shared" si="9"/>
        <v>0</v>
      </c>
    </row>
    <row r="17" spans="1:24" s="18" customFormat="1" ht="5.4" customHeight="1" x14ac:dyDescent="0.3">
      <c r="A17" s="83"/>
      <c r="B17" s="83"/>
      <c r="C17" s="83"/>
      <c r="D17" s="83"/>
      <c r="E17" s="83"/>
      <c r="F17" s="83"/>
      <c r="G17" s="83"/>
      <c r="H17" s="83"/>
      <c r="I17" s="84"/>
      <c r="J17" s="84"/>
      <c r="K17" s="13"/>
      <c r="L17" s="110"/>
      <c r="M17" s="85"/>
      <c r="N17" s="85"/>
      <c r="O17" s="85"/>
      <c r="P17" s="323"/>
      <c r="Q17" s="85">
        <f t="shared" si="10"/>
        <v>0</v>
      </c>
      <c r="R17" s="85"/>
      <c r="S17" s="85">
        <f t="shared" si="6"/>
        <v>0</v>
      </c>
      <c r="T17" s="85"/>
      <c r="U17" s="161"/>
      <c r="V17" s="161"/>
      <c r="W17" s="317"/>
    </row>
    <row r="18" spans="1:24" x14ac:dyDescent="0.3">
      <c r="A18" s="4">
        <f>SUM(A7:A16)</f>
        <v>2826124.5123246005</v>
      </c>
      <c r="B18" s="4">
        <f>SUM(B7:B16)</f>
        <v>2642943.3597320248</v>
      </c>
      <c r="C18" s="4"/>
      <c r="D18" s="4"/>
      <c r="E18" s="4"/>
      <c r="F18" s="4"/>
      <c r="G18" s="4"/>
      <c r="H18" s="4">
        <f>B18-A18</f>
        <v>-183181.15259257564</v>
      </c>
      <c r="I18" s="162">
        <f t="shared" ref="I18" si="11">IFERROR(H18/B18,)</f>
        <v>-6.9309526410414213E-2</v>
      </c>
      <c r="J18" s="162">
        <f>IFERROR(A18/B18,)</f>
        <v>1.0693095264104142</v>
      </c>
      <c r="K18" s="13" t="s">
        <v>89</v>
      </c>
      <c r="L18" s="111"/>
      <c r="M18" s="4" t="e">
        <f>SUM(M7:M16)</f>
        <v>#REF!</v>
      </c>
      <c r="N18" s="4">
        <f>SUM(N7:N16)</f>
        <v>31715320.3167843</v>
      </c>
      <c r="O18" s="4">
        <f>SUM(O8:O16)</f>
        <v>0</v>
      </c>
      <c r="P18" s="324"/>
      <c r="Q18" s="4">
        <f t="shared" si="10"/>
        <v>31715320.3167843</v>
      </c>
      <c r="R18" s="4">
        <f>SUM(R8:R16)</f>
        <v>0</v>
      </c>
      <c r="S18" s="4">
        <f t="shared" si="6"/>
        <v>31715320.3167843</v>
      </c>
      <c r="T18" s="4" t="e">
        <f>M18-S18</f>
        <v>#REF!</v>
      </c>
      <c r="U18" s="162">
        <f t="shared" si="8"/>
        <v>0</v>
      </c>
      <c r="V18" s="162">
        <f t="shared" si="9"/>
        <v>0</v>
      </c>
    </row>
    <row r="19" spans="1:24" ht="5.4" customHeight="1" x14ac:dyDescent="0.3">
      <c r="A19" s="87"/>
      <c r="B19" s="87"/>
      <c r="C19" s="86"/>
      <c r="D19" s="86"/>
      <c r="E19" s="86"/>
      <c r="F19" s="87"/>
      <c r="G19" s="87"/>
      <c r="H19" s="87"/>
      <c r="I19" s="88"/>
      <c r="J19" s="88"/>
      <c r="K19" s="122"/>
      <c r="L19" s="112"/>
      <c r="M19" s="82"/>
      <c r="N19" s="82"/>
      <c r="O19" s="82"/>
      <c r="P19" s="325"/>
      <c r="Q19" s="82">
        <f t="shared" si="10"/>
        <v>0</v>
      </c>
      <c r="R19" s="82"/>
      <c r="S19" s="82">
        <f t="shared" si="6"/>
        <v>0</v>
      </c>
      <c r="T19" s="82"/>
      <c r="U19" s="119">
        <f t="shared" si="8"/>
        <v>0</v>
      </c>
      <c r="V19" s="119">
        <f t="shared" si="9"/>
        <v>0</v>
      </c>
    </row>
    <row r="20" spans="1:24" x14ac:dyDescent="0.3">
      <c r="A20" s="8">
        <f>'WCLA Consolidated MTEF Budget'!F20</f>
        <v>10825.84</v>
      </c>
      <c r="B20" s="8">
        <f t="shared" ref="B20:B26" si="12">N20/12</f>
        <v>9828.75</v>
      </c>
      <c r="C20" s="8"/>
      <c r="D20" s="8"/>
      <c r="E20" s="8"/>
      <c r="F20" s="8"/>
      <c r="G20" s="8"/>
      <c r="H20" s="8">
        <f t="shared" ref="H20:H26" si="13">B20-A20</f>
        <v>-997.09000000000015</v>
      </c>
      <c r="I20" s="158">
        <f t="shared" ref="I20:I26" si="14">IFERROR(H20/B20,)</f>
        <v>-0.10144626732799188</v>
      </c>
      <c r="J20" s="158">
        <f t="shared" ref="J20:J26" si="15">IFERROR(A20/B20,)</f>
        <v>1.1014462673279919</v>
      </c>
      <c r="K20" s="16" t="s">
        <v>90</v>
      </c>
      <c r="L20" s="110">
        <v>8</v>
      </c>
      <c r="M20" s="8">
        <f>'WCLA Consolidated MTEF Budget'!N20</f>
        <v>108258.39999999998</v>
      </c>
      <c r="N20" s="8">
        <v>117945</v>
      </c>
      <c r="O20" s="8">
        <v>0</v>
      </c>
      <c r="P20" s="183"/>
      <c r="Q20" s="8">
        <f t="shared" si="10"/>
        <v>117945</v>
      </c>
      <c r="R20" s="8">
        <v>0</v>
      </c>
      <c r="S20" s="8">
        <f t="shared" si="6"/>
        <v>117945</v>
      </c>
      <c r="T20" s="8">
        <f>M20-S20</f>
        <v>-9686.6000000000204</v>
      </c>
      <c r="U20" s="158">
        <f t="shared" si="8"/>
        <v>-8.2128110560006962E-2</v>
      </c>
      <c r="V20" s="158">
        <f t="shared" si="9"/>
        <v>0.91787188943999309</v>
      </c>
    </row>
    <row r="21" spans="1:24" x14ac:dyDescent="0.3">
      <c r="A21" s="7">
        <f>'WCLA Consolidated MTEF Budget'!F21</f>
        <v>142166.44</v>
      </c>
      <c r="B21" s="7">
        <f t="shared" si="12"/>
        <v>133333.36025444666</v>
      </c>
      <c r="C21" s="7"/>
      <c r="D21" s="7"/>
      <c r="E21" s="7"/>
      <c r="F21" s="7"/>
      <c r="G21" s="7"/>
      <c r="H21" s="7">
        <f t="shared" si="13"/>
        <v>-8833.0797455533466</v>
      </c>
      <c r="I21" s="159">
        <f t="shared" si="14"/>
        <v>-6.6248084715608627E-2</v>
      </c>
      <c r="J21" s="159">
        <f t="shared" si="15"/>
        <v>1.0662480847156086</v>
      </c>
      <c r="K21" s="13" t="s">
        <v>91</v>
      </c>
      <c r="L21" s="110">
        <v>4</v>
      </c>
      <c r="M21" s="7">
        <f>'WCLA Consolidated MTEF Budget'!N21</f>
        <v>1421664.3999999997</v>
      </c>
      <c r="N21" s="7">
        <v>1600000.32305336</v>
      </c>
      <c r="O21" s="7">
        <f>'WCLA Consolidated MTEF Budget'!T21</f>
        <v>-715404</v>
      </c>
      <c r="P21" s="203"/>
      <c r="Q21" s="7">
        <f>N21+O21</f>
        <v>884596.32305335999</v>
      </c>
      <c r="R21" s="7">
        <v>0</v>
      </c>
      <c r="S21" s="7">
        <f t="shared" si="6"/>
        <v>884596.32305335999</v>
      </c>
      <c r="T21" s="7">
        <f t="shared" ref="T21:T83" si="16">M21-S21</f>
        <v>537068.07694663969</v>
      </c>
      <c r="U21" s="159">
        <f t="shared" si="8"/>
        <v>0.60713351723285769</v>
      </c>
      <c r="V21" s="159">
        <f t="shared" si="9"/>
        <v>1.6071335172328578</v>
      </c>
    </row>
    <row r="22" spans="1:24" x14ac:dyDescent="0.3">
      <c r="A22" s="7">
        <f>'WCLA Consolidated MTEF Budget'!F22</f>
        <v>13768.624</v>
      </c>
      <c r="B22" s="7">
        <f t="shared" si="12"/>
        <v>12500</v>
      </c>
      <c r="C22" s="7"/>
      <c r="D22" s="7"/>
      <c r="E22" s="7"/>
      <c r="F22" s="7"/>
      <c r="G22" s="7"/>
      <c r="H22" s="7">
        <f t="shared" si="13"/>
        <v>-1268.6239999999998</v>
      </c>
      <c r="I22" s="159">
        <f t="shared" si="14"/>
        <v>-0.10148991999999998</v>
      </c>
      <c r="J22" s="159">
        <f t="shared" si="15"/>
        <v>1.1014899199999999</v>
      </c>
      <c r="K22" s="13" t="s">
        <v>92</v>
      </c>
      <c r="L22" s="110">
        <v>6</v>
      </c>
      <c r="M22" s="7">
        <f>'WCLA Consolidated MTEF Budget'!N22</f>
        <v>137686.24</v>
      </c>
      <c r="N22" s="7">
        <v>150000</v>
      </c>
      <c r="O22" s="7">
        <v>0</v>
      </c>
      <c r="P22" s="203"/>
      <c r="Q22" s="7">
        <f t="shared" si="10"/>
        <v>150000</v>
      </c>
      <c r="R22" s="7">
        <v>0</v>
      </c>
      <c r="S22" s="7">
        <f t="shared" si="6"/>
        <v>150000</v>
      </c>
      <c r="T22" s="7">
        <f t="shared" si="16"/>
        <v>-12313.760000000009</v>
      </c>
      <c r="U22" s="159">
        <f t="shared" si="8"/>
        <v>-8.2091733333333389E-2</v>
      </c>
      <c r="V22" s="159">
        <f t="shared" si="9"/>
        <v>0.91790826666666658</v>
      </c>
    </row>
    <row r="23" spans="1:24" x14ac:dyDescent="0.3">
      <c r="A23" s="7">
        <f>'WCLA Consolidated MTEF Budget'!F23</f>
        <v>0</v>
      </c>
      <c r="B23" s="7">
        <f t="shared" si="12"/>
        <v>0</v>
      </c>
      <c r="C23" s="7"/>
      <c r="D23" s="7"/>
      <c r="E23" s="7"/>
      <c r="F23" s="7"/>
      <c r="G23" s="7"/>
      <c r="H23" s="7">
        <f t="shared" si="13"/>
        <v>0</v>
      </c>
      <c r="I23" s="159">
        <f t="shared" si="14"/>
        <v>0</v>
      </c>
      <c r="J23" s="159">
        <f t="shared" si="15"/>
        <v>0</v>
      </c>
      <c r="K23" s="125" t="s">
        <v>93</v>
      </c>
      <c r="L23" s="110">
        <v>6</v>
      </c>
      <c r="M23" s="7">
        <f>'WCLA Consolidated MTEF Budget'!N23</f>
        <v>0</v>
      </c>
      <c r="N23" s="7">
        <v>0</v>
      </c>
      <c r="O23" s="7">
        <v>0</v>
      </c>
      <c r="P23" s="203"/>
      <c r="Q23" s="7">
        <f t="shared" si="10"/>
        <v>0</v>
      </c>
      <c r="R23" s="7">
        <v>0</v>
      </c>
      <c r="S23" s="7">
        <f t="shared" si="6"/>
        <v>0</v>
      </c>
      <c r="T23" s="7">
        <f t="shared" si="16"/>
        <v>0</v>
      </c>
      <c r="U23" s="159">
        <f t="shared" si="8"/>
        <v>0</v>
      </c>
      <c r="V23" s="159">
        <f t="shared" si="9"/>
        <v>0</v>
      </c>
    </row>
    <row r="24" spans="1:24" x14ac:dyDescent="0.3">
      <c r="A24" s="7">
        <f>'WCLA Consolidated MTEF Budget'!F24</f>
        <v>23328.48</v>
      </c>
      <c r="B24" s="7">
        <f t="shared" si="12"/>
        <v>22260.42</v>
      </c>
      <c r="C24" s="7"/>
      <c r="D24" s="7"/>
      <c r="E24" s="7"/>
      <c r="F24" s="7"/>
      <c r="G24" s="7"/>
      <c r="H24" s="7">
        <f t="shared" si="13"/>
        <v>-1068.0600000000013</v>
      </c>
      <c r="I24" s="159">
        <f t="shared" si="14"/>
        <v>-4.7980226788173867E-2</v>
      </c>
      <c r="J24" s="159">
        <f t="shared" si="15"/>
        <v>1.0479802267881739</v>
      </c>
      <c r="K24" s="125" t="s">
        <v>94</v>
      </c>
      <c r="L24" s="113">
        <v>6</v>
      </c>
      <c r="M24" s="7">
        <f>'WCLA Consolidated MTEF Budget'!N24</f>
        <v>233284.80000000005</v>
      </c>
      <c r="N24" s="7">
        <v>267125.03999999998</v>
      </c>
      <c r="O24" s="7">
        <v>0</v>
      </c>
      <c r="P24" s="203"/>
      <c r="Q24" s="7">
        <f t="shared" si="10"/>
        <v>267125.03999999998</v>
      </c>
      <c r="R24" s="7">
        <v>0</v>
      </c>
      <c r="S24" s="7">
        <f t="shared" si="6"/>
        <v>267125.03999999998</v>
      </c>
      <c r="T24" s="7">
        <f t="shared" si="16"/>
        <v>-33840.239999999932</v>
      </c>
      <c r="U24" s="159">
        <f t="shared" si="8"/>
        <v>-0.12668314434318825</v>
      </c>
      <c r="V24" s="159">
        <f t="shared" si="9"/>
        <v>0.87331685565681172</v>
      </c>
    </row>
    <row r="25" spans="1:24" x14ac:dyDescent="0.3">
      <c r="A25" s="7">
        <f>'WCLA Consolidated MTEF Budget'!F25</f>
        <v>1290.0880000000002</v>
      </c>
      <c r="B25" s="7">
        <f t="shared" si="12"/>
        <v>345.515625</v>
      </c>
      <c r="C25" s="7"/>
      <c r="D25" s="7"/>
      <c r="E25" s="7"/>
      <c r="F25" s="7"/>
      <c r="G25" s="7"/>
      <c r="H25" s="7">
        <f t="shared" si="13"/>
        <v>-944.57237500000019</v>
      </c>
      <c r="I25" s="159">
        <f t="shared" si="14"/>
        <v>-2.7338050920273149</v>
      </c>
      <c r="J25" s="159">
        <f t="shared" si="15"/>
        <v>3.7338050920273149</v>
      </c>
      <c r="K25" s="13" t="s">
        <v>95</v>
      </c>
      <c r="L25" s="113">
        <v>6</v>
      </c>
      <c r="M25" s="7">
        <f>'WCLA Consolidated MTEF Budget'!N25</f>
        <v>12900.88</v>
      </c>
      <c r="N25" s="7">
        <v>4146.1875</v>
      </c>
      <c r="O25" s="7">
        <v>0</v>
      </c>
      <c r="P25" s="203"/>
      <c r="Q25" s="7">
        <f t="shared" si="10"/>
        <v>4146.1875</v>
      </c>
      <c r="R25" s="7">
        <v>0</v>
      </c>
      <c r="S25" s="7">
        <f t="shared" si="6"/>
        <v>4146.1875</v>
      </c>
      <c r="T25" s="7">
        <f t="shared" si="16"/>
        <v>8754.6924999999992</v>
      </c>
      <c r="U25" s="159">
        <f t="shared" si="8"/>
        <v>2.1115042433560949</v>
      </c>
      <c r="V25" s="159">
        <f t="shared" si="9"/>
        <v>3.1115042433560949</v>
      </c>
    </row>
    <row r="26" spans="1:24" x14ac:dyDescent="0.3">
      <c r="A26" s="11">
        <f>'WCLA Consolidated MTEF Budget'!F26</f>
        <v>0</v>
      </c>
      <c r="B26" s="11">
        <f t="shared" si="12"/>
        <v>0</v>
      </c>
      <c r="C26" s="11"/>
      <c r="D26" s="11"/>
      <c r="E26" s="11"/>
      <c r="F26" s="11"/>
      <c r="G26" s="11"/>
      <c r="H26" s="11">
        <f t="shared" si="13"/>
        <v>0</v>
      </c>
      <c r="I26" s="160">
        <f t="shared" si="14"/>
        <v>0</v>
      </c>
      <c r="J26" s="160">
        <f t="shared" si="15"/>
        <v>0</v>
      </c>
      <c r="K26" s="13" t="s">
        <v>96</v>
      </c>
      <c r="L26" s="110">
        <v>6</v>
      </c>
      <c r="M26" s="11">
        <f>'WCLA Consolidated MTEF Budget'!N26</f>
        <v>0</v>
      </c>
      <c r="N26" s="11">
        <v>0</v>
      </c>
      <c r="O26" s="11">
        <v>0</v>
      </c>
      <c r="P26" s="321"/>
      <c r="Q26" s="11">
        <f t="shared" si="10"/>
        <v>0</v>
      </c>
      <c r="R26" s="11">
        <v>0</v>
      </c>
      <c r="S26" s="11">
        <f t="shared" si="6"/>
        <v>0</v>
      </c>
      <c r="T26" s="11">
        <f t="shared" si="16"/>
        <v>0</v>
      </c>
      <c r="U26" s="160">
        <f t="shared" si="8"/>
        <v>0</v>
      </c>
      <c r="V26" s="160">
        <f t="shared" si="9"/>
        <v>0</v>
      </c>
    </row>
    <row r="27" spans="1:24" s="18" customFormat="1" ht="5.4" customHeight="1" x14ac:dyDescent="0.3">
      <c r="A27" s="83"/>
      <c r="B27" s="83"/>
      <c r="C27" s="83"/>
      <c r="D27" s="83"/>
      <c r="E27" s="83"/>
      <c r="F27" s="83"/>
      <c r="G27" s="83"/>
      <c r="H27" s="83"/>
      <c r="I27" s="84"/>
      <c r="J27" s="84"/>
      <c r="K27" s="13"/>
      <c r="L27" s="110"/>
      <c r="M27" s="85"/>
      <c r="N27" s="85"/>
      <c r="O27" s="85"/>
      <c r="P27" s="323"/>
      <c r="Q27" s="85">
        <f t="shared" si="10"/>
        <v>0</v>
      </c>
      <c r="R27" s="85"/>
      <c r="S27" s="85">
        <f t="shared" si="6"/>
        <v>0</v>
      </c>
      <c r="T27" s="85">
        <f t="shared" si="16"/>
        <v>0</v>
      </c>
      <c r="U27" s="161"/>
      <c r="V27" s="161"/>
      <c r="W27" s="317"/>
    </row>
    <row r="28" spans="1:24" s="18" customFormat="1" x14ac:dyDescent="0.3">
      <c r="A28" s="4">
        <f>SUM(A20:A26)</f>
        <v>191379.47200000001</v>
      </c>
      <c r="B28" s="4">
        <f>SUM(B20:B26)</f>
        <v>178268.04587944667</v>
      </c>
      <c r="C28" s="4"/>
      <c r="D28" s="4"/>
      <c r="E28" s="4"/>
      <c r="F28" s="4"/>
      <c r="G28" s="4"/>
      <c r="H28" s="4">
        <f>B28-A28</f>
        <v>-13111.42612055334</v>
      </c>
      <c r="I28" s="162">
        <f t="shared" ref="I28" si="17">IFERROR(H28/B28,)</f>
        <v>-7.3548941740349302E-2</v>
      </c>
      <c r="J28" s="162">
        <f>IFERROR(A28/B28,)</f>
        <v>1.0735489417403492</v>
      </c>
      <c r="K28" s="13" t="s">
        <v>97</v>
      </c>
      <c r="L28" s="111"/>
      <c r="M28" s="4">
        <f>SUM(M20:M26)</f>
        <v>1913794.7199999995</v>
      </c>
      <c r="N28" s="4">
        <f>SUM(N20:N26)</f>
        <v>2139216.55055336</v>
      </c>
      <c r="O28" s="4">
        <f t="shared" ref="O28" si="18">SUM(O20:O26)</f>
        <v>-715404</v>
      </c>
      <c r="P28" s="324"/>
      <c r="Q28" s="4">
        <f t="shared" si="10"/>
        <v>2139216.55055336</v>
      </c>
      <c r="R28" s="4">
        <f t="shared" ref="R28" si="19">SUM(R20:R26)</f>
        <v>0</v>
      </c>
      <c r="S28" s="4">
        <f>SUM(S20:S26)</f>
        <v>1423812.55055336</v>
      </c>
      <c r="T28" s="4">
        <f>M28-S28</f>
        <v>489982.16944663948</v>
      </c>
      <c r="U28" s="162">
        <f t="shared" si="8"/>
        <v>0.34413390249735443</v>
      </c>
      <c r="V28" s="162">
        <f t="shared" si="9"/>
        <v>1.3441339024973544</v>
      </c>
      <c r="W28" s="317"/>
    </row>
    <row r="29" spans="1:24" ht="3.6" customHeight="1" x14ac:dyDescent="0.3">
      <c r="A29" s="87"/>
      <c r="B29" s="87"/>
      <c r="C29" s="86"/>
      <c r="D29" s="86"/>
      <c r="E29" s="86"/>
      <c r="F29" s="87"/>
      <c r="G29" s="87"/>
      <c r="H29" s="87"/>
      <c r="I29" s="84"/>
      <c r="J29" s="84"/>
      <c r="K29" s="80"/>
      <c r="L29" s="110"/>
      <c r="M29" s="82"/>
      <c r="N29" s="82"/>
      <c r="O29" s="82"/>
      <c r="P29" s="325"/>
      <c r="Q29" s="82">
        <f t="shared" si="10"/>
        <v>0</v>
      </c>
      <c r="R29" s="82"/>
      <c r="S29" s="82">
        <f t="shared" si="6"/>
        <v>0</v>
      </c>
      <c r="T29" s="82">
        <f t="shared" si="16"/>
        <v>0</v>
      </c>
      <c r="U29" s="161">
        <f t="shared" si="8"/>
        <v>0</v>
      </c>
      <c r="V29" s="161">
        <f t="shared" si="9"/>
        <v>0</v>
      </c>
    </row>
    <row r="30" spans="1:24" x14ac:dyDescent="0.3">
      <c r="A30" s="8">
        <f>'WCLA Consolidated MTEF Budget'!F30</f>
        <v>0</v>
      </c>
      <c r="B30" s="8">
        <f t="shared" ref="B30:B44" si="20">N30/12</f>
        <v>108333.33333333333</v>
      </c>
      <c r="C30" s="8"/>
      <c r="D30" s="8"/>
      <c r="E30" s="8"/>
      <c r="F30" s="8"/>
      <c r="G30" s="8"/>
      <c r="H30" s="8">
        <f t="shared" ref="H30:H44" si="21">B30-A30</f>
        <v>108333.33333333333</v>
      </c>
      <c r="I30" s="158">
        <f t="shared" ref="I30:I44" si="22">IFERROR(H30/B30,)</f>
        <v>1</v>
      </c>
      <c r="J30" s="158">
        <f t="shared" ref="J30:J44" si="23">IFERROR(A30/B30,)</f>
        <v>0</v>
      </c>
      <c r="K30" s="16" t="s">
        <v>98</v>
      </c>
      <c r="L30" s="110">
        <v>1</v>
      </c>
      <c r="M30" s="8">
        <f>'WCLA Consolidated MTEF Budget'!N30</f>
        <v>1676799.5493600001</v>
      </c>
      <c r="N30" s="8">
        <v>1300000</v>
      </c>
      <c r="O30" s="8">
        <v>0</v>
      </c>
      <c r="P30" s="183"/>
      <c r="Q30" s="8">
        <f t="shared" si="10"/>
        <v>1300000</v>
      </c>
      <c r="R30" s="8">
        <v>0</v>
      </c>
      <c r="S30" s="8">
        <f t="shared" si="6"/>
        <v>1300000</v>
      </c>
      <c r="T30" s="8">
        <f>M30-S30</f>
        <v>376799.54936000006</v>
      </c>
      <c r="U30" s="158">
        <f t="shared" si="8"/>
        <v>0.28984580720000003</v>
      </c>
      <c r="V30" s="158">
        <f t="shared" si="9"/>
        <v>1.2898458072000001</v>
      </c>
      <c r="X30" s="182"/>
    </row>
    <row r="31" spans="1:24" x14ac:dyDescent="0.3">
      <c r="A31" s="7">
        <f>'WCLA Consolidated MTEF Budget'!F31</f>
        <v>9215.0640000000003</v>
      </c>
      <c r="B31" s="7">
        <f t="shared" si="20"/>
        <v>2090.22004737</v>
      </c>
      <c r="C31" s="7"/>
      <c r="D31" s="7"/>
      <c r="E31" s="7"/>
      <c r="F31" s="7"/>
      <c r="G31" s="7"/>
      <c r="H31" s="7">
        <f t="shared" si="21"/>
        <v>-7124.8439526300008</v>
      </c>
      <c r="I31" s="159">
        <f t="shared" si="22"/>
        <v>-3.4086573619819451</v>
      </c>
      <c r="J31" s="159">
        <f t="shared" si="23"/>
        <v>4.4086573619819447</v>
      </c>
      <c r="K31" s="13" t="s">
        <v>99</v>
      </c>
      <c r="L31" s="110">
        <v>7</v>
      </c>
      <c r="M31" s="7">
        <f>'WCLA Consolidated MTEF Budget'!N31</f>
        <v>92150.64</v>
      </c>
      <c r="N31" s="7">
        <v>25082.640568439998</v>
      </c>
      <c r="O31" s="7">
        <v>0</v>
      </c>
      <c r="P31" s="203"/>
      <c r="Q31" s="7">
        <f t="shared" si="10"/>
        <v>25082.640568439998</v>
      </c>
      <c r="R31" s="7">
        <v>0</v>
      </c>
      <c r="S31" s="7">
        <f t="shared" si="6"/>
        <v>25082.640568439998</v>
      </c>
      <c r="T31" s="7">
        <f t="shared" si="16"/>
        <v>67067.999431560005</v>
      </c>
      <c r="U31" s="159">
        <f t="shared" si="8"/>
        <v>2.6738811349849545</v>
      </c>
      <c r="V31" s="159">
        <f t="shared" si="9"/>
        <v>3.6738811349849545</v>
      </c>
    </row>
    <row r="32" spans="1:24" x14ac:dyDescent="0.3">
      <c r="A32" s="7">
        <f>'WCLA Consolidated MTEF Budget'!F32</f>
        <v>74534.808000000005</v>
      </c>
      <c r="B32" s="7">
        <f t="shared" si="20"/>
        <v>87250</v>
      </c>
      <c r="C32" s="7"/>
      <c r="D32" s="7"/>
      <c r="E32" s="7"/>
      <c r="F32" s="7"/>
      <c r="G32" s="7"/>
      <c r="H32" s="7">
        <f t="shared" si="21"/>
        <v>12715.191999999995</v>
      </c>
      <c r="I32" s="159">
        <f t="shared" si="22"/>
        <v>0.14573285959885382</v>
      </c>
      <c r="J32" s="159">
        <f t="shared" si="23"/>
        <v>0.85426714040114615</v>
      </c>
      <c r="K32" s="13" t="s">
        <v>100</v>
      </c>
      <c r="L32" s="110">
        <v>7</v>
      </c>
      <c r="M32" s="7">
        <f>'WCLA Consolidated MTEF Budget'!N32</f>
        <v>745348.08</v>
      </c>
      <c r="N32" s="7">
        <v>1047000</v>
      </c>
      <c r="O32" s="7">
        <v>0</v>
      </c>
      <c r="P32" s="203"/>
      <c r="Q32" s="7">
        <f t="shared" si="10"/>
        <v>1047000</v>
      </c>
      <c r="R32" s="7">
        <v>0</v>
      </c>
      <c r="S32" s="7">
        <f t="shared" si="6"/>
        <v>1047000</v>
      </c>
      <c r="T32" s="7">
        <f t="shared" si="16"/>
        <v>-301651.92000000004</v>
      </c>
      <c r="U32" s="159">
        <f t="shared" si="8"/>
        <v>-0.28811071633237828</v>
      </c>
      <c r="V32" s="159">
        <f t="shared" si="9"/>
        <v>0.71188928366762172</v>
      </c>
    </row>
    <row r="33" spans="1:23" x14ac:dyDescent="0.3">
      <c r="A33" s="7">
        <f>'WCLA Consolidated MTEF Budget'!F33</f>
        <v>4377.4960000000001</v>
      </c>
      <c r="B33" s="7">
        <f t="shared" si="20"/>
        <v>0</v>
      </c>
      <c r="C33" s="7"/>
      <c r="D33" s="7"/>
      <c r="E33" s="7"/>
      <c r="F33" s="7"/>
      <c r="G33" s="7"/>
      <c r="H33" s="7">
        <f t="shared" si="21"/>
        <v>-4377.4960000000001</v>
      </c>
      <c r="I33" s="159">
        <f t="shared" si="22"/>
        <v>0</v>
      </c>
      <c r="J33" s="159">
        <f t="shared" si="23"/>
        <v>0</v>
      </c>
      <c r="K33" s="13" t="s">
        <v>101</v>
      </c>
      <c r="L33" s="110">
        <v>8</v>
      </c>
      <c r="M33" s="7">
        <f>'WCLA Consolidated MTEF Budget'!N33</f>
        <v>43774.96</v>
      </c>
      <c r="N33" s="7">
        <v>0</v>
      </c>
      <c r="O33" s="7">
        <v>0</v>
      </c>
      <c r="P33" s="203"/>
      <c r="Q33" s="7">
        <f t="shared" si="10"/>
        <v>0</v>
      </c>
      <c r="R33" s="7">
        <v>0</v>
      </c>
      <c r="S33" s="7">
        <f t="shared" si="6"/>
        <v>0</v>
      </c>
      <c r="T33" s="7">
        <f t="shared" si="16"/>
        <v>43774.96</v>
      </c>
      <c r="U33" s="159">
        <f t="shared" si="8"/>
        <v>0</v>
      </c>
      <c r="V33" s="159">
        <f t="shared" si="9"/>
        <v>0</v>
      </c>
    </row>
    <row r="34" spans="1:23" x14ac:dyDescent="0.3">
      <c r="A34" s="7">
        <f>'WCLA Consolidated MTEF Budget'!F34</f>
        <v>34273.792000000001</v>
      </c>
      <c r="B34" s="7">
        <f t="shared" si="20"/>
        <v>57345.162995250001</v>
      </c>
      <c r="C34" s="7"/>
      <c r="D34" s="7"/>
      <c r="E34" s="7"/>
      <c r="F34" s="7"/>
      <c r="G34" s="7"/>
      <c r="H34" s="7">
        <f t="shared" si="21"/>
        <v>23071.370995249999</v>
      </c>
      <c r="I34" s="159">
        <f t="shared" si="22"/>
        <v>0.40232462147088222</v>
      </c>
      <c r="J34" s="159">
        <f t="shared" si="23"/>
        <v>0.59767537852911778</v>
      </c>
      <c r="K34" s="13" t="s">
        <v>102</v>
      </c>
      <c r="L34" s="110" t="s">
        <v>103</v>
      </c>
      <c r="M34" s="7">
        <f>'WCLA Consolidated MTEF Budget'!N34</f>
        <v>342737.9200000001</v>
      </c>
      <c r="N34" s="7">
        <v>688141.95594300004</v>
      </c>
      <c r="O34" s="7">
        <v>0</v>
      </c>
      <c r="P34" s="203"/>
      <c r="Q34" s="7">
        <f t="shared" si="10"/>
        <v>688141.95594300004</v>
      </c>
      <c r="R34" s="7">
        <v>0</v>
      </c>
      <c r="S34" s="7">
        <f t="shared" si="6"/>
        <v>688141.95594300004</v>
      </c>
      <c r="T34" s="7">
        <f t="shared" si="16"/>
        <v>-345404.03594299994</v>
      </c>
      <c r="U34" s="159">
        <f t="shared" si="8"/>
        <v>-0.50193718455906844</v>
      </c>
      <c r="V34" s="159">
        <f t="shared" si="9"/>
        <v>0.49806281544093156</v>
      </c>
    </row>
    <row r="35" spans="1:23" x14ac:dyDescent="0.3">
      <c r="A35" s="7">
        <f>'WCLA Consolidated MTEF Budget'!F35</f>
        <v>0</v>
      </c>
      <c r="B35" s="7">
        <f t="shared" si="20"/>
        <v>0</v>
      </c>
      <c r="C35" s="7"/>
      <c r="D35" s="7"/>
      <c r="E35" s="7"/>
      <c r="F35" s="7"/>
      <c r="G35" s="7"/>
      <c r="H35" s="7">
        <f t="shared" si="21"/>
        <v>0</v>
      </c>
      <c r="I35" s="159">
        <f t="shared" si="22"/>
        <v>0</v>
      </c>
      <c r="J35" s="159">
        <f t="shared" si="23"/>
        <v>0</v>
      </c>
      <c r="K35" s="13" t="s">
        <v>104</v>
      </c>
      <c r="L35" s="110">
        <v>6</v>
      </c>
      <c r="M35" s="7">
        <f>'WCLA Consolidated MTEF Budget'!N35</f>
        <v>0</v>
      </c>
      <c r="N35" s="7">
        <v>0</v>
      </c>
      <c r="O35" s="7">
        <v>0</v>
      </c>
      <c r="P35" s="203"/>
      <c r="Q35" s="7">
        <f t="shared" si="10"/>
        <v>0</v>
      </c>
      <c r="R35" s="7">
        <v>0</v>
      </c>
      <c r="S35" s="7">
        <f t="shared" si="6"/>
        <v>0</v>
      </c>
      <c r="T35" s="7">
        <f t="shared" si="16"/>
        <v>0</v>
      </c>
      <c r="U35" s="159">
        <f t="shared" si="8"/>
        <v>0</v>
      </c>
      <c r="V35" s="159">
        <f t="shared" si="9"/>
        <v>0</v>
      </c>
    </row>
    <row r="36" spans="1:23" x14ac:dyDescent="0.3">
      <c r="A36" s="7">
        <f>'WCLA Consolidated MTEF Budget'!F36</f>
        <v>0</v>
      </c>
      <c r="B36" s="7">
        <f t="shared" si="20"/>
        <v>3353.9006374999994</v>
      </c>
      <c r="C36" s="7"/>
      <c r="D36" s="7"/>
      <c r="E36" s="7"/>
      <c r="F36" s="7"/>
      <c r="G36" s="7"/>
      <c r="H36" s="7">
        <f t="shared" si="21"/>
        <v>3353.9006374999994</v>
      </c>
      <c r="I36" s="159">
        <f t="shared" si="22"/>
        <v>1</v>
      </c>
      <c r="J36" s="159">
        <f t="shared" si="23"/>
        <v>0</v>
      </c>
      <c r="K36" s="13" t="s">
        <v>105</v>
      </c>
      <c r="L36" s="110">
        <v>7</v>
      </c>
      <c r="M36" s="7">
        <f>'WCLA Consolidated MTEF Budget'!N36</f>
        <v>0</v>
      </c>
      <c r="N36" s="7">
        <v>40246.807649999995</v>
      </c>
      <c r="O36" s="7">
        <v>0</v>
      </c>
      <c r="P36" s="203"/>
      <c r="Q36" s="7">
        <f t="shared" si="10"/>
        <v>40246.807649999995</v>
      </c>
      <c r="R36" s="7">
        <v>0</v>
      </c>
      <c r="S36" s="7">
        <f t="shared" si="6"/>
        <v>40246.807649999995</v>
      </c>
      <c r="T36" s="7">
        <f t="shared" si="16"/>
        <v>-40246.807649999995</v>
      </c>
      <c r="U36" s="159">
        <f t="shared" si="8"/>
        <v>-1</v>
      </c>
      <c r="V36" s="159">
        <f t="shared" si="9"/>
        <v>0</v>
      </c>
    </row>
    <row r="37" spans="1:23" x14ac:dyDescent="0.3">
      <c r="A37" s="7">
        <f>'WCLA Consolidated MTEF Budget'!F37</f>
        <v>23763.4</v>
      </c>
      <c r="B37" s="7">
        <f t="shared" si="20"/>
        <v>30146.833665000002</v>
      </c>
      <c r="C37" s="7"/>
      <c r="D37" s="7"/>
      <c r="E37" s="7"/>
      <c r="F37" s="7"/>
      <c r="G37" s="7"/>
      <c r="H37" s="7">
        <f t="shared" si="21"/>
        <v>6383.4336650000005</v>
      </c>
      <c r="I37" s="159">
        <f t="shared" si="22"/>
        <v>0.21174474692548115</v>
      </c>
      <c r="J37" s="159">
        <f t="shared" si="23"/>
        <v>0.78825525307451882</v>
      </c>
      <c r="K37" s="16" t="s">
        <v>106</v>
      </c>
      <c r="L37" s="110">
        <v>7</v>
      </c>
      <c r="M37" s="7">
        <f>'WCLA Consolidated MTEF Budget'!N37</f>
        <v>237633.99999999997</v>
      </c>
      <c r="N37" s="7">
        <v>361762.00398000004</v>
      </c>
      <c r="O37" s="7">
        <v>0</v>
      </c>
      <c r="P37" s="203"/>
      <c r="Q37" s="7">
        <f t="shared" si="10"/>
        <v>361762.00398000004</v>
      </c>
      <c r="R37" s="7">
        <v>0</v>
      </c>
      <c r="S37" s="7">
        <f t="shared" si="6"/>
        <v>361762.00398000004</v>
      </c>
      <c r="T37" s="7">
        <f t="shared" si="16"/>
        <v>-124128.00398000007</v>
      </c>
      <c r="U37" s="159">
        <f t="shared" si="8"/>
        <v>-0.34312062243790109</v>
      </c>
      <c r="V37" s="159">
        <f t="shared" si="9"/>
        <v>0.65687937756209891</v>
      </c>
    </row>
    <row r="38" spans="1:23" x14ac:dyDescent="0.3">
      <c r="A38" s="7">
        <f>'WCLA Consolidated MTEF Budget'!F38</f>
        <v>249170.38400000002</v>
      </c>
      <c r="B38" s="7">
        <f t="shared" si="20"/>
        <v>215112.01333333331</v>
      </c>
      <c r="C38" s="7"/>
      <c r="D38" s="7"/>
      <c r="E38" s="7"/>
      <c r="F38" s="7"/>
      <c r="G38" s="7"/>
      <c r="H38" s="7">
        <f t="shared" si="21"/>
        <v>-34058.370666666713</v>
      </c>
      <c r="I38" s="159">
        <f t="shared" si="22"/>
        <v>-0.15832853841542796</v>
      </c>
      <c r="J38" s="159">
        <f t="shared" si="23"/>
        <v>1.158328538415428</v>
      </c>
      <c r="K38" s="13" t="s">
        <v>107</v>
      </c>
      <c r="L38" s="110">
        <v>7</v>
      </c>
      <c r="M38" s="7">
        <f>'WCLA Consolidated MTEF Budget'!N38</f>
        <v>2491703.8400000003</v>
      </c>
      <c r="N38" s="7">
        <v>2581344.1599999997</v>
      </c>
      <c r="O38" s="7">
        <v>0</v>
      </c>
      <c r="P38" s="203"/>
      <c r="Q38" s="7">
        <f t="shared" si="10"/>
        <v>2581344.1599999997</v>
      </c>
      <c r="R38" s="7">
        <v>0</v>
      </c>
      <c r="S38" s="7">
        <f t="shared" si="6"/>
        <v>2581344.1599999997</v>
      </c>
      <c r="T38" s="7">
        <f t="shared" si="16"/>
        <v>-89640.319999999367</v>
      </c>
      <c r="U38" s="159">
        <f t="shared" si="8"/>
        <v>-3.4726217987143322E-2</v>
      </c>
      <c r="V38" s="159">
        <f t="shared" si="9"/>
        <v>0.96527378201285663</v>
      </c>
    </row>
    <row r="39" spans="1:23" x14ac:dyDescent="0.3">
      <c r="A39" s="7">
        <f>'WCLA Consolidated MTEF Budget'!F39</f>
        <v>60451.784</v>
      </c>
      <c r="B39" s="7">
        <f t="shared" si="20"/>
        <v>55183.117333499998</v>
      </c>
      <c r="C39" s="7"/>
      <c r="D39" s="7"/>
      <c r="E39" s="7"/>
      <c r="F39" s="7"/>
      <c r="G39" s="7"/>
      <c r="H39" s="7">
        <f t="shared" si="21"/>
        <v>-5268.6666665000012</v>
      </c>
      <c r="I39" s="159">
        <f t="shared" si="22"/>
        <v>-9.5476060815099212E-2</v>
      </c>
      <c r="J39" s="159">
        <f t="shared" si="23"/>
        <v>1.0954760608150993</v>
      </c>
      <c r="K39" s="13" t="s">
        <v>108</v>
      </c>
      <c r="L39" s="110">
        <v>7</v>
      </c>
      <c r="M39" s="7">
        <f>'WCLA Consolidated MTEF Budget'!N39</f>
        <v>604517.84</v>
      </c>
      <c r="N39" s="7">
        <v>662197.40800199995</v>
      </c>
      <c r="O39" s="7">
        <v>0</v>
      </c>
      <c r="P39" s="203"/>
      <c r="Q39" s="7">
        <f t="shared" si="10"/>
        <v>662197.40800199995</v>
      </c>
      <c r="R39" s="7">
        <v>0</v>
      </c>
      <c r="S39" s="7">
        <f t="shared" si="6"/>
        <v>662197.40800199995</v>
      </c>
      <c r="T39" s="7">
        <f t="shared" si="16"/>
        <v>-57679.568001999985</v>
      </c>
      <c r="U39" s="159">
        <f t="shared" si="8"/>
        <v>-8.7103282654083999E-2</v>
      </c>
      <c r="V39" s="159">
        <f t="shared" si="9"/>
        <v>0.91289671734591604</v>
      </c>
    </row>
    <row r="40" spans="1:23" x14ac:dyDescent="0.3">
      <c r="A40" s="7">
        <f>'WCLA Consolidated MTEF Budget'!F40</f>
        <v>1180.048</v>
      </c>
      <c r="B40" s="7">
        <f t="shared" si="20"/>
        <v>1688.4602771400002</v>
      </c>
      <c r="C40" s="7"/>
      <c r="D40" s="7"/>
      <c r="E40" s="7"/>
      <c r="F40" s="7"/>
      <c r="G40" s="7"/>
      <c r="H40" s="7">
        <f t="shared" si="21"/>
        <v>508.41227714000024</v>
      </c>
      <c r="I40" s="159">
        <f t="shared" si="22"/>
        <v>0.30111000183029168</v>
      </c>
      <c r="J40" s="159">
        <f t="shared" si="23"/>
        <v>0.69888999816970832</v>
      </c>
      <c r="K40" s="13" t="s">
        <v>109</v>
      </c>
      <c r="L40" s="110">
        <v>7</v>
      </c>
      <c r="M40" s="7">
        <f>'WCLA Consolidated MTEF Budget'!N40</f>
        <v>11800.480000000001</v>
      </c>
      <c r="N40" s="7">
        <v>20261.523325680002</v>
      </c>
      <c r="O40" s="7">
        <v>0</v>
      </c>
      <c r="P40" s="203"/>
      <c r="Q40" s="7">
        <f t="shared" si="10"/>
        <v>20261.523325680002</v>
      </c>
      <c r="R40" s="7">
        <v>0</v>
      </c>
      <c r="S40" s="7">
        <f t="shared" si="6"/>
        <v>20261.523325680002</v>
      </c>
      <c r="T40" s="7">
        <f t="shared" si="16"/>
        <v>-8461.0433256800006</v>
      </c>
      <c r="U40" s="159">
        <f t="shared" si="8"/>
        <v>-0.41759166819190963</v>
      </c>
      <c r="V40" s="159">
        <f t="shared" si="9"/>
        <v>0.58240833180809037</v>
      </c>
    </row>
    <row r="41" spans="1:23" x14ac:dyDescent="0.3">
      <c r="A41" s="7">
        <f>'WCLA Consolidated MTEF Budget'!F41</f>
        <v>19656.288</v>
      </c>
      <c r="B41" s="7">
        <f t="shared" si="20"/>
        <v>18508.51896075</v>
      </c>
      <c r="C41" s="7"/>
      <c r="D41" s="7"/>
      <c r="E41" s="7"/>
      <c r="F41" s="7"/>
      <c r="G41" s="7"/>
      <c r="H41" s="7">
        <f t="shared" si="21"/>
        <v>-1147.7690392500008</v>
      </c>
      <c r="I41" s="159">
        <f t="shared" si="22"/>
        <v>-6.2013013665977897E-2</v>
      </c>
      <c r="J41" s="159">
        <f t="shared" si="23"/>
        <v>1.062013013665978</v>
      </c>
      <c r="K41" s="13" t="s">
        <v>110</v>
      </c>
      <c r="L41" s="110">
        <v>7</v>
      </c>
      <c r="M41" s="7">
        <f>'WCLA Consolidated MTEF Budget'!N41</f>
        <v>196562.88</v>
      </c>
      <c r="N41" s="7">
        <v>222102.227529</v>
      </c>
      <c r="O41" s="7">
        <v>0</v>
      </c>
      <c r="P41" s="203"/>
      <c r="Q41" s="7">
        <f t="shared" si="10"/>
        <v>222102.227529</v>
      </c>
      <c r="R41" s="7">
        <v>0</v>
      </c>
      <c r="S41" s="7">
        <f t="shared" si="6"/>
        <v>222102.227529</v>
      </c>
      <c r="T41" s="7">
        <f t="shared" si="16"/>
        <v>-25539.347528999991</v>
      </c>
      <c r="U41" s="159">
        <f t="shared" si="8"/>
        <v>-0.11498915527835175</v>
      </c>
      <c r="V41" s="159">
        <f t="shared" si="9"/>
        <v>0.88501084472164826</v>
      </c>
    </row>
    <row r="42" spans="1:23" x14ac:dyDescent="0.3">
      <c r="A42" s="7">
        <f>'WCLA Consolidated MTEF Budget'!F42</f>
        <v>13516.056</v>
      </c>
      <c r="B42" s="7">
        <f t="shared" si="20"/>
        <v>37268.908852499997</v>
      </c>
      <c r="C42" s="7"/>
      <c r="D42" s="7"/>
      <c r="E42" s="7"/>
      <c r="F42" s="7"/>
      <c r="G42" s="7"/>
      <c r="H42" s="7">
        <f t="shared" si="21"/>
        <v>23752.852852499997</v>
      </c>
      <c r="I42" s="159">
        <f t="shared" si="22"/>
        <v>0.63733695414875702</v>
      </c>
      <c r="J42" s="159">
        <f t="shared" si="23"/>
        <v>0.36266304585124293</v>
      </c>
      <c r="K42" s="13" t="s">
        <v>111</v>
      </c>
      <c r="L42" s="110">
        <v>7</v>
      </c>
      <c r="M42" s="7">
        <f>'WCLA Consolidated MTEF Budget'!N42</f>
        <v>135160.56</v>
      </c>
      <c r="N42" s="7">
        <v>447226.90622999996</v>
      </c>
      <c r="O42" s="7">
        <v>0</v>
      </c>
      <c r="P42" s="203"/>
      <c r="Q42" s="7">
        <f t="shared" si="10"/>
        <v>447226.90622999996</v>
      </c>
      <c r="R42" s="7">
        <v>0</v>
      </c>
      <c r="S42" s="7">
        <f t="shared" si="6"/>
        <v>447226.90622999996</v>
      </c>
      <c r="T42" s="7">
        <f t="shared" si="16"/>
        <v>-312066.34622999997</v>
      </c>
      <c r="U42" s="159">
        <f t="shared" si="8"/>
        <v>-0.69778079512396418</v>
      </c>
      <c r="V42" s="159">
        <f t="shared" si="9"/>
        <v>0.30221920487603576</v>
      </c>
    </row>
    <row r="43" spans="1:23" x14ac:dyDescent="0.3">
      <c r="A43" s="7">
        <f>'WCLA Consolidated MTEF Budget'!F43</f>
        <v>12851.624</v>
      </c>
      <c r="B43" s="7">
        <f t="shared" si="20"/>
        <v>13943.381985</v>
      </c>
      <c r="C43" s="7"/>
      <c r="D43" s="7"/>
      <c r="E43" s="7"/>
      <c r="F43" s="7"/>
      <c r="G43" s="7"/>
      <c r="H43" s="7">
        <f t="shared" si="21"/>
        <v>1091.7579850000002</v>
      </c>
      <c r="I43" s="159">
        <f t="shared" si="22"/>
        <v>7.8299367124453068E-2</v>
      </c>
      <c r="J43" s="159">
        <f t="shared" si="23"/>
        <v>0.92170063287554693</v>
      </c>
      <c r="K43" s="13" t="s">
        <v>112</v>
      </c>
      <c r="L43" s="110">
        <v>7</v>
      </c>
      <c r="M43" s="7">
        <f>'WCLA Consolidated MTEF Budget'!N43</f>
        <v>128516.23999999998</v>
      </c>
      <c r="N43" s="7">
        <v>167320.58382</v>
      </c>
      <c r="O43" s="7">
        <v>0</v>
      </c>
      <c r="P43" s="203"/>
      <c r="Q43" s="7">
        <f t="shared" si="10"/>
        <v>167320.58382</v>
      </c>
      <c r="R43" s="7">
        <v>0</v>
      </c>
      <c r="S43" s="7">
        <f t="shared" si="6"/>
        <v>167320.58382</v>
      </c>
      <c r="T43" s="7">
        <f t="shared" si="16"/>
        <v>-38804.343820000024</v>
      </c>
      <c r="U43" s="159">
        <f t="shared" si="8"/>
        <v>-0.23191613927037769</v>
      </c>
      <c r="V43" s="159">
        <f t="shared" si="9"/>
        <v>0.76808386072962231</v>
      </c>
    </row>
    <row r="44" spans="1:23" x14ac:dyDescent="0.3">
      <c r="A44" s="11">
        <f>'WCLA Consolidated MTEF Budget'!F44</f>
        <v>0</v>
      </c>
      <c r="B44" s="11">
        <f t="shared" si="20"/>
        <v>0</v>
      </c>
      <c r="C44" s="11"/>
      <c r="D44" s="11"/>
      <c r="E44" s="11"/>
      <c r="F44" s="11"/>
      <c r="G44" s="11"/>
      <c r="H44" s="11">
        <f t="shared" si="21"/>
        <v>0</v>
      </c>
      <c r="I44" s="160">
        <f t="shared" si="22"/>
        <v>0</v>
      </c>
      <c r="J44" s="160">
        <f t="shared" si="23"/>
        <v>0</v>
      </c>
      <c r="K44" s="16" t="s">
        <v>113</v>
      </c>
      <c r="L44" s="110">
        <v>7</v>
      </c>
      <c r="M44" s="11">
        <f>'WCLA Consolidated MTEF Budget'!N44</f>
        <v>0</v>
      </c>
      <c r="N44" s="11">
        <v>0</v>
      </c>
      <c r="O44" s="11">
        <v>0</v>
      </c>
      <c r="P44" s="321"/>
      <c r="Q44" s="11">
        <f t="shared" si="10"/>
        <v>0</v>
      </c>
      <c r="R44" s="11">
        <v>0</v>
      </c>
      <c r="S44" s="11">
        <f t="shared" si="6"/>
        <v>0</v>
      </c>
      <c r="T44" s="11">
        <f t="shared" si="16"/>
        <v>0</v>
      </c>
      <c r="U44" s="160">
        <f t="shared" si="8"/>
        <v>0</v>
      </c>
      <c r="V44" s="160">
        <f t="shared" si="9"/>
        <v>0</v>
      </c>
    </row>
    <row r="45" spans="1:23" s="18" customFormat="1" ht="4.2" customHeight="1" x14ac:dyDescent="0.3">
      <c r="A45" s="83"/>
      <c r="B45" s="83"/>
      <c r="C45" s="83"/>
      <c r="D45" s="83"/>
      <c r="E45" s="83"/>
      <c r="F45" s="83"/>
      <c r="G45" s="83"/>
      <c r="H45" s="83"/>
      <c r="I45" s="84"/>
      <c r="J45" s="84"/>
      <c r="K45" s="13"/>
      <c r="L45" s="110"/>
      <c r="M45" s="85"/>
      <c r="N45" s="85"/>
      <c r="O45" s="85"/>
      <c r="P45" s="323"/>
      <c r="Q45" s="85">
        <f t="shared" si="10"/>
        <v>0</v>
      </c>
      <c r="R45" s="85"/>
      <c r="S45" s="85">
        <f t="shared" si="6"/>
        <v>0</v>
      </c>
      <c r="T45" s="85">
        <f t="shared" si="16"/>
        <v>0</v>
      </c>
      <c r="U45" s="161">
        <f t="shared" si="8"/>
        <v>0</v>
      </c>
      <c r="V45" s="161">
        <f t="shared" si="9"/>
        <v>0</v>
      </c>
      <c r="W45" s="317"/>
    </row>
    <row r="46" spans="1:23" s="18" customFormat="1" x14ac:dyDescent="0.3">
      <c r="A46" s="4">
        <f>SUM(A30:A44)</f>
        <v>502990.74400000001</v>
      </c>
      <c r="B46" s="4">
        <f>SUM(B30:B44)</f>
        <v>630223.85142067657</v>
      </c>
      <c r="C46" s="4"/>
      <c r="D46" s="4"/>
      <c r="E46" s="4"/>
      <c r="F46" s="4"/>
      <c r="G46" s="4"/>
      <c r="H46" s="4">
        <f>B46-A46</f>
        <v>127233.10742067656</v>
      </c>
      <c r="I46" s="162">
        <f t="shared" ref="I46" si="24">IFERROR(H46/B46,)</f>
        <v>0.20188557943953161</v>
      </c>
      <c r="J46" s="162">
        <f>IFERROR(A46/B46,)</f>
        <v>0.79811442056046844</v>
      </c>
      <c r="K46" s="13" t="s">
        <v>114</v>
      </c>
      <c r="L46" s="111"/>
      <c r="M46" s="4">
        <f>SUM(M30:M44)</f>
        <v>6706706.98936</v>
      </c>
      <c r="N46" s="4">
        <f>SUM(N30:N44)</f>
        <v>7562686.2170481198</v>
      </c>
      <c r="O46" s="4">
        <f t="shared" ref="O46" si="25">SUM(O30:O44)</f>
        <v>0</v>
      </c>
      <c r="P46" s="324"/>
      <c r="Q46" s="4">
        <f t="shared" si="10"/>
        <v>7562686.2170481198</v>
      </c>
      <c r="R46" s="4">
        <f t="shared" ref="R46" si="26">SUM(R30:R44)</f>
        <v>0</v>
      </c>
      <c r="S46" s="4">
        <f t="shared" si="6"/>
        <v>7562686.2170481198</v>
      </c>
      <c r="T46" s="4">
        <f>M46-S46</f>
        <v>-855979.22768811975</v>
      </c>
      <c r="U46" s="162">
        <f t="shared" si="8"/>
        <v>-0.11318454886552559</v>
      </c>
      <c r="V46" s="162">
        <f t="shared" si="9"/>
        <v>0.88681545113447446</v>
      </c>
      <c r="W46" s="317"/>
    </row>
    <row r="47" spans="1:23" ht="3.75" customHeight="1" x14ac:dyDescent="0.3">
      <c r="A47" s="87"/>
      <c r="B47" s="87"/>
      <c r="C47" s="86"/>
      <c r="D47" s="86"/>
      <c r="E47" s="86"/>
      <c r="F47" s="87"/>
      <c r="G47" s="87"/>
      <c r="H47" s="87"/>
      <c r="I47" s="84"/>
      <c r="J47" s="84"/>
      <c r="K47" s="80"/>
      <c r="L47" s="110"/>
      <c r="M47" s="82"/>
      <c r="N47" s="82"/>
      <c r="O47" s="82"/>
      <c r="P47" s="325"/>
      <c r="Q47" s="82">
        <f t="shared" si="10"/>
        <v>0</v>
      </c>
      <c r="R47" s="82"/>
      <c r="S47" s="82">
        <f t="shared" si="6"/>
        <v>0</v>
      </c>
      <c r="T47" s="82">
        <f t="shared" si="16"/>
        <v>0</v>
      </c>
      <c r="U47" s="161">
        <f t="shared" si="8"/>
        <v>0</v>
      </c>
      <c r="V47" s="161">
        <f t="shared" si="9"/>
        <v>0</v>
      </c>
    </row>
    <row r="48" spans="1:23" x14ac:dyDescent="0.3">
      <c r="A48" s="8">
        <f>'WCLA Consolidated MTEF Budget'!F48</f>
        <v>0</v>
      </c>
      <c r="B48" s="8">
        <f t="shared" ref="B48:B63" si="27">N48/12</f>
        <v>0</v>
      </c>
      <c r="C48" s="8"/>
      <c r="D48" s="8"/>
      <c r="E48" s="8"/>
      <c r="F48" s="8"/>
      <c r="G48" s="8"/>
      <c r="H48" s="8">
        <f t="shared" ref="H48:H63" si="28">B48-A48</f>
        <v>0</v>
      </c>
      <c r="I48" s="158">
        <f t="shared" ref="I48:I63" si="29">IFERROR(H48/B48,)</f>
        <v>0</v>
      </c>
      <c r="J48" s="158">
        <f t="shared" ref="J48:J63" si="30">IFERROR(A48/B48,)</f>
        <v>0</v>
      </c>
      <c r="K48" s="16" t="s">
        <v>115</v>
      </c>
      <c r="L48" s="110">
        <v>7</v>
      </c>
      <c r="M48" s="8">
        <f>'WCLA Consolidated MTEF Budget'!N48</f>
        <v>0</v>
      </c>
      <c r="N48" s="8">
        <v>0</v>
      </c>
      <c r="O48" s="8">
        <v>0</v>
      </c>
      <c r="P48" s="183"/>
      <c r="Q48" s="8">
        <f t="shared" si="10"/>
        <v>0</v>
      </c>
      <c r="R48" s="8">
        <v>0</v>
      </c>
      <c r="S48" s="8">
        <f t="shared" si="6"/>
        <v>0</v>
      </c>
      <c r="T48" s="8">
        <f t="shared" si="16"/>
        <v>0</v>
      </c>
      <c r="U48" s="158">
        <f t="shared" si="8"/>
        <v>0</v>
      </c>
      <c r="V48" s="158">
        <f t="shared" si="9"/>
        <v>0</v>
      </c>
    </row>
    <row r="49" spans="1:23" x14ac:dyDescent="0.3">
      <c r="A49" s="7">
        <f>'WCLA Consolidated MTEF Budget'!F49</f>
        <v>2300.36</v>
      </c>
      <c r="B49" s="7">
        <f t="shared" si="27"/>
        <v>1850.8297069666667</v>
      </c>
      <c r="C49" s="7"/>
      <c r="D49" s="7"/>
      <c r="E49" s="7"/>
      <c r="F49" s="7"/>
      <c r="G49" s="7"/>
      <c r="H49" s="7">
        <f t="shared" si="28"/>
        <v>-449.53029303333346</v>
      </c>
      <c r="I49" s="159">
        <f t="shared" si="29"/>
        <v>-0.24288041808561131</v>
      </c>
      <c r="J49" s="159">
        <f t="shared" si="30"/>
        <v>1.2428804180856112</v>
      </c>
      <c r="K49" s="13" t="s">
        <v>116</v>
      </c>
      <c r="L49" s="110">
        <v>1</v>
      </c>
      <c r="M49" s="7">
        <f>'WCLA Consolidated MTEF Budget'!N49</f>
        <v>38703.688000000002</v>
      </c>
      <c r="N49" s="7">
        <v>22209.956483599999</v>
      </c>
      <c r="O49" s="7">
        <v>0</v>
      </c>
      <c r="P49" s="203"/>
      <c r="Q49" s="7">
        <f t="shared" si="10"/>
        <v>22209.956483599999</v>
      </c>
      <c r="R49" s="7">
        <v>0</v>
      </c>
      <c r="S49" s="7">
        <f t="shared" si="6"/>
        <v>22209.956483599999</v>
      </c>
      <c r="T49" s="7">
        <f t="shared" si="16"/>
        <v>16493.731516400003</v>
      </c>
      <c r="U49" s="159">
        <f t="shared" si="8"/>
        <v>0.7426278177797917</v>
      </c>
      <c r="V49" s="159">
        <f t="shared" si="9"/>
        <v>1.7426278177797916</v>
      </c>
    </row>
    <row r="50" spans="1:23" x14ac:dyDescent="0.3">
      <c r="A50" s="7">
        <f>'WCLA Consolidated MTEF Budget'!F50</f>
        <v>4532.6000000000013</v>
      </c>
      <c r="B50" s="7">
        <f t="shared" si="27"/>
        <v>3145.9564139569698</v>
      </c>
      <c r="C50" s="7"/>
      <c r="D50" s="7"/>
      <c r="E50" s="7"/>
      <c r="F50" s="7"/>
      <c r="G50" s="7"/>
      <c r="H50" s="7">
        <f t="shared" si="28"/>
        <v>-1386.6435860430315</v>
      </c>
      <c r="I50" s="159">
        <f t="shared" si="29"/>
        <v>-0.44077011998361332</v>
      </c>
      <c r="J50" s="159">
        <f t="shared" si="30"/>
        <v>1.4407701199836134</v>
      </c>
      <c r="K50" s="13" t="s">
        <v>117</v>
      </c>
      <c r="L50" s="110">
        <v>7</v>
      </c>
      <c r="M50" s="7">
        <f>'WCLA Consolidated MTEF Budget'!N50</f>
        <v>44473.97600000001</v>
      </c>
      <c r="N50" s="7">
        <v>37751.476967483635</v>
      </c>
      <c r="O50" s="7">
        <v>0</v>
      </c>
      <c r="P50" s="203"/>
      <c r="Q50" s="7">
        <f t="shared" si="10"/>
        <v>37751.476967483635</v>
      </c>
      <c r="R50" s="7">
        <v>0</v>
      </c>
      <c r="S50" s="7">
        <f t="shared" si="6"/>
        <v>37751.476967483635</v>
      </c>
      <c r="T50" s="7">
        <f t="shared" si="16"/>
        <v>6722.4990325163744</v>
      </c>
      <c r="U50" s="159">
        <f t="shared" si="8"/>
        <v>0.178072477490262</v>
      </c>
      <c r="V50" s="159">
        <f t="shared" si="9"/>
        <v>1.178072477490262</v>
      </c>
    </row>
    <row r="51" spans="1:23" x14ac:dyDescent="0.3">
      <c r="A51" s="7">
        <f>'WCLA Consolidated MTEF Budget'!F51</f>
        <v>0</v>
      </c>
      <c r="B51" s="7">
        <f t="shared" si="27"/>
        <v>166.66666666666666</v>
      </c>
      <c r="C51" s="7"/>
      <c r="D51" s="7"/>
      <c r="E51" s="7"/>
      <c r="F51" s="7"/>
      <c r="G51" s="7"/>
      <c r="H51" s="7">
        <f t="shared" si="28"/>
        <v>166.66666666666666</v>
      </c>
      <c r="I51" s="159">
        <f t="shared" si="29"/>
        <v>1</v>
      </c>
      <c r="J51" s="159">
        <f t="shared" si="30"/>
        <v>0</v>
      </c>
      <c r="K51" s="13" t="s">
        <v>118</v>
      </c>
      <c r="L51" s="110">
        <v>7</v>
      </c>
      <c r="M51" s="7">
        <f>'WCLA Consolidated MTEF Budget'!N51</f>
        <v>0</v>
      </c>
      <c r="N51" s="7">
        <v>2000</v>
      </c>
      <c r="O51" s="7">
        <v>0</v>
      </c>
      <c r="P51" s="203"/>
      <c r="Q51" s="7">
        <f t="shared" si="10"/>
        <v>2000</v>
      </c>
      <c r="R51" s="7">
        <v>0</v>
      </c>
      <c r="S51" s="7">
        <f t="shared" si="6"/>
        <v>2000</v>
      </c>
      <c r="T51" s="7">
        <f t="shared" si="16"/>
        <v>-2000</v>
      </c>
      <c r="U51" s="159">
        <f t="shared" si="8"/>
        <v>-1</v>
      </c>
      <c r="V51" s="159">
        <f t="shared" si="9"/>
        <v>0</v>
      </c>
    </row>
    <row r="52" spans="1:23" x14ac:dyDescent="0.3">
      <c r="A52" s="7">
        <f>'WCLA Consolidated MTEF Budget'!F52</f>
        <v>1210.4400000000003</v>
      </c>
      <c r="B52" s="7">
        <f t="shared" si="27"/>
        <v>481.14135569393943</v>
      </c>
      <c r="C52" s="7"/>
      <c r="D52" s="7"/>
      <c r="E52" s="7"/>
      <c r="F52" s="7"/>
      <c r="G52" s="7"/>
      <c r="H52" s="7">
        <f t="shared" si="28"/>
        <v>-729.29864430606085</v>
      </c>
      <c r="I52" s="159">
        <f t="shared" si="29"/>
        <v>-1.515767945688663</v>
      </c>
      <c r="J52" s="159">
        <f t="shared" si="30"/>
        <v>2.5157679456886628</v>
      </c>
      <c r="K52" s="13" t="s">
        <v>119</v>
      </c>
      <c r="L52" s="110">
        <v>7</v>
      </c>
      <c r="M52" s="7">
        <f>'WCLA Consolidated MTEF Budget'!N52</f>
        <v>12555.040000000003</v>
      </c>
      <c r="N52" s="7">
        <v>5773.6962683272732</v>
      </c>
      <c r="O52" s="7">
        <v>0</v>
      </c>
      <c r="P52" s="203"/>
      <c r="Q52" s="7">
        <f t="shared" si="10"/>
        <v>5773.6962683272732</v>
      </c>
      <c r="R52" s="7">
        <v>0</v>
      </c>
      <c r="S52" s="7">
        <f t="shared" si="6"/>
        <v>5773.6962683272732</v>
      </c>
      <c r="T52" s="7">
        <f t="shared" si="16"/>
        <v>6781.3437316727295</v>
      </c>
      <c r="U52" s="159">
        <f t="shared" si="8"/>
        <v>1.1745238087554244</v>
      </c>
      <c r="V52" s="159">
        <f t="shared" si="9"/>
        <v>2.1745238087554242</v>
      </c>
    </row>
    <row r="53" spans="1:23" x14ac:dyDescent="0.3">
      <c r="A53" s="7">
        <f>'WCLA Consolidated MTEF Budget'!F53</f>
        <v>8247.6726666666709</v>
      </c>
      <c r="B53" s="7">
        <f t="shared" si="27"/>
        <v>5685.9926470962719</v>
      </c>
      <c r="C53" s="7"/>
      <c r="D53" s="7"/>
      <c r="E53" s="7"/>
      <c r="F53" s="7"/>
      <c r="G53" s="7"/>
      <c r="H53" s="7">
        <f t="shared" si="28"/>
        <v>-2561.6800195703991</v>
      </c>
      <c r="I53" s="159">
        <f t="shared" si="29"/>
        <v>-0.45052468030865295</v>
      </c>
      <c r="J53" s="159">
        <f t="shared" si="30"/>
        <v>1.4505246803086529</v>
      </c>
      <c r="K53" s="13" t="s">
        <v>120</v>
      </c>
      <c r="L53" s="110">
        <v>7</v>
      </c>
      <c r="M53" s="7">
        <f>'WCLA Consolidated MTEF Budget'!N53</f>
        <v>89222.702666666708</v>
      </c>
      <c r="N53" s="7">
        <v>68231.911765155266</v>
      </c>
      <c r="O53" s="7">
        <v>0</v>
      </c>
      <c r="P53" s="203"/>
      <c r="Q53" s="7">
        <f t="shared" si="10"/>
        <v>68231.911765155266</v>
      </c>
      <c r="R53" s="7">
        <v>0</v>
      </c>
      <c r="S53" s="7">
        <f t="shared" si="6"/>
        <v>68231.911765155266</v>
      </c>
      <c r="T53" s="7">
        <f t="shared" si="16"/>
        <v>20990.790901511442</v>
      </c>
      <c r="U53" s="159">
        <f t="shared" si="8"/>
        <v>0.30763890910398084</v>
      </c>
      <c r="V53" s="159">
        <f t="shared" si="9"/>
        <v>1.3076389091039808</v>
      </c>
    </row>
    <row r="54" spans="1:23" x14ac:dyDescent="0.3">
      <c r="A54" s="7">
        <f>'WCLA Consolidated MTEF Budget'!F54</f>
        <v>0</v>
      </c>
      <c r="B54" s="7">
        <f t="shared" si="27"/>
        <v>0</v>
      </c>
      <c r="C54" s="7"/>
      <c r="D54" s="7"/>
      <c r="E54" s="7"/>
      <c r="F54" s="7"/>
      <c r="G54" s="7"/>
      <c r="H54" s="7">
        <f t="shared" si="28"/>
        <v>0</v>
      </c>
      <c r="I54" s="159">
        <f t="shared" si="29"/>
        <v>0</v>
      </c>
      <c r="J54" s="159">
        <f t="shared" si="30"/>
        <v>0</v>
      </c>
      <c r="K54" s="13" t="s">
        <v>121</v>
      </c>
      <c r="L54" s="110">
        <v>6</v>
      </c>
      <c r="M54" s="7">
        <f>'WCLA Consolidated MTEF Budget'!N54</f>
        <v>0</v>
      </c>
      <c r="N54" s="7">
        <v>0</v>
      </c>
      <c r="O54" s="7">
        <v>0</v>
      </c>
      <c r="P54" s="203"/>
      <c r="Q54" s="7">
        <f t="shared" si="10"/>
        <v>0</v>
      </c>
      <c r="R54" s="7">
        <v>0</v>
      </c>
      <c r="S54" s="7">
        <f t="shared" si="6"/>
        <v>0</v>
      </c>
      <c r="T54" s="7">
        <f t="shared" si="16"/>
        <v>0</v>
      </c>
      <c r="U54" s="159">
        <f t="shared" si="8"/>
        <v>0</v>
      </c>
      <c r="V54" s="159">
        <f t="shared" si="9"/>
        <v>0</v>
      </c>
    </row>
    <row r="55" spans="1:23" x14ac:dyDescent="0.3">
      <c r="A55" s="7">
        <f>'WCLA Consolidated MTEF Budget'!F55</f>
        <v>3265.1194214666671</v>
      </c>
      <c r="B55" s="7">
        <f t="shared" si="27"/>
        <v>4319.4632173</v>
      </c>
      <c r="C55" s="7"/>
      <c r="D55" s="7"/>
      <c r="E55" s="7"/>
      <c r="F55" s="7"/>
      <c r="G55" s="7"/>
      <c r="H55" s="7">
        <f t="shared" si="28"/>
        <v>1054.3437958333329</v>
      </c>
      <c r="I55" s="159">
        <f t="shared" si="29"/>
        <v>0.24409139348855938</v>
      </c>
      <c r="J55" s="159">
        <f t="shared" si="30"/>
        <v>0.75590860651144065</v>
      </c>
      <c r="K55" s="16" t="s">
        <v>122</v>
      </c>
      <c r="L55" s="110" t="s">
        <v>103</v>
      </c>
      <c r="M55" s="7">
        <f>'WCLA Consolidated MTEF Budget'!N55</f>
        <v>40301.017763831485</v>
      </c>
      <c r="N55" s="7">
        <v>51833.558607600004</v>
      </c>
      <c r="O55" s="7">
        <v>0</v>
      </c>
      <c r="P55" s="203"/>
      <c r="Q55" s="7">
        <f t="shared" si="10"/>
        <v>51833.558607600004</v>
      </c>
      <c r="R55" s="7">
        <v>0</v>
      </c>
      <c r="S55" s="7">
        <f t="shared" si="6"/>
        <v>51833.558607600004</v>
      </c>
      <c r="T55" s="7">
        <f t="shared" si="16"/>
        <v>-11532.540843768518</v>
      </c>
      <c r="U55" s="159">
        <f t="shared" si="8"/>
        <v>-0.22249178241984682</v>
      </c>
      <c r="V55" s="159">
        <f t="shared" si="9"/>
        <v>0.7775082175801532</v>
      </c>
    </row>
    <row r="56" spans="1:23" x14ac:dyDescent="0.3">
      <c r="A56" s="7">
        <f>'WCLA Consolidated MTEF Budget'!F56</f>
        <v>8.0111324981165429E-14</v>
      </c>
      <c r="B56" s="7">
        <f t="shared" si="27"/>
        <v>8.0111324981165429E-14</v>
      </c>
      <c r="C56" s="7"/>
      <c r="D56" s="7"/>
      <c r="E56" s="7"/>
      <c r="F56" s="7"/>
      <c r="G56" s="7"/>
      <c r="H56" s="7">
        <f t="shared" si="28"/>
        <v>0</v>
      </c>
      <c r="I56" s="159">
        <f t="shared" si="29"/>
        <v>0</v>
      </c>
      <c r="J56" s="159">
        <f t="shared" si="30"/>
        <v>1</v>
      </c>
      <c r="K56" s="13" t="s">
        <v>123</v>
      </c>
      <c r="L56" s="110"/>
      <c r="M56" s="7">
        <f>'WCLA Consolidated MTEF Budget'!N56</f>
        <v>8.0111324981165411E-13</v>
      </c>
      <c r="N56" s="7">
        <v>9.6133589977398509E-13</v>
      </c>
      <c r="O56" s="7">
        <v>0</v>
      </c>
      <c r="P56" s="203"/>
      <c r="Q56" s="7">
        <f t="shared" si="10"/>
        <v>9.6133589977398509E-13</v>
      </c>
      <c r="R56" s="7">
        <v>0</v>
      </c>
      <c r="S56" s="7">
        <f t="shared" si="6"/>
        <v>9.6133589977398509E-13</v>
      </c>
      <c r="T56" s="7">
        <f t="shared" si="16"/>
        <v>-1.6022264996233098E-13</v>
      </c>
      <c r="U56" s="159">
        <f t="shared" si="8"/>
        <v>-0.1666666666666668</v>
      </c>
      <c r="V56" s="159">
        <f t="shared" si="9"/>
        <v>0.83333333333333315</v>
      </c>
    </row>
    <row r="57" spans="1:23" x14ac:dyDescent="0.3">
      <c r="A57" s="7">
        <f>'WCLA Consolidated MTEF Budget'!F57</f>
        <v>8663.8160000000007</v>
      </c>
      <c r="B57" s="7">
        <f t="shared" si="27"/>
        <v>7500</v>
      </c>
      <c r="C57" s="7"/>
      <c r="D57" s="7"/>
      <c r="E57" s="7"/>
      <c r="F57" s="7"/>
      <c r="G57" s="7"/>
      <c r="H57" s="7">
        <f t="shared" si="28"/>
        <v>-1163.8160000000007</v>
      </c>
      <c r="I57" s="159">
        <f t="shared" si="29"/>
        <v>-0.15517546666666676</v>
      </c>
      <c r="J57" s="159">
        <f t="shared" si="30"/>
        <v>1.1551754666666667</v>
      </c>
      <c r="K57" s="13" t="s">
        <v>124</v>
      </c>
      <c r="L57" s="110">
        <v>1</v>
      </c>
      <c r="M57" s="7">
        <f>'WCLA Consolidated MTEF Budget'!N57</f>
        <v>86638.160000000018</v>
      </c>
      <c r="N57" s="7">
        <v>90000</v>
      </c>
      <c r="O57" s="7">
        <v>0</v>
      </c>
      <c r="P57" s="203"/>
      <c r="Q57" s="7">
        <f t="shared" si="10"/>
        <v>90000</v>
      </c>
      <c r="R57" s="7">
        <v>0</v>
      </c>
      <c r="S57" s="7">
        <f t="shared" si="6"/>
        <v>90000</v>
      </c>
      <c r="T57" s="7">
        <f t="shared" si="16"/>
        <v>-3361.839999999982</v>
      </c>
      <c r="U57" s="159">
        <f t="shared" si="8"/>
        <v>-3.7353777777777576E-2</v>
      </c>
      <c r="V57" s="159">
        <f t="shared" si="9"/>
        <v>0.9626462222222224</v>
      </c>
    </row>
    <row r="58" spans="1:23" x14ac:dyDescent="0.3">
      <c r="A58" s="7">
        <f>'WCLA Consolidated MTEF Budget'!F58</f>
        <v>12697.393333333333</v>
      </c>
      <c r="B58" s="7">
        <f t="shared" si="27"/>
        <v>8447.3203263636369</v>
      </c>
      <c r="C58" s="7"/>
      <c r="D58" s="7"/>
      <c r="E58" s="7"/>
      <c r="F58" s="7"/>
      <c r="G58" s="7"/>
      <c r="H58" s="7">
        <f t="shared" si="28"/>
        <v>-4250.0730069696965</v>
      </c>
      <c r="I58" s="159">
        <f t="shared" si="29"/>
        <v>-0.50312677189539567</v>
      </c>
      <c r="J58" s="159">
        <f t="shared" si="30"/>
        <v>1.5031267718953956</v>
      </c>
      <c r="K58" s="13" t="s">
        <v>125</v>
      </c>
      <c r="L58" s="110" t="s">
        <v>103</v>
      </c>
      <c r="M58" s="7">
        <f>'WCLA Consolidated MTEF Budget'!N58</f>
        <v>128968.69333333336</v>
      </c>
      <c r="N58" s="7">
        <v>101367.84391636364</v>
      </c>
      <c r="O58" s="7">
        <v>0</v>
      </c>
      <c r="P58" s="203"/>
      <c r="Q58" s="7">
        <f t="shared" si="10"/>
        <v>101367.84391636364</v>
      </c>
      <c r="R58" s="7">
        <v>0</v>
      </c>
      <c r="S58" s="7">
        <f t="shared" si="6"/>
        <v>101367.84391636364</v>
      </c>
      <c r="T58" s="7">
        <f t="shared" si="16"/>
        <v>27600.849416969722</v>
      </c>
      <c r="U58" s="159">
        <f t="shared" si="8"/>
        <v>0.2722840730413737</v>
      </c>
      <c r="V58" s="159">
        <f t="shared" si="9"/>
        <v>1.2722840730413736</v>
      </c>
    </row>
    <row r="59" spans="1:23" x14ac:dyDescent="0.3">
      <c r="A59" s="7">
        <f>'WCLA Consolidated MTEF Budget'!F59</f>
        <v>0</v>
      </c>
      <c r="B59" s="7">
        <f t="shared" si="27"/>
        <v>683.13374999999996</v>
      </c>
      <c r="C59" s="7"/>
      <c r="D59" s="7"/>
      <c r="E59" s="7"/>
      <c r="F59" s="7"/>
      <c r="G59" s="7"/>
      <c r="H59" s="7">
        <f t="shared" si="28"/>
        <v>683.13374999999996</v>
      </c>
      <c r="I59" s="159">
        <f t="shared" si="29"/>
        <v>1</v>
      </c>
      <c r="J59" s="159">
        <f t="shared" si="30"/>
        <v>0</v>
      </c>
      <c r="K59" s="13" t="s">
        <v>126</v>
      </c>
      <c r="L59" s="110" t="s">
        <v>127</v>
      </c>
      <c r="M59" s="7">
        <f>'WCLA Consolidated MTEF Budget'!N59</f>
        <v>0</v>
      </c>
      <c r="N59" s="7">
        <v>8197.6049999999996</v>
      </c>
      <c r="O59" s="7">
        <v>0</v>
      </c>
      <c r="P59" s="203"/>
      <c r="Q59" s="7">
        <f t="shared" si="10"/>
        <v>8197.6049999999996</v>
      </c>
      <c r="R59" s="7">
        <v>0</v>
      </c>
      <c r="S59" s="7">
        <f t="shared" si="6"/>
        <v>8197.6049999999996</v>
      </c>
      <c r="T59" s="7">
        <f t="shared" si="16"/>
        <v>-8197.6049999999996</v>
      </c>
      <c r="U59" s="159">
        <f t="shared" si="8"/>
        <v>-1</v>
      </c>
      <c r="V59" s="159">
        <f t="shared" si="9"/>
        <v>0</v>
      </c>
    </row>
    <row r="60" spans="1:23" x14ac:dyDescent="0.3">
      <c r="A60" s="7">
        <f>'WCLA Consolidated MTEF Budget'!F60</f>
        <v>3406</v>
      </c>
      <c r="B60" s="7">
        <f t="shared" si="27"/>
        <v>3250</v>
      </c>
      <c r="C60" s="7"/>
      <c r="D60" s="7"/>
      <c r="E60" s="7"/>
      <c r="F60" s="7"/>
      <c r="G60" s="7"/>
      <c r="H60" s="7">
        <f t="shared" si="28"/>
        <v>-156</v>
      </c>
      <c r="I60" s="159">
        <f t="shared" si="29"/>
        <v>-4.8000000000000001E-2</v>
      </c>
      <c r="J60" s="159">
        <f t="shared" si="30"/>
        <v>1.048</v>
      </c>
      <c r="K60" s="13" t="s">
        <v>128</v>
      </c>
      <c r="L60" s="113">
        <v>5</v>
      </c>
      <c r="M60" s="7">
        <f>'WCLA Consolidated MTEF Budget'!N60</f>
        <v>34060</v>
      </c>
      <c r="N60" s="7">
        <v>39000</v>
      </c>
      <c r="O60" s="7">
        <v>0</v>
      </c>
      <c r="P60" s="203"/>
      <c r="Q60" s="7">
        <f t="shared" si="10"/>
        <v>39000</v>
      </c>
      <c r="R60" s="7">
        <v>0</v>
      </c>
      <c r="S60" s="7">
        <f t="shared" si="6"/>
        <v>39000</v>
      </c>
      <c r="T60" s="7">
        <f t="shared" si="16"/>
        <v>-4940</v>
      </c>
      <c r="U60" s="159">
        <f t="shared" si="8"/>
        <v>-0.12666666666666668</v>
      </c>
      <c r="V60" s="159">
        <f t="shared" si="9"/>
        <v>0.87333333333333329</v>
      </c>
    </row>
    <row r="61" spans="1:23" x14ac:dyDescent="0.3">
      <c r="A61" s="7">
        <f>'WCLA Consolidated MTEF Budget'!F61</f>
        <v>9720.2000000000007</v>
      </c>
      <c r="B61" s="7">
        <f t="shared" si="27"/>
        <v>9275.1749999999993</v>
      </c>
      <c r="C61" s="7"/>
      <c r="D61" s="7"/>
      <c r="E61" s="7"/>
      <c r="F61" s="7"/>
      <c r="G61" s="7"/>
      <c r="H61" s="7">
        <f t="shared" si="28"/>
        <v>-445.02500000000146</v>
      </c>
      <c r="I61" s="159">
        <f t="shared" si="29"/>
        <v>-4.7980226788173971E-2</v>
      </c>
      <c r="J61" s="159">
        <f t="shared" si="30"/>
        <v>1.0479802267881739</v>
      </c>
      <c r="K61" s="13" t="s">
        <v>129</v>
      </c>
      <c r="L61" s="113"/>
      <c r="M61" s="7">
        <f>'WCLA Consolidated MTEF Budget'!N61</f>
        <v>97201.999999999985</v>
      </c>
      <c r="N61" s="7">
        <v>111302.09999999999</v>
      </c>
      <c r="O61" s="7">
        <v>0</v>
      </c>
      <c r="P61" s="203"/>
      <c r="Q61" s="7">
        <f t="shared" si="10"/>
        <v>111302.09999999999</v>
      </c>
      <c r="R61" s="7">
        <v>0</v>
      </c>
      <c r="S61" s="7">
        <f t="shared" si="6"/>
        <v>111302.09999999999</v>
      </c>
      <c r="T61" s="7">
        <f t="shared" si="16"/>
        <v>-14100.100000000006</v>
      </c>
      <c r="U61" s="159">
        <f t="shared" si="8"/>
        <v>-0.12668314434318856</v>
      </c>
      <c r="V61" s="159">
        <f t="shared" si="9"/>
        <v>0.8733168556568115</v>
      </c>
    </row>
    <row r="62" spans="1:23" x14ac:dyDescent="0.3">
      <c r="A62" s="7">
        <f>'WCLA Consolidated MTEF Budget'!F62</f>
        <v>5335.4204</v>
      </c>
      <c r="B62" s="7">
        <f t="shared" si="27"/>
        <v>0</v>
      </c>
      <c r="C62" s="7"/>
      <c r="D62" s="7"/>
      <c r="E62" s="7"/>
      <c r="F62" s="7"/>
      <c r="G62" s="7"/>
      <c r="H62" s="7">
        <f t="shared" si="28"/>
        <v>-5335.4204</v>
      </c>
      <c r="I62" s="159">
        <f t="shared" si="29"/>
        <v>0</v>
      </c>
      <c r="J62" s="159">
        <f t="shared" si="30"/>
        <v>0</v>
      </c>
      <c r="K62" s="16" t="s">
        <v>130</v>
      </c>
      <c r="L62" s="113"/>
      <c r="M62" s="7">
        <f>'WCLA Consolidated MTEF Budget'!N62</f>
        <v>98628.511495368002</v>
      </c>
      <c r="N62" s="7">
        <v>0</v>
      </c>
      <c r="O62" s="7">
        <v>0</v>
      </c>
      <c r="P62" s="203"/>
      <c r="Q62" s="7">
        <f t="shared" si="10"/>
        <v>0</v>
      </c>
      <c r="R62" s="7">
        <v>0</v>
      </c>
      <c r="S62" s="7">
        <f t="shared" si="6"/>
        <v>0</v>
      </c>
      <c r="T62" s="7">
        <f t="shared" si="16"/>
        <v>98628.511495368002</v>
      </c>
      <c r="U62" s="159">
        <f t="shared" si="8"/>
        <v>0</v>
      </c>
      <c r="V62" s="159">
        <f t="shared" si="9"/>
        <v>0</v>
      </c>
    </row>
    <row r="63" spans="1:23" x14ac:dyDescent="0.3">
      <c r="A63" s="11">
        <f>'WCLA Consolidated MTEF Budget'!F63</f>
        <v>13189.08</v>
      </c>
      <c r="B63" s="11">
        <f t="shared" si="27"/>
        <v>21915.466852499998</v>
      </c>
      <c r="C63" s="11"/>
      <c r="D63" s="11"/>
      <c r="E63" s="11"/>
      <c r="F63" s="11"/>
      <c r="G63" s="11"/>
      <c r="H63" s="11">
        <f t="shared" si="28"/>
        <v>8726.386852499998</v>
      </c>
      <c r="I63" s="160">
        <f t="shared" si="29"/>
        <v>0.39818393608642377</v>
      </c>
      <c r="J63" s="160">
        <f t="shared" si="30"/>
        <v>0.60181606391357623</v>
      </c>
      <c r="K63" s="16" t="s">
        <v>131</v>
      </c>
      <c r="L63" s="110" t="s">
        <v>103</v>
      </c>
      <c r="M63" s="11">
        <f>'WCLA Consolidated MTEF Budget'!N63</f>
        <v>131890.79999999999</v>
      </c>
      <c r="N63" s="11">
        <v>262985.60222999996</v>
      </c>
      <c r="O63" s="11">
        <v>0</v>
      </c>
      <c r="P63" s="321"/>
      <c r="Q63" s="11">
        <f t="shared" si="10"/>
        <v>262985.60222999996</v>
      </c>
      <c r="R63" s="11">
        <v>0</v>
      </c>
      <c r="S63" s="11">
        <f t="shared" si="6"/>
        <v>262985.60222999996</v>
      </c>
      <c r="T63" s="11">
        <f t="shared" si="16"/>
        <v>-131094.80222999997</v>
      </c>
      <c r="U63" s="160">
        <f t="shared" si="8"/>
        <v>-0.49848661340535316</v>
      </c>
      <c r="V63" s="160">
        <f t="shared" si="9"/>
        <v>0.50151338659464684</v>
      </c>
    </row>
    <row r="64" spans="1:23" s="18" customFormat="1" ht="4.95" customHeight="1" thickBot="1" x14ac:dyDescent="0.35">
      <c r="A64" s="91"/>
      <c r="B64" s="91"/>
      <c r="C64" s="91"/>
      <c r="D64" s="91"/>
      <c r="E64" s="91"/>
      <c r="F64" s="91"/>
      <c r="G64" s="91"/>
      <c r="H64" s="91"/>
      <c r="I64" s="92"/>
      <c r="J64" s="92"/>
      <c r="K64" s="13"/>
      <c r="L64" s="110"/>
      <c r="M64" s="90"/>
      <c r="N64" s="90"/>
      <c r="O64" s="90"/>
      <c r="P64" s="326"/>
      <c r="Q64" s="90">
        <f t="shared" si="10"/>
        <v>0</v>
      </c>
      <c r="R64" s="90"/>
      <c r="S64" s="90">
        <f t="shared" si="6"/>
        <v>0</v>
      </c>
      <c r="T64" s="90">
        <f t="shared" si="16"/>
        <v>0</v>
      </c>
      <c r="U64" s="163">
        <f t="shared" si="8"/>
        <v>0</v>
      </c>
      <c r="V64" s="163">
        <f t="shared" si="9"/>
        <v>0</v>
      </c>
      <c r="W64" s="317"/>
    </row>
    <row r="65" spans="1:23" s="18" customFormat="1" x14ac:dyDescent="0.3">
      <c r="A65" s="4">
        <f>SUM(A48:A63)</f>
        <v>72568.101821466684</v>
      </c>
      <c r="B65" s="4">
        <f>SUM(B48:B63)</f>
        <v>66721.145936544155</v>
      </c>
      <c r="C65" s="4"/>
      <c r="D65" s="4"/>
      <c r="E65" s="4"/>
      <c r="F65" s="4"/>
      <c r="G65" s="4"/>
      <c r="H65" s="4">
        <f>B65-A65</f>
        <v>-5846.9558849225286</v>
      </c>
      <c r="I65" s="162">
        <f t="shared" ref="I65" si="31">IFERROR(H65/B65,)</f>
        <v>-8.763272577007801E-2</v>
      </c>
      <c r="J65" s="162">
        <f>IFERROR(A65/B65,)</f>
        <v>1.087632725770078</v>
      </c>
      <c r="K65" s="13" t="s">
        <v>132</v>
      </c>
      <c r="L65" s="111"/>
      <c r="M65" s="4">
        <f>SUM(M48:M63)</f>
        <v>802644.58925919957</v>
      </c>
      <c r="N65" s="4">
        <f>SUM(N48:N63)</f>
        <v>800653.75123852969</v>
      </c>
      <c r="O65" s="4">
        <f t="shared" ref="O65" si="32">SUM(O48:O63)</f>
        <v>0</v>
      </c>
      <c r="P65" s="324"/>
      <c r="Q65" s="4">
        <f t="shared" si="10"/>
        <v>800653.75123852969</v>
      </c>
      <c r="R65" s="4">
        <f t="shared" ref="R65" si="33">SUM(R48:R63)</f>
        <v>0</v>
      </c>
      <c r="S65" s="4">
        <f t="shared" si="6"/>
        <v>800653.75123852969</v>
      </c>
      <c r="T65" s="4">
        <f>M65-S65</f>
        <v>1990.8380206698785</v>
      </c>
      <c r="U65" s="162">
        <f t="shared" si="8"/>
        <v>2.4865155725433811E-3</v>
      </c>
      <c r="V65" s="162">
        <f t="shared" si="9"/>
        <v>1.0024865155725433</v>
      </c>
      <c r="W65" s="317"/>
    </row>
    <row r="66" spans="1:23" ht="3" customHeight="1" x14ac:dyDescent="0.3">
      <c r="A66" s="87"/>
      <c r="B66" s="87"/>
      <c r="C66" s="86"/>
      <c r="D66" s="86"/>
      <c r="E66" s="86"/>
      <c r="F66" s="87"/>
      <c r="G66" s="87"/>
      <c r="H66" s="87"/>
      <c r="I66" s="84"/>
      <c r="J66" s="84"/>
      <c r="K66" s="80"/>
      <c r="L66" s="110"/>
      <c r="M66" s="82"/>
      <c r="N66" s="82"/>
      <c r="O66" s="82"/>
      <c r="P66" s="325"/>
      <c r="Q66" s="82">
        <f t="shared" si="10"/>
        <v>0</v>
      </c>
      <c r="R66" s="82"/>
      <c r="S66" s="82">
        <f t="shared" si="6"/>
        <v>0</v>
      </c>
      <c r="T66" s="82">
        <f t="shared" si="16"/>
        <v>0</v>
      </c>
      <c r="U66" s="161">
        <f t="shared" si="8"/>
        <v>0</v>
      </c>
      <c r="V66" s="161">
        <f t="shared" si="9"/>
        <v>0</v>
      </c>
    </row>
    <row r="67" spans="1:23" x14ac:dyDescent="0.3">
      <c r="A67" s="8">
        <f>'WCLA Consolidated MTEF Budget'!F67</f>
        <v>152594.04</v>
      </c>
      <c r="B67" s="8">
        <f t="shared" ref="B67:B89" si="34">N67/12</f>
        <v>16666.666666666668</v>
      </c>
      <c r="C67" s="8"/>
      <c r="D67" s="8"/>
      <c r="E67" s="8"/>
      <c r="F67" s="8"/>
      <c r="G67" s="8"/>
      <c r="H67" s="8">
        <f t="shared" ref="H67:H89" si="35">B67-A67</f>
        <v>-135927.37333333335</v>
      </c>
      <c r="I67" s="158">
        <f t="shared" ref="I67:I89" si="36">IFERROR(H67/B67,)</f>
        <v>-8.1556423999999996</v>
      </c>
      <c r="J67" s="158">
        <f t="shared" ref="J67:J89" si="37">IFERROR(A67/B67,)</f>
        <v>9.1556423999999996</v>
      </c>
      <c r="K67" s="16" t="s">
        <v>133</v>
      </c>
      <c r="L67" s="110">
        <v>1</v>
      </c>
      <c r="M67" s="8">
        <f>'WCLA Consolidated MTEF Budget'!N67</f>
        <v>209600</v>
      </c>
      <c r="N67" s="8">
        <v>200000</v>
      </c>
      <c r="O67" s="8">
        <v>0</v>
      </c>
      <c r="P67" s="183"/>
      <c r="Q67" s="8">
        <f t="shared" si="10"/>
        <v>200000</v>
      </c>
      <c r="R67" s="8">
        <v>0</v>
      </c>
      <c r="S67" s="8">
        <f t="shared" si="6"/>
        <v>200000</v>
      </c>
      <c r="T67" s="8">
        <f t="shared" si="16"/>
        <v>9600</v>
      </c>
      <c r="U67" s="158">
        <f t="shared" si="8"/>
        <v>4.8000000000000001E-2</v>
      </c>
      <c r="V67" s="158">
        <f t="shared" si="9"/>
        <v>1.048</v>
      </c>
    </row>
    <row r="68" spans="1:23" x14ac:dyDescent="0.3">
      <c r="A68" s="7">
        <f>'WCLA Consolidated MTEF Budget'!F68</f>
        <v>20954.6897796333</v>
      </c>
      <c r="B68" s="7">
        <f t="shared" si="34"/>
        <v>22573.349662499997</v>
      </c>
      <c r="C68" s="7"/>
      <c r="D68" s="7"/>
      <c r="E68" s="7"/>
      <c r="F68" s="7"/>
      <c r="G68" s="7"/>
      <c r="H68" s="7">
        <f t="shared" si="35"/>
        <v>1618.6598828666974</v>
      </c>
      <c r="I68" s="159">
        <f t="shared" si="36"/>
        <v>7.1706676548571699E-2</v>
      </c>
      <c r="J68" s="159">
        <f t="shared" si="37"/>
        <v>0.92829332345142834</v>
      </c>
      <c r="K68" s="13" t="s">
        <v>134</v>
      </c>
      <c r="L68" s="110">
        <v>7</v>
      </c>
      <c r="M68" s="7">
        <f>'WCLA Consolidated MTEF Budget'!N68</f>
        <v>209546.89779633304</v>
      </c>
      <c r="N68" s="7">
        <v>270880.19594999996</v>
      </c>
      <c r="O68" s="7">
        <v>0</v>
      </c>
      <c r="P68" s="203"/>
      <c r="Q68" s="7">
        <f t="shared" si="10"/>
        <v>270880.19594999996</v>
      </c>
      <c r="R68" s="7">
        <v>0</v>
      </c>
      <c r="S68" s="7">
        <f t="shared" si="6"/>
        <v>270880.19594999996</v>
      </c>
      <c r="T68" s="7">
        <f t="shared" si="16"/>
        <v>-61333.298153666925</v>
      </c>
      <c r="U68" s="159">
        <f t="shared" si="8"/>
        <v>-0.22642223045714291</v>
      </c>
      <c r="V68" s="159">
        <f t="shared" si="9"/>
        <v>0.77357776954285706</v>
      </c>
    </row>
    <row r="69" spans="1:23" x14ac:dyDescent="0.3">
      <c r="A69" s="7">
        <f>'WCLA Consolidated MTEF Budget'!F69</f>
        <v>213096.984</v>
      </c>
      <c r="B69" s="7">
        <f t="shared" si="34"/>
        <v>16666.666666666668</v>
      </c>
      <c r="C69" s="7"/>
      <c r="D69" s="7"/>
      <c r="E69" s="7"/>
      <c r="F69" s="7"/>
      <c r="G69" s="7"/>
      <c r="H69" s="7">
        <f t="shared" si="35"/>
        <v>-196430.31733333334</v>
      </c>
      <c r="I69" s="159">
        <f t="shared" si="36"/>
        <v>-11.78581904</v>
      </c>
      <c r="J69" s="159">
        <f t="shared" si="37"/>
        <v>12.785819039999998</v>
      </c>
      <c r="K69" s="13" t="s">
        <v>135</v>
      </c>
      <c r="L69" s="110">
        <v>7</v>
      </c>
      <c r="M69" s="7">
        <f>'WCLA Consolidated MTEF Budget'!N69</f>
        <v>244533.83999999997</v>
      </c>
      <c r="N69" s="7">
        <v>200000</v>
      </c>
      <c r="O69" s="7">
        <v>0</v>
      </c>
      <c r="P69" s="203"/>
      <c r="Q69" s="7">
        <f t="shared" si="10"/>
        <v>200000</v>
      </c>
      <c r="R69" s="7">
        <v>0</v>
      </c>
      <c r="S69" s="7">
        <f t="shared" si="6"/>
        <v>200000</v>
      </c>
      <c r="T69" s="7">
        <f t="shared" si="16"/>
        <v>44533.839999999967</v>
      </c>
      <c r="U69" s="159">
        <f t="shared" si="8"/>
        <v>0.22266919999999985</v>
      </c>
      <c r="V69" s="159">
        <f t="shared" si="9"/>
        <v>1.2226691999999999</v>
      </c>
    </row>
    <row r="70" spans="1:23" x14ac:dyDescent="0.3">
      <c r="A70" s="7">
        <f>'WCLA Consolidated MTEF Budget'!F70</f>
        <v>0</v>
      </c>
      <c r="B70" s="7">
        <f t="shared" si="34"/>
        <v>0</v>
      </c>
      <c r="C70" s="7"/>
      <c r="D70" s="7"/>
      <c r="E70" s="7"/>
      <c r="F70" s="7"/>
      <c r="G70" s="7"/>
      <c r="H70" s="7">
        <f t="shared" si="35"/>
        <v>0</v>
      </c>
      <c r="I70" s="159">
        <f t="shared" si="36"/>
        <v>0</v>
      </c>
      <c r="J70" s="159">
        <f t="shared" si="37"/>
        <v>0</v>
      </c>
      <c r="K70" s="13" t="s">
        <v>136</v>
      </c>
      <c r="L70" s="110">
        <v>7</v>
      </c>
      <c r="M70" s="7">
        <f>'WCLA Consolidated MTEF Budget'!N70</f>
        <v>0</v>
      </c>
      <c r="N70" s="7">
        <v>0</v>
      </c>
      <c r="O70" s="7">
        <v>0</v>
      </c>
      <c r="P70" s="203"/>
      <c r="Q70" s="7">
        <f t="shared" si="10"/>
        <v>0</v>
      </c>
      <c r="R70" s="7">
        <v>0</v>
      </c>
      <c r="S70" s="7">
        <f t="shared" si="6"/>
        <v>0</v>
      </c>
      <c r="T70" s="7">
        <f t="shared" si="16"/>
        <v>0</v>
      </c>
      <c r="U70" s="159">
        <f t="shared" si="8"/>
        <v>0</v>
      </c>
      <c r="V70" s="159">
        <f t="shared" si="9"/>
        <v>0</v>
      </c>
    </row>
    <row r="71" spans="1:23" x14ac:dyDescent="0.3">
      <c r="A71" s="7">
        <f>'WCLA Consolidated MTEF Budget'!F71</f>
        <v>108537.92466666667</v>
      </c>
      <c r="B71" s="7">
        <f t="shared" si="34"/>
        <v>93660.995405250011</v>
      </c>
      <c r="C71" s="7"/>
      <c r="D71" s="7"/>
      <c r="E71" s="7"/>
      <c r="F71" s="7"/>
      <c r="G71" s="7"/>
      <c r="H71" s="7">
        <f t="shared" si="35"/>
        <v>-14876.929261416662</v>
      </c>
      <c r="I71" s="159">
        <f t="shared" si="36"/>
        <v>-0.15883804348915515</v>
      </c>
      <c r="J71" s="159">
        <f t="shared" si="37"/>
        <v>1.1588380434891552</v>
      </c>
      <c r="K71" s="13" t="s">
        <v>137</v>
      </c>
      <c r="L71" s="110">
        <v>7</v>
      </c>
      <c r="M71" s="7">
        <f>'WCLA Consolidated MTEF Budget'!N71</f>
        <v>1085379.2466666668</v>
      </c>
      <c r="N71" s="7">
        <v>1123931.9448630002</v>
      </c>
      <c r="O71" s="7">
        <v>0</v>
      </c>
      <c r="P71" s="203"/>
      <c r="Q71" s="7">
        <f t="shared" si="10"/>
        <v>1123931.9448630002</v>
      </c>
      <c r="R71" s="7">
        <v>0</v>
      </c>
      <c r="S71" s="7">
        <f t="shared" si="6"/>
        <v>1123931.9448630002</v>
      </c>
      <c r="T71" s="7">
        <f t="shared" si="16"/>
        <v>-38552.698196333367</v>
      </c>
      <c r="U71" s="159">
        <f t="shared" si="8"/>
        <v>-3.4301630425704006E-2</v>
      </c>
      <c r="V71" s="159">
        <f t="shared" si="9"/>
        <v>0.965698369574296</v>
      </c>
    </row>
    <row r="72" spans="1:23" x14ac:dyDescent="0.3">
      <c r="A72" s="7">
        <f>'WCLA Consolidated MTEF Budget'!F72</f>
        <v>2380.0080000000003</v>
      </c>
      <c r="B72" s="7">
        <f t="shared" si="34"/>
        <v>0</v>
      </c>
      <c r="C72" s="7"/>
      <c r="D72" s="7"/>
      <c r="E72" s="7"/>
      <c r="F72" s="7"/>
      <c r="G72" s="7"/>
      <c r="H72" s="7">
        <f t="shared" si="35"/>
        <v>-2380.0080000000003</v>
      </c>
      <c r="I72" s="159">
        <f t="shared" si="36"/>
        <v>0</v>
      </c>
      <c r="J72" s="159">
        <f t="shared" si="37"/>
        <v>0</v>
      </c>
      <c r="K72" s="13" t="s">
        <v>138</v>
      </c>
      <c r="L72" s="110">
        <v>2</v>
      </c>
      <c r="M72" s="7">
        <f>'WCLA Consolidated MTEF Budget'!N72</f>
        <v>23800.080000000005</v>
      </c>
      <c r="N72" s="7">
        <v>0</v>
      </c>
      <c r="O72" s="7">
        <v>0</v>
      </c>
      <c r="P72" s="203"/>
      <c r="Q72" s="7">
        <f t="shared" si="10"/>
        <v>0</v>
      </c>
      <c r="R72" s="7">
        <v>0</v>
      </c>
      <c r="S72" s="7">
        <f t="shared" ref="S72:S135" si="38">SUM(Q72:R72)</f>
        <v>0</v>
      </c>
      <c r="T72" s="7">
        <f t="shared" si="16"/>
        <v>23800.080000000005</v>
      </c>
      <c r="U72" s="159">
        <f t="shared" ref="U72:U135" si="39">IFERROR(T72/S72,)</f>
        <v>0</v>
      </c>
      <c r="V72" s="159">
        <f t="shared" ref="V72:V135" si="40">IFERROR(M72/S72,)</f>
        <v>0</v>
      </c>
    </row>
    <row r="73" spans="1:23" x14ac:dyDescent="0.3">
      <c r="A73" s="7">
        <f>'WCLA Consolidated MTEF Budget'!F73</f>
        <v>0</v>
      </c>
      <c r="B73" s="7">
        <f t="shared" si="34"/>
        <v>0</v>
      </c>
      <c r="C73" s="7"/>
      <c r="D73" s="7"/>
      <c r="E73" s="7"/>
      <c r="F73" s="7"/>
      <c r="G73" s="7"/>
      <c r="H73" s="7">
        <f t="shared" si="35"/>
        <v>0</v>
      </c>
      <c r="I73" s="159">
        <f t="shared" si="36"/>
        <v>0</v>
      </c>
      <c r="J73" s="159">
        <f t="shared" si="37"/>
        <v>0</v>
      </c>
      <c r="K73" s="13" t="s">
        <v>123</v>
      </c>
      <c r="L73" s="110">
        <v>6</v>
      </c>
      <c r="M73" s="7">
        <f>'WCLA Consolidated MTEF Budget'!N73</f>
        <v>0</v>
      </c>
      <c r="N73" s="7">
        <v>0</v>
      </c>
      <c r="O73" s="7">
        <v>0</v>
      </c>
      <c r="P73" s="203"/>
      <c r="Q73" s="7">
        <f t="shared" ref="Q73:R136" si="41">N73+P73</f>
        <v>0</v>
      </c>
      <c r="R73" s="7">
        <v>0</v>
      </c>
      <c r="S73" s="7">
        <f t="shared" si="38"/>
        <v>0</v>
      </c>
      <c r="T73" s="7">
        <f t="shared" si="16"/>
        <v>0</v>
      </c>
      <c r="U73" s="159">
        <f t="shared" si="39"/>
        <v>0</v>
      </c>
      <c r="V73" s="159">
        <f t="shared" si="40"/>
        <v>0</v>
      </c>
    </row>
    <row r="74" spans="1:23" x14ac:dyDescent="0.3">
      <c r="A74" s="7">
        <f>'WCLA Consolidated MTEF Budget'!F74</f>
        <v>293473.53600000002</v>
      </c>
      <c r="B74" s="7">
        <f t="shared" si="34"/>
        <v>288555.5691358333</v>
      </c>
      <c r="C74" s="7"/>
      <c r="D74" s="7"/>
      <c r="E74" s="7"/>
      <c r="F74" s="7"/>
      <c r="G74" s="7"/>
      <c r="H74" s="7">
        <f t="shared" si="35"/>
        <v>-4917.9668641667231</v>
      </c>
      <c r="I74" s="159">
        <f t="shared" si="36"/>
        <v>-1.7043396108746257E-2</v>
      </c>
      <c r="J74" s="159">
        <f t="shared" si="37"/>
        <v>1.0170433961087462</v>
      </c>
      <c r="K74" s="16" t="s">
        <v>139</v>
      </c>
      <c r="L74" s="110">
        <v>2</v>
      </c>
      <c r="M74" s="7">
        <f>'WCLA Consolidated MTEF Budget'!N74</f>
        <v>2934735.36</v>
      </c>
      <c r="N74" s="7">
        <v>3462666.8296299996</v>
      </c>
      <c r="O74" s="7">
        <v>0</v>
      </c>
      <c r="P74" s="203"/>
      <c r="Q74" s="7">
        <f t="shared" si="41"/>
        <v>3462666.8296299996</v>
      </c>
      <c r="R74" s="7">
        <v>0</v>
      </c>
      <c r="S74" s="7">
        <f t="shared" si="38"/>
        <v>3462666.8296299996</v>
      </c>
      <c r="T74" s="7">
        <f t="shared" si="16"/>
        <v>-527931.46962999972</v>
      </c>
      <c r="U74" s="159">
        <f t="shared" si="39"/>
        <v>-0.1524638365760449</v>
      </c>
      <c r="V74" s="159">
        <f t="shared" si="40"/>
        <v>0.8475361634239551</v>
      </c>
    </row>
    <row r="75" spans="1:23" x14ac:dyDescent="0.3">
      <c r="A75" s="7">
        <f>'WCLA Consolidated MTEF Budget'!F75</f>
        <v>12241.688</v>
      </c>
      <c r="B75" s="7">
        <f t="shared" si="34"/>
        <v>22760.676666666666</v>
      </c>
      <c r="C75" s="7"/>
      <c r="D75" s="7"/>
      <c r="E75" s="7"/>
      <c r="F75" s="7"/>
      <c r="G75" s="7"/>
      <c r="H75" s="7">
        <f t="shared" si="35"/>
        <v>10518.988666666666</v>
      </c>
      <c r="I75" s="159">
        <f t="shared" si="36"/>
        <v>0.46215623642120773</v>
      </c>
      <c r="J75" s="159">
        <f t="shared" si="37"/>
        <v>0.53784376357879227</v>
      </c>
      <c r="K75" s="13" t="s">
        <v>140</v>
      </c>
      <c r="L75" s="110">
        <v>2</v>
      </c>
      <c r="M75" s="7">
        <f>'WCLA Consolidated MTEF Budget'!N75</f>
        <v>122416.87999999998</v>
      </c>
      <c r="N75" s="7">
        <v>273128.12</v>
      </c>
      <c r="O75" s="7">
        <v>0</v>
      </c>
      <c r="P75" s="203"/>
      <c r="Q75" s="7">
        <f t="shared" si="41"/>
        <v>273128.12</v>
      </c>
      <c r="R75" s="7">
        <v>0</v>
      </c>
      <c r="S75" s="7">
        <f t="shared" si="38"/>
        <v>273128.12</v>
      </c>
      <c r="T75" s="7">
        <f t="shared" si="16"/>
        <v>-150711.24000000002</v>
      </c>
      <c r="U75" s="159">
        <f t="shared" si="39"/>
        <v>-0.55179686368433989</v>
      </c>
      <c r="V75" s="159">
        <f t="shared" si="40"/>
        <v>0.44820313631566011</v>
      </c>
    </row>
    <row r="76" spans="1:23" x14ac:dyDescent="0.3">
      <c r="A76" s="7">
        <f>'WCLA Consolidated MTEF Budget'!F76</f>
        <v>2356.9520000000002</v>
      </c>
      <c r="B76" s="7">
        <f t="shared" si="34"/>
        <v>1105.3867499999999</v>
      </c>
      <c r="C76" s="7"/>
      <c r="D76" s="7"/>
      <c r="E76" s="7"/>
      <c r="F76" s="7"/>
      <c r="G76" s="7"/>
      <c r="H76" s="7">
        <f t="shared" si="35"/>
        <v>-1251.5652500000003</v>
      </c>
      <c r="I76" s="159">
        <f t="shared" si="36"/>
        <v>-1.1322419506114041</v>
      </c>
      <c r="J76" s="159">
        <f t="shared" si="37"/>
        <v>2.1322419506114039</v>
      </c>
      <c r="K76" s="13" t="s">
        <v>141</v>
      </c>
      <c r="L76" s="110">
        <v>2</v>
      </c>
      <c r="M76" s="7">
        <f>'WCLA Consolidated MTEF Budget'!N76</f>
        <v>23569.520000000008</v>
      </c>
      <c r="N76" s="7">
        <v>13264.641</v>
      </c>
      <c r="O76" s="7">
        <v>0</v>
      </c>
      <c r="P76" s="203"/>
      <c r="Q76" s="7">
        <f t="shared" si="41"/>
        <v>13264.641</v>
      </c>
      <c r="R76" s="7">
        <v>0</v>
      </c>
      <c r="S76" s="7">
        <f t="shared" si="38"/>
        <v>13264.641</v>
      </c>
      <c r="T76" s="7">
        <f t="shared" si="16"/>
        <v>10304.879000000008</v>
      </c>
      <c r="U76" s="159">
        <f t="shared" si="39"/>
        <v>0.77686829217617037</v>
      </c>
      <c r="V76" s="159">
        <f t="shared" si="40"/>
        <v>1.7768682921761703</v>
      </c>
    </row>
    <row r="77" spans="1:23" x14ac:dyDescent="0.3">
      <c r="A77" s="7">
        <f>'WCLA Consolidated MTEF Budget'!F77</f>
        <v>0</v>
      </c>
      <c r="B77" s="7">
        <f t="shared" si="34"/>
        <v>0</v>
      </c>
      <c r="C77" s="7"/>
      <c r="D77" s="7"/>
      <c r="E77" s="7"/>
      <c r="F77" s="7"/>
      <c r="G77" s="7"/>
      <c r="H77" s="7">
        <f t="shared" si="35"/>
        <v>0</v>
      </c>
      <c r="I77" s="159">
        <f t="shared" si="36"/>
        <v>0</v>
      </c>
      <c r="J77" s="159">
        <f t="shared" si="37"/>
        <v>0</v>
      </c>
      <c r="K77" s="13" t="s">
        <v>142</v>
      </c>
      <c r="L77" s="110">
        <v>2</v>
      </c>
      <c r="M77" s="7">
        <f>'WCLA Consolidated MTEF Budget'!N77</f>
        <v>0</v>
      </c>
      <c r="N77" s="7">
        <v>0</v>
      </c>
      <c r="O77" s="7">
        <v>0</v>
      </c>
      <c r="P77" s="203"/>
      <c r="Q77" s="7">
        <f t="shared" si="41"/>
        <v>0</v>
      </c>
      <c r="R77" s="7">
        <v>0</v>
      </c>
      <c r="S77" s="7">
        <f t="shared" si="38"/>
        <v>0</v>
      </c>
      <c r="T77" s="7">
        <f t="shared" si="16"/>
        <v>0</v>
      </c>
      <c r="U77" s="159">
        <f t="shared" si="39"/>
        <v>0</v>
      </c>
      <c r="V77" s="159">
        <f t="shared" si="40"/>
        <v>0</v>
      </c>
    </row>
    <row r="78" spans="1:23" x14ac:dyDescent="0.3">
      <c r="A78" s="7">
        <f>'WCLA Consolidated MTEF Budget'!F78</f>
        <v>0</v>
      </c>
      <c r="B78" s="7">
        <f t="shared" si="34"/>
        <v>0</v>
      </c>
      <c r="C78" s="7"/>
      <c r="D78" s="7"/>
      <c r="E78" s="7"/>
      <c r="F78" s="7"/>
      <c r="G78" s="7"/>
      <c r="H78" s="7">
        <f t="shared" si="35"/>
        <v>0</v>
      </c>
      <c r="I78" s="159">
        <f t="shared" si="36"/>
        <v>0</v>
      </c>
      <c r="J78" s="159">
        <f t="shared" si="37"/>
        <v>0</v>
      </c>
      <c r="K78" s="13" t="s">
        <v>143</v>
      </c>
      <c r="L78" s="110">
        <v>2</v>
      </c>
      <c r="M78" s="7">
        <f>'WCLA Consolidated MTEF Budget'!N78</f>
        <v>0</v>
      </c>
      <c r="N78" s="7">
        <v>0</v>
      </c>
      <c r="O78" s="7">
        <v>0</v>
      </c>
      <c r="P78" s="203"/>
      <c r="Q78" s="7">
        <f t="shared" si="41"/>
        <v>0</v>
      </c>
      <c r="R78" s="7">
        <v>0</v>
      </c>
      <c r="S78" s="7">
        <f t="shared" si="38"/>
        <v>0</v>
      </c>
      <c r="T78" s="7">
        <f t="shared" si="16"/>
        <v>0</v>
      </c>
      <c r="U78" s="159">
        <f t="shared" si="39"/>
        <v>0</v>
      </c>
      <c r="V78" s="159">
        <f t="shared" si="40"/>
        <v>0</v>
      </c>
    </row>
    <row r="79" spans="1:23" x14ac:dyDescent="0.3">
      <c r="A79" s="7">
        <f>'WCLA Consolidated MTEF Budget'!F79</f>
        <v>8732.9840000000004</v>
      </c>
      <c r="B79" s="7">
        <f t="shared" si="34"/>
        <v>8333.3333333333339</v>
      </c>
      <c r="C79" s="7"/>
      <c r="D79" s="7"/>
      <c r="E79" s="7"/>
      <c r="F79" s="7"/>
      <c r="G79" s="7"/>
      <c r="H79" s="7">
        <f t="shared" si="35"/>
        <v>-399.65066666666644</v>
      </c>
      <c r="I79" s="159">
        <f t="shared" si="36"/>
        <v>-4.7958079999999972E-2</v>
      </c>
      <c r="J79" s="159">
        <f t="shared" si="37"/>
        <v>1.0479580799999999</v>
      </c>
      <c r="K79" s="13" t="s">
        <v>144</v>
      </c>
      <c r="L79" s="110">
        <v>2</v>
      </c>
      <c r="M79" s="7">
        <f>'WCLA Consolidated MTEF Budget'!N79</f>
        <v>87329.839999999982</v>
      </c>
      <c r="N79" s="7">
        <v>100000</v>
      </c>
      <c r="O79" s="7">
        <v>0</v>
      </c>
      <c r="P79" s="203"/>
      <c r="Q79" s="7">
        <f t="shared" si="41"/>
        <v>100000</v>
      </c>
      <c r="R79" s="7">
        <v>0</v>
      </c>
      <c r="S79" s="7">
        <f t="shared" si="38"/>
        <v>100000</v>
      </c>
      <c r="T79" s="7">
        <f t="shared" si="16"/>
        <v>-12670.160000000018</v>
      </c>
      <c r="U79" s="159">
        <f t="shared" si="39"/>
        <v>-0.12670160000000019</v>
      </c>
      <c r="V79" s="159">
        <f t="shared" si="40"/>
        <v>0.87329839999999981</v>
      </c>
    </row>
    <row r="80" spans="1:23" x14ac:dyDescent="0.3">
      <c r="A80" s="7">
        <f>'WCLA Consolidated MTEF Budget'!F80</f>
        <v>0</v>
      </c>
      <c r="B80" s="7">
        <f t="shared" si="34"/>
        <v>0</v>
      </c>
      <c r="C80" s="7"/>
      <c r="D80" s="7"/>
      <c r="E80" s="7"/>
      <c r="F80" s="7"/>
      <c r="G80" s="7"/>
      <c r="H80" s="7">
        <f t="shared" si="35"/>
        <v>0</v>
      </c>
      <c r="I80" s="159">
        <f t="shared" si="36"/>
        <v>0</v>
      </c>
      <c r="J80" s="159">
        <f t="shared" si="37"/>
        <v>0</v>
      </c>
      <c r="K80" s="13" t="s">
        <v>145</v>
      </c>
      <c r="L80" s="114">
        <v>7</v>
      </c>
      <c r="M80" s="7">
        <f>'WCLA Consolidated MTEF Budget'!N80</f>
        <v>0</v>
      </c>
      <c r="N80" s="7">
        <v>0</v>
      </c>
      <c r="O80" s="7">
        <v>0</v>
      </c>
      <c r="P80" s="203"/>
      <c r="Q80" s="7">
        <f t="shared" si="41"/>
        <v>0</v>
      </c>
      <c r="R80" s="7">
        <v>0</v>
      </c>
      <c r="S80" s="7">
        <f t="shared" si="38"/>
        <v>0</v>
      </c>
      <c r="T80" s="7">
        <f t="shared" si="16"/>
        <v>0</v>
      </c>
      <c r="U80" s="159">
        <f t="shared" si="39"/>
        <v>0</v>
      </c>
      <c r="V80" s="159">
        <f t="shared" si="40"/>
        <v>0</v>
      </c>
    </row>
    <row r="81" spans="1:23" x14ac:dyDescent="0.3">
      <c r="A81" s="7">
        <f>'WCLA Consolidated MTEF Budget'!F81</f>
        <v>0</v>
      </c>
      <c r="B81" s="7">
        <f t="shared" si="34"/>
        <v>15416.666666666666</v>
      </c>
      <c r="C81" s="7"/>
      <c r="D81" s="7"/>
      <c r="E81" s="7"/>
      <c r="F81" s="7"/>
      <c r="G81" s="7"/>
      <c r="H81" s="7">
        <f t="shared" si="35"/>
        <v>15416.666666666666</v>
      </c>
      <c r="I81" s="159">
        <f t="shared" si="36"/>
        <v>1</v>
      </c>
      <c r="J81" s="159">
        <f t="shared" si="37"/>
        <v>0</v>
      </c>
      <c r="K81" s="16" t="s">
        <v>146</v>
      </c>
      <c r="L81" s="110">
        <v>1</v>
      </c>
      <c r="M81" s="7">
        <f>'WCLA Consolidated MTEF Budget'!N81</f>
        <v>75554.470079999999</v>
      </c>
      <c r="N81" s="7">
        <v>185000</v>
      </c>
      <c r="O81" s="7">
        <v>0</v>
      </c>
      <c r="P81" s="203"/>
      <c r="Q81" s="7">
        <f t="shared" si="41"/>
        <v>185000</v>
      </c>
      <c r="R81" s="7">
        <v>0</v>
      </c>
      <c r="S81" s="7">
        <f t="shared" si="38"/>
        <v>185000</v>
      </c>
      <c r="T81" s="7">
        <f t="shared" si="16"/>
        <v>-109445.52992</v>
      </c>
      <c r="U81" s="159">
        <f t="shared" si="39"/>
        <v>-0.59159745902702698</v>
      </c>
      <c r="V81" s="159">
        <f t="shared" si="40"/>
        <v>0.40840254097297296</v>
      </c>
    </row>
    <row r="82" spans="1:23" x14ac:dyDescent="0.3">
      <c r="A82" s="7">
        <f>'WCLA Consolidated MTEF Budget'!F82</f>
        <v>126291.33600000001</v>
      </c>
      <c r="B82" s="7">
        <f t="shared" si="34"/>
        <v>13859.1519885</v>
      </c>
      <c r="C82" s="7"/>
      <c r="D82" s="7"/>
      <c r="E82" s="7"/>
      <c r="F82" s="7"/>
      <c r="G82" s="7"/>
      <c r="H82" s="7">
        <f t="shared" si="35"/>
        <v>-112432.18401150001</v>
      </c>
      <c r="I82" s="159">
        <f t="shared" si="36"/>
        <v>-8.1124865435340929</v>
      </c>
      <c r="J82" s="159">
        <f t="shared" si="37"/>
        <v>9.1124865435340929</v>
      </c>
      <c r="K82" s="16" t="s">
        <v>147</v>
      </c>
      <c r="L82" s="110">
        <v>7</v>
      </c>
      <c r="M82" s="7">
        <f>'WCLA Consolidated MTEF Budget'!N82</f>
        <v>1262913.3600000003</v>
      </c>
      <c r="N82" s="7">
        <v>166309.82386199999</v>
      </c>
      <c r="O82" s="7">
        <v>0</v>
      </c>
      <c r="P82" s="203"/>
      <c r="Q82" s="7">
        <f t="shared" si="41"/>
        <v>166309.82386199999</v>
      </c>
      <c r="R82" s="7">
        <v>0</v>
      </c>
      <c r="S82" s="7">
        <f t="shared" si="38"/>
        <v>166309.82386199999</v>
      </c>
      <c r="T82" s="7">
        <f t="shared" si="16"/>
        <v>1096603.5361380004</v>
      </c>
      <c r="U82" s="159">
        <f t="shared" si="39"/>
        <v>6.5937387862784131</v>
      </c>
      <c r="V82" s="159">
        <f t="shared" si="40"/>
        <v>7.5937387862784123</v>
      </c>
    </row>
    <row r="83" spans="1:23" x14ac:dyDescent="0.3">
      <c r="A83" s="7">
        <f>'WCLA Consolidated MTEF Budget'!F83</f>
        <v>0</v>
      </c>
      <c r="B83" s="7">
        <f t="shared" si="34"/>
        <v>0</v>
      </c>
      <c r="C83" s="7"/>
      <c r="D83" s="7"/>
      <c r="E83" s="7"/>
      <c r="F83" s="7"/>
      <c r="G83" s="7"/>
      <c r="H83" s="7">
        <f t="shared" si="35"/>
        <v>0</v>
      </c>
      <c r="I83" s="159">
        <f t="shared" si="36"/>
        <v>0</v>
      </c>
      <c r="J83" s="159">
        <f t="shared" si="37"/>
        <v>0</v>
      </c>
      <c r="K83" s="16" t="s">
        <v>148</v>
      </c>
      <c r="L83" s="110">
        <v>7</v>
      </c>
      <c r="M83" s="7">
        <f>'WCLA Consolidated MTEF Budget'!N83</f>
        <v>0</v>
      </c>
      <c r="N83" s="7">
        <v>0</v>
      </c>
      <c r="O83" s="7">
        <v>0</v>
      </c>
      <c r="P83" s="203"/>
      <c r="Q83" s="7">
        <f t="shared" si="41"/>
        <v>0</v>
      </c>
      <c r="R83" s="7">
        <v>0</v>
      </c>
      <c r="S83" s="7">
        <f t="shared" si="38"/>
        <v>0</v>
      </c>
      <c r="T83" s="7">
        <f t="shared" si="16"/>
        <v>0</v>
      </c>
      <c r="U83" s="159">
        <f t="shared" si="39"/>
        <v>0</v>
      </c>
      <c r="V83" s="159">
        <f t="shared" si="40"/>
        <v>0</v>
      </c>
    </row>
    <row r="84" spans="1:23" x14ac:dyDescent="0.3">
      <c r="A84" s="7">
        <f>'WCLA Consolidated MTEF Budget'!F84</f>
        <v>0</v>
      </c>
      <c r="B84" s="7">
        <f t="shared" si="34"/>
        <v>0</v>
      </c>
      <c r="C84" s="7"/>
      <c r="D84" s="7"/>
      <c r="E84" s="7"/>
      <c r="F84" s="7"/>
      <c r="G84" s="7"/>
      <c r="H84" s="7">
        <f t="shared" si="35"/>
        <v>0</v>
      </c>
      <c r="I84" s="159">
        <f t="shared" si="36"/>
        <v>0</v>
      </c>
      <c r="J84" s="159">
        <f t="shared" si="37"/>
        <v>0</v>
      </c>
      <c r="K84" s="13" t="s">
        <v>149</v>
      </c>
      <c r="L84" s="110">
        <v>6</v>
      </c>
      <c r="M84" s="7">
        <f>'WCLA Consolidated MTEF Budget'!N84</f>
        <v>0</v>
      </c>
      <c r="N84" s="7">
        <v>0</v>
      </c>
      <c r="O84" s="7">
        <v>0</v>
      </c>
      <c r="P84" s="203"/>
      <c r="Q84" s="7">
        <f t="shared" si="41"/>
        <v>0</v>
      </c>
      <c r="R84" s="7">
        <v>0</v>
      </c>
      <c r="S84" s="7">
        <f t="shared" si="38"/>
        <v>0</v>
      </c>
      <c r="T84" s="7">
        <f t="shared" ref="T84:T147" si="42">M84-S84</f>
        <v>0</v>
      </c>
      <c r="U84" s="159">
        <f t="shared" si="39"/>
        <v>0</v>
      </c>
      <c r="V84" s="159">
        <f t="shared" si="40"/>
        <v>0</v>
      </c>
    </row>
    <row r="85" spans="1:23" x14ac:dyDescent="0.3">
      <c r="A85" s="7">
        <f>'WCLA Consolidated MTEF Budget'!F85</f>
        <v>0</v>
      </c>
      <c r="B85" s="7">
        <f t="shared" si="34"/>
        <v>0</v>
      </c>
      <c r="C85" s="7"/>
      <c r="D85" s="7"/>
      <c r="E85" s="7"/>
      <c r="F85" s="7"/>
      <c r="G85" s="7"/>
      <c r="H85" s="7">
        <f t="shared" si="35"/>
        <v>0</v>
      </c>
      <c r="I85" s="159">
        <f t="shared" si="36"/>
        <v>0</v>
      </c>
      <c r="J85" s="159">
        <f t="shared" si="37"/>
        <v>0</v>
      </c>
      <c r="K85" s="13" t="s">
        <v>150</v>
      </c>
      <c r="L85" s="110">
        <v>2</v>
      </c>
      <c r="M85" s="7">
        <f>'WCLA Consolidated MTEF Budget'!N85</f>
        <v>0</v>
      </c>
      <c r="N85" s="7">
        <v>0</v>
      </c>
      <c r="O85" s="7">
        <v>0</v>
      </c>
      <c r="P85" s="203"/>
      <c r="Q85" s="7">
        <f t="shared" si="41"/>
        <v>0</v>
      </c>
      <c r="R85" s="7">
        <v>0</v>
      </c>
      <c r="S85" s="7">
        <f t="shared" si="38"/>
        <v>0</v>
      </c>
      <c r="T85" s="7">
        <f t="shared" si="42"/>
        <v>0</v>
      </c>
      <c r="U85" s="159">
        <f t="shared" si="39"/>
        <v>0</v>
      </c>
      <c r="V85" s="159">
        <f t="shared" si="40"/>
        <v>0</v>
      </c>
    </row>
    <row r="86" spans="1:23" x14ac:dyDescent="0.3">
      <c r="A86" s="7">
        <f>'WCLA Consolidated MTEF Budget'!F86</f>
        <v>0</v>
      </c>
      <c r="B86" s="7">
        <f t="shared" si="34"/>
        <v>0</v>
      </c>
      <c r="C86" s="7"/>
      <c r="D86" s="7"/>
      <c r="E86" s="7"/>
      <c r="F86" s="7"/>
      <c r="G86" s="7"/>
      <c r="H86" s="7">
        <f t="shared" si="35"/>
        <v>0</v>
      </c>
      <c r="I86" s="159">
        <f t="shared" si="36"/>
        <v>0</v>
      </c>
      <c r="J86" s="159">
        <f t="shared" si="37"/>
        <v>0</v>
      </c>
      <c r="K86" s="13" t="s">
        <v>151</v>
      </c>
      <c r="L86" s="110">
        <v>7</v>
      </c>
      <c r="M86" s="7">
        <f>'WCLA Consolidated MTEF Budget'!N86</f>
        <v>0</v>
      </c>
      <c r="N86" s="7">
        <v>0</v>
      </c>
      <c r="O86" s="7">
        <v>0</v>
      </c>
      <c r="P86" s="203"/>
      <c r="Q86" s="7">
        <f t="shared" si="41"/>
        <v>0</v>
      </c>
      <c r="R86" s="7">
        <v>0</v>
      </c>
      <c r="S86" s="7">
        <f t="shared" si="38"/>
        <v>0</v>
      </c>
      <c r="T86" s="7">
        <f t="shared" si="42"/>
        <v>0</v>
      </c>
      <c r="U86" s="159">
        <f t="shared" si="39"/>
        <v>0</v>
      </c>
      <c r="V86" s="159">
        <f t="shared" si="40"/>
        <v>0</v>
      </c>
    </row>
    <row r="87" spans="1:23" x14ac:dyDescent="0.3">
      <c r="A87" s="7">
        <f>'WCLA Consolidated MTEF Budget'!F87</f>
        <v>4318.808</v>
      </c>
      <c r="B87" s="7">
        <f t="shared" si="34"/>
        <v>0</v>
      </c>
      <c r="C87" s="7"/>
      <c r="D87" s="7"/>
      <c r="E87" s="7"/>
      <c r="F87" s="7"/>
      <c r="G87" s="7"/>
      <c r="H87" s="7">
        <f t="shared" si="35"/>
        <v>-4318.808</v>
      </c>
      <c r="I87" s="159">
        <f t="shared" si="36"/>
        <v>0</v>
      </c>
      <c r="J87" s="159">
        <f t="shared" si="37"/>
        <v>0</v>
      </c>
      <c r="K87" s="13" t="s">
        <v>152</v>
      </c>
      <c r="L87" s="110">
        <v>6</v>
      </c>
      <c r="M87" s="7">
        <f>'WCLA Consolidated MTEF Budget'!N87</f>
        <v>43188.079999999994</v>
      </c>
      <c r="N87" s="7">
        <v>0</v>
      </c>
      <c r="O87" s="7">
        <v>0</v>
      </c>
      <c r="P87" s="203"/>
      <c r="Q87" s="7">
        <f t="shared" si="41"/>
        <v>0</v>
      </c>
      <c r="R87" s="7">
        <v>0</v>
      </c>
      <c r="S87" s="7">
        <f t="shared" si="38"/>
        <v>0</v>
      </c>
      <c r="T87" s="7">
        <f t="shared" si="42"/>
        <v>43188.079999999994</v>
      </c>
      <c r="U87" s="159">
        <f t="shared" si="39"/>
        <v>0</v>
      </c>
      <c r="V87" s="159">
        <f t="shared" si="40"/>
        <v>0</v>
      </c>
    </row>
    <row r="88" spans="1:23" x14ac:dyDescent="0.3">
      <c r="A88" s="7">
        <f>'WCLA Consolidated MTEF Budget'!F88</f>
        <v>0</v>
      </c>
      <c r="B88" s="7">
        <f t="shared" si="34"/>
        <v>1341.9468810247499</v>
      </c>
      <c r="C88" s="7"/>
      <c r="D88" s="7"/>
      <c r="E88" s="7"/>
      <c r="F88" s="7"/>
      <c r="G88" s="7"/>
      <c r="H88" s="7">
        <f t="shared" si="35"/>
        <v>1341.9468810247499</v>
      </c>
      <c r="I88" s="159">
        <f t="shared" si="36"/>
        <v>1</v>
      </c>
      <c r="J88" s="159">
        <f t="shared" si="37"/>
        <v>0</v>
      </c>
      <c r="K88" s="13" t="s">
        <v>153</v>
      </c>
      <c r="L88" s="110">
        <v>2</v>
      </c>
      <c r="M88" s="7">
        <f>'WCLA Consolidated MTEF Budget'!N88</f>
        <v>0</v>
      </c>
      <c r="N88" s="7">
        <v>16103.362572296999</v>
      </c>
      <c r="O88" s="7">
        <v>0</v>
      </c>
      <c r="P88" s="203"/>
      <c r="Q88" s="7">
        <f t="shared" si="41"/>
        <v>16103.362572296999</v>
      </c>
      <c r="R88" s="7">
        <v>0</v>
      </c>
      <c r="S88" s="7">
        <f t="shared" si="38"/>
        <v>16103.362572296999</v>
      </c>
      <c r="T88" s="7">
        <f t="shared" si="42"/>
        <v>-16103.362572296999</v>
      </c>
      <c r="U88" s="159">
        <f t="shared" si="39"/>
        <v>-1</v>
      </c>
      <c r="V88" s="159">
        <f t="shared" si="40"/>
        <v>0</v>
      </c>
    </row>
    <row r="89" spans="1:23" x14ac:dyDescent="0.3">
      <c r="A89" s="11">
        <f>'WCLA Consolidated MTEF Budget'!F89</f>
        <v>0</v>
      </c>
      <c r="B89" s="11">
        <f t="shared" si="34"/>
        <v>0</v>
      </c>
      <c r="C89" s="11"/>
      <c r="D89" s="11"/>
      <c r="E89" s="11"/>
      <c r="F89" s="11"/>
      <c r="G89" s="11"/>
      <c r="H89" s="11">
        <f t="shared" si="35"/>
        <v>0</v>
      </c>
      <c r="I89" s="160">
        <f t="shared" si="36"/>
        <v>0</v>
      </c>
      <c r="J89" s="160">
        <f t="shared" si="37"/>
        <v>0</v>
      </c>
      <c r="K89" s="16" t="s">
        <v>154</v>
      </c>
      <c r="L89" s="110">
        <v>5</v>
      </c>
      <c r="M89" s="11">
        <f>'WCLA Consolidated MTEF Budget'!N89</f>
        <v>0</v>
      </c>
      <c r="N89" s="11">
        <v>0</v>
      </c>
      <c r="O89" s="11">
        <v>0</v>
      </c>
      <c r="P89" s="321"/>
      <c r="Q89" s="11">
        <f t="shared" si="41"/>
        <v>0</v>
      </c>
      <c r="R89" s="11">
        <v>0</v>
      </c>
      <c r="S89" s="11">
        <f t="shared" si="38"/>
        <v>0</v>
      </c>
      <c r="T89" s="11">
        <f t="shared" si="42"/>
        <v>0</v>
      </c>
      <c r="U89" s="160">
        <f t="shared" si="39"/>
        <v>0</v>
      </c>
      <c r="V89" s="160">
        <f t="shared" si="40"/>
        <v>0</v>
      </c>
    </row>
    <row r="90" spans="1:23" s="18" customFormat="1" ht="4.2" customHeight="1" thickBot="1" x14ac:dyDescent="0.35">
      <c r="A90" s="91"/>
      <c r="B90" s="91"/>
      <c r="C90" s="91"/>
      <c r="D90" s="91"/>
      <c r="E90" s="91"/>
      <c r="F90" s="91"/>
      <c r="G90" s="91"/>
      <c r="H90" s="91"/>
      <c r="I90" s="92"/>
      <c r="J90" s="92"/>
      <c r="K90" s="13"/>
      <c r="L90" s="110"/>
      <c r="M90" s="94"/>
      <c r="N90" s="94"/>
      <c r="O90" s="94"/>
      <c r="P90" s="326"/>
      <c r="Q90" s="94">
        <f t="shared" si="41"/>
        <v>0</v>
      </c>
      <c r="R90" s="94"/>
      <c r="S90" s="94">
        <f t="shared" si="38"/>
        <v>0</v>
      </c>
      <c r="T90" s="94">
        <f t="shared" si="42"/>
        <v>0</v>
      </c>
      <c r="U90" s="163">
        <f t="shared" si="39"/>
        <v>0</v>
      </c>
      <c r="V90" s="163">
        <f t="shared" si="40"/>
        <v>0</v>
      </c>
      <c r="W90" s="317"/>
    </row>
    <row r="91" spans="1:23" s="18" customFormat="1" x14ac:dyDescent="0.3">
      <c r="A91" s="4">
        <f>SUM(A67:A89)</f>
        <v>944978.95044629998</v>
      </c>
      <c r="B91" s="4">
        <f>SUM(B67:B89)</f>
        <v>500940.409823108</v>
      </c>
      <c r="C91" s="4"/>
      <c r="D91" s="4"/>
      <c r="E91" s="4"/>
      <c r="F91" s="4"/>
      <c r="G91" s="4"/>
      <c r="H91" s="4">
        <f>B91-A91</f>
        <v>-444038.54062319198</v>
      </c>
      <c r="I91" s="162">
        <f t="shared" ref="I91" si="43">IFERROR(H91/B91,)</f>
        <v>-0.88640990408418197</v>
      </c>
      <c r="J91" s="162">
        <f>IFERROR(A91/B91,)</f>
        <v>1.886409904084182</v>
      </c>
      <c r="K91" s="13" t="s">
        <v>155</v>
      </c>
      <c r="L91" s="111"/>
      <c r="M91" s="4">
        <f>SUM(M67:M89)</f>
        <v>6322567.5745430002</v>
      </c>
      <c r="N91" s="4">
        <f>SUM(N67:N89)</f>
        <v>6011284.9178772969</v>
      </c>
      <c r="O91" s="4">
        <f t="shared" ref="O91" si="44">SUM(O67:O89)</f>
        <v>0</v>
      </c>
      <c r="P91" s="324"/>
      <c r="Q91" s="4">
        <f t="shared" si="41"/>
        <v>6011284.9178772969</v>
      </c>
      <c r="R91" s="4">
        <f t="shared" ref="R91" si="45">SUM(R67:R89)</f>
        <v>0</v>
      </c>
      <c r="S91" s="4">
        <f t="shared" si="38"/>
        <v>6011284.9178772969</v>
      </c>
      <c r="T91" s="4">
        <f>M91-S91</f>
        <v>311282.65666570328</v>
      </c>
      <c r="U91" s="162">
        <f t="shared" si="39"/>
        <v>5.1783048203215651E-2</v>
      </c>
      <c r="V91" s="162">
        <f t="shared" si="40"/>
        <v>1.0517830482032156</v>
      </c>
      <c r="W91" s="317"/>
    </row>
    <row r="92" spans="1:23" ht="1.5" customHeight="1" x14ac:dyDescent="0.3">
      <c r="A92" s="87"/>
      <c r="B92" s="87"/>
      <c r="C92" s="86"/>
      <c r="D92" s="86"/>
      <c r="E92" s="86"/>
      <c r="F92" s="87"/>
      <c r="G92" s="87"/>
      <c r="H92" s="87"/>
      <c r="I92" s="84"/>
      <c r="J92" s="84"/>
      <c r="K92" s="80"/>
      <c r="L92" s="110"/>
      <c r="M92" s="82"/>
      <c r="N92" s="82"/>
      <c r="O92" s="82"/>
      <c r="P92" s="325"/>
      <c r="Q92" s="82">
        <f t="shared" si="41"/>
        <v>0</v>
      </c>
      <c r="R92" s="82"/>
      <c r="S92" s="82">
        <f t="shared" si="38"/>
        <v>0</v>
      </c>
      <c r="T92" s="82">
        <f t="shared" si="42"/>
        <v>0</v>
      </c>
      <c r="U92" s="161">
        <f t="shared" si="39"/>
        <v>0</v>
      </c>
      <c r="V92" s="161">
        <f t="shared" si="40"/>
        <v>0</v>
      </c>
    </row>
    <row r="93" spans="1:23" x14ac:dyDescent="0.3">
      <c r="A93" s="8">
        <f>'WCLA Consolidated MTEF Budget'!F93</f>
        <v>3806.3360000000002</v>
      </c>
      <c r="B93" s="8">
        <f t="shared" ref="B93:B100" si="46">N93/12</f>
        <v>14828.461611166667</v>
      </c>
      <c r="C93" s="8"/>
      <c r="D93" s="8"/>
      <c r="E93" s="8"/>
      <c r="F93" s="8"/>
      <c r="G93" s="8"/>
      <c r="H93" s="8">
        <f t="shared" ref="H93:H100" si="47">B93-A93</f>
        <v>11022.125611166666</v>
      </c>
      <c r="I93" s="158">
        <f t="shared" ref="I93:I100" si="48">IFERROR(H93/B93,)</f>
        <v>0.74330877337042056</v>
      </c>
      <c r="J93" s="158">
        <f t="shared" ref="J93:J100" si="49">IFERROR(A93/B93,)</f>
        <v>0.25669122662957933</v>
      </c>
      <c r="K93" s="16" t="s">
        <v>156</v>
      </c>
      <c r="L93" s="110" t="s">
        <v>157</v>
      </c>
      <c r="M93" s="8">
        <f>'WCLA Consolidated MTEF Budget'!N93</f>
        <v>40641.440000000002</v>
      </c>
      <c r="N93" s="8">
        <v>177941.539334</v>
      </c>
      <c r="O93" s="8">
        <v>0</v>
      </c>
      <c r="P93" s="183"/>
      <c r="Q93" s="8">
        <f t="shared" si="41"/>
        <v>177941.539334</v>
      </c>
      <c r="R93" s="8">
        <v>0</v>
      </c>
      <c r="S93" s="8">
        <f t="shared" si="38"/>
        <v>177941.539334</v>
      </c>
      <c r="T93" s="8">
        <f t="shared" si="42"/>
        <v>-137300.099334</v>
      </c>
      <c r="U93" s="158">
        <f t="shared" si="39"/>
        <v>-0.77160229054939689</v>
      </c>
      <c r="V93" s="158">
        <f t="shared" si="40"/>
        <v>0.22839770945060314</v>
      </c>
    </row>
    <row r="94" spans="1:23" x14ac:dyDescent="0.3">
      <c r="A94" s="7">
        <f>'WCLA Consolidated MTEF Budget'!F94</f>
        <v>4641.4369212393303</v>
      </c>
      <c r="B94" s="7">
        <f t="shared" si="46"/>
        <v>6095.3323567500001</v>
      </c>
      <c r="C94" s="7"/>
      <c r="D94" s="7"/>
      <c r="E94" s="7"/>
      <c r="F94" s="7"/>
      <c r="G94" s="7"/>
      <c r="H94" s="7">
        <f t="shared" si="47"/>
        <v>1453.8954355106698</v>
      </c>
      <c r="I94" s="159">
        <f t="shared" si="48"/>
        <v>0.23852603113604118</v>
      </c>
      <c r="J94" s="159">
        <f t="shared" si="49"/>
        <v>0.76147396886395879</v>
      </c>
      <c r="K94" s="13" t="s">
        <v>158</v>
      </c>
      <c r="L94" s="110" t="s">
        <v>157</v>
      </c>
      <c r="M94" s="7">
        <f>'WCLA Consolidated MTEF Budget'!N94</f>
        <v>47326.129212393294</v>
      </c>
      <c r="N94" s="7">
        <v>73143.988280999998</v>
      </c>
      <c r="O94" s="7">
        <v>0</v>
      </c>
      <c r="P94" s="203"/>
      <c r="Q94" s="7">
        <f t="shared" si="41"/>
        <v>73143.988280999998</v>
      </c>
      <c r="R94" s="7">
        <v>0</v>
      </c>
      <c r="S94" s="7">
        <f t="shared" si="38"/>
        <v>73143.988280999998</v>
      </c>
      <c r="T94" s="7">
        <f t="shared" si="42"/>
        <v>-25817.859068606704</v>
      </c>
      <c r="U94" s="159">
        <f t="shared" si="39"/>
        <v>-0.35297308330277627</v>
      </c>
      <c r="V94" s="159">
        <f t="shared" si="40"/>
        <v>0.64702691669722368</v>
      </c>
    </row>
    <row r="95" spans="1:23" x14ac:dyDescent="0.3">
      <c r="A95" s="7">
        <f>'WCLA Consolidated MTEF Budget'!F95</f>
        <v>0</v>
      </c>
      <c r="B95" s="7">
        <f t="shared" si="46"/>
        <v>0</v>
      </c>
      <c r="C95" s="7"/>
      <c r="D95" s="7"/>
      <c r="E95" s="7"/>
      <c r="F95" s="7"/>
      <c r="G95" s="7"/>
      <c r="H95" s="7">
        <f t="shared" si="47"/>
        <v>0</v>
      </c>
      <c r="I95" s="159">
        <f t="shared" si="48"/>
        <v>0</v>
      </c>
      <c r="J95" s="159">
        <f t="shared" si="49"/>
        <v>0</v>
      </c>
      <c r="K95" s="13" t="s">
        <v>159</v>
      </c>
      <c r="L95" s="110" t="s">
        <v>157</v>
      </c>
      <c r="M95" s="7">
        <f>'WCLA Consolidated MTEF Budget'!N95</f>
        <v>0</v>
      </c>
      <c r="N95" s="7">
        <v>0</v>
      </c>
      <c r="O95" s="7">
        <v>0</v>
      </c>
      <c r="P95" s="203"/>
      <c r="Q95" s="7">
        <f t="shared" si="41"/>
        <v>0</v>
      </c>
      <c r="R95" s="7">
        <v>0</v>
      </c>
      <c r="S95" s="7">
        <f t="shared" si="38"/>
        <v>0</v>
      </c>
      <c r="T95" s="7">
        <f t="shared" si="42"/>
        <v>0</v>
      </c>
      <c r="U95" s="159">
        <f t="shared" si="39"/>
        <v>0</v>
      </c>
      <c r="V95" s="159">
        <f t="shared" si="40"/>
        <v>0</v>
      </c>
    </row>
    <row r="96" spans="1:23" x14ac:dyDescent="0.3">
      <c r="A96" s="7">
        <f>'WCLA Consolidated MTEF Budget'!F96</f>
        <v>1210.4399999999998</v>
      </c>
      <c r="B96" s="7">
        <f t="shared" si="46"/>
        <v>907.91213174999996</v>
      </c>
      <c r="C96" s="7"/>
      <c r="D96" s="7"/>
      <c r="E96" s="7"/>
      <c r="F96" s="7"/>
      <c r="G96" s="7"/>
      <c r="H96" s="7">
        <f t="shared" si="47"/>
        <v>-302.52786824999987</v>
      </c>
      <c r="I96" s="159">
        <f t="shared" si="48"/>
        <v>-0.33321271703559863</v>
      </c>
      <c r="J96" s="159">
        <f t="shared" si="49"/>
        <v>1.3332127170355985</v>
      </c>
      <c r="K96" s="13" t="s">
        <v>160</v>
      </c>
      <c r="L96" s="110" t="s">
        <v>157</v>
      </c>
      <c r="M96" s="7">
        <f>'WCLA Consolidated MTEF Budget'!N96</f>
        <v>12104.4</v>
      </c>
      <c r="N96" s="7">
        <v>10894.945581</v>
      </c>
      <c r="O96" s="7">
        <v>0</v>
      </c>
      <c r="P96" s="203"/>
      <c r="Q96" s="7">
        <f t="shared" si="41"/>
        <v>10894.945581</v>
      </c>
      <c r="R96" s="7">
        <v>0</v>
      </c>
      <c r="S96" s="7">
        <f t="shared" si="38"/>
        <v>10894.945581</v>
      </c>
      <c r="T96" s="7">
        <f t="shared" si="42"/>
        <v>1209.4544189999997</v>
      </c>
      <c r="U96" s="159">
        <f t="shared" si="39"/>
        <v>0.11101059752966559</v>
      </c>
      <c r="V96" s="159">
        <f t="shared" si="40"/>
        <v>1.1110105975296656</v>
      </c>
    </row>
    <row r="97" spans="1:23" x14ac:dyDescent="0.3">
      <c r="A97" s="7">
        <f>'WCLA Consolidated MTEF Budget'!F97</f>
        <v>15157.224</v>
      </c>
      <c r="B97" s="7">
        <f t="shared" si="46"/>
        <v>15332.79300345</v>
      </c>
      <c r="C97" s="7"/>
      <c r="D97" s="7"/>
      <c r="E97" s="7"/>
      <c r="F97" s="7"/>
      <c r="G97" s="7"/>
      <c r="H97" s="7">
        <f t="shared" si="47"/>
        <v>175.56900345000031</v>
      </c>
      <c r="I97" s="159">
        <f t="shared" si="48"/>
        <v>1.1450555903969739E-2</v>
      </c>
      <c r="J97" s="159">
        <f t="shared" si="49"/>
        <v>0.98854944409603029</v>
      </c>
      <c r="K97" s="13" t="s">
        <v>161</v>
      </c>
      <c r="L97" s="110">
        <v>5</v>
      </c>
      <c r="M97" s="7">
        <f>'WCLA Consolidated MTEF Budget'!N97</f>
        <v>151572.24</v>
      </c>
      <c r="N97" s="7">
        <v>183993.5160414</v>
      </c>
      <c r="O97" s="7">
        <v>0</v>
      </c>
      <c r="P97" s="203"/>
      <c r="Q97" s="7">
        <f t="shared" si="41"/>
        <v>183993.5160414</v>
      </c>
      <c r="R97" s="7">
        <v>0</v>
      </c>
      <c r="S97" s="7">
        <f t="shared" si="38"/>
        <v>183993.5160414</v>
      </c>
      <c r="T97" s="7">
        <f t="shared" si="42"/>
        <v>-32421.276041400008</v>
      </c>
      <c r="U97" s="159">
        <f t="shared" si="39"/>
        <v>-0.17620879658664149</v>
      </c>
      <c r="V97" s="159">
        <f t="shared" si="40"/>
        <v>0.82379120341335854</v>
      </c>
    </row>
    <row r="98" spans="1:23" x14ac:dyDescent="0.3">
      <c r="A98" s="7">
        <f>'WCLA Consolidated MTEF Budget'!F98</f>
        <v>442.25600000000009</v>
      </c>
      <c r="B98" s="7">
        <f t="shared" si="46"/>
        <v>963.41347045833334</v>
      </c>
      <c r="C98" s="7"/>
      <c r="D98" s="7"/>
      <c r="E98" s="7"/>
      <c r="F98" s="7"/>
      <c r="G98" s="7"/>
      <c r="H98" s="7">
        <f t="shared" si="47"/>
        <v>521.15747045833325</v>
      </c>
      <c r="I98" s="159">
        <f t="shared" si="48"/>
        <v>0.54094891387640487</v>
      </c>
      <c r="J98" s="159">
        <f t="shared" si="49"/>
        <v>0.45905108612359519</v>
      </c>
      <c r="K98" s="13" t="s">
        <v>162</v>
      </c>
      <c r="L98" s="110">
        <v>5</v>
      </c>
      <c r="M98" s="7">
        <f>'WCLA Consolidated MTEF Budget'!N98</f>
        <v>4422.5600000000022</v>
      </c>
      <c r="N98" s="7">
        <v>11560.9616455</v>
      </c>
      <c r="O98" s="7">
        <v>0</v>
      </c>
      <c r="P98" s="203"/>
      <c r="Q98" s="7">
        <f t="shared" si="41"/>
        <v>11560.9616455</v>
      </c>
      <c r="R98" s="7">
        <v>0</v>
      </c>
      <c r="S98" s="7">
        <f t="shared" si="38"/>
        <v>11560.9616455</v>
      </c>
      <c r="T98" s="7">
        <f t="shared" si="42"/>
        <v>-7138.4016454999974</v>
      </c>
      <c r="U98" s="159">
        <f t="shared" si="39"/>
        <v>-0.61745742823033722</v>
      </c>
      <c r="V98" s="159">
        <f t="shared" si="40"/>
        <v>0.38254257176966278</v>
      </c>
    </row>
    <row r="99" spans="1:23" x14ac:dyDescent="0.3">
      <c r="A99" s="7">
        <f>'WCLA Consolidated MTEF Budget'!F99</f>
        <v>40422.408000000003</v>
      </c>
      <c r="B99" s="7">
        <f t="shared" si="46"/>
        <v>45134.732857499999</v>
      </c>
      <c r="C99" s="7"/>
      <c r="D99" s="7"/>
      <c r="E99" s="7"/>
      <c r="F99" s="7"/>
      <c r="G99" s="7"/>
      <c r="H99" s="7">
        <f t="shared" si="47"/>
        <v>4712.3248574999961</v>
      </c>
      <c r="I99" s="159">
        <f t="shared" si="48"/>
        <v>0.10440573277298025</v>
      </c>
      <c r="J99" s="159">
        <f t="shared" si="49"/>
        <v>0.89559426722701974</v>
      </c>
      <c r="K99" s="13" t="s">
        <v>163</v>
      </c>
      <c r="L99" s="110">
        <v>5</v>
      </c>
      <c r="M99" s="7">
        <f>'WCLA Consolidated MTEF Budget'!N99</f>
        <v>404224.08</v>
      </c>
      <c r="N99" s="7">
        <v>541616.79428999999</v>
      </c>
      <c r="O99" s="7">
        <v>0</v>
      </c>
      <c r="P99" s="203"/>
      <c r="Q99" s="7">
        <f t="shared" si="41"/>
        <v>541616.79428999999</v>
      </c>
      <c r="R99" s="7">
        <v>0</v>
      </c>
      <c r="S99" s="7">
        <f t="shared" si="38"/>
        <v>541616.79428999999</v>
      </c>
      <c r="T99" s="7">
        <f t="shared" si="42"/>
        <v>-137392.71428999997</v>
      </c>
      <c r="U99" s="159">
        <f t="shared" si="39"/>
        <v>-0.25367144397748359</v>
      </c>
      <c r="V99" s="159">
        <f t="shared" si="40"/>
        <v>0.74632855602251646</v>
      </c>
    </row>
    <row r="100" spans="1:23" x14ac:dyDescent="0.3">
      <c r="A100" s="11">
        <f>'WCLA Consolidated MTEF Budget'!F100</f>
        <v>2788.7280000000001</v>
      </c>
      <c r="B100" s="11">
        <f t="shared" si="46"/>
        <v>3855.1865771249995</v>
      </c>
      <c r="C100" s="11"/>
      <c r="D100" s="11"/>
      <c r="E100" s="11"/>
      <c r="F100" s="11"/>
      <c r="G100" s="11"/>
      <c r="H100" s="11">
        <f t="shared" si="47"/>
        <v>1066.4585771249995</v>
      </c>
      <c r="I100" s="160">
        <f t="shared" si="48"/>
        <v>0.27662956274357792</v>
      </c>
      <c r="J100" s="160">
        <f t="shared" si="49"/>
        <v>0.72337043725642203</v>
      </c>
      <c r="K100" s="16" t="s">
        <v>164</v>
      </c>
      <c r="L100" s="110" t="s">
        <v>165</v>
      </c>
      <c r="M100" s="11">
        <f>'WCLA Consolidated MTEF Budget'!N100</f>
        <v>32917.68</v>
      </c>
      <c r="N100" s="11">
        <v>46262.238925499994</v>
      </c>
      <c r="O100" s="11">
        <v>0</v>
      </c>
      <c r="P100" s="321"/>
      <c r="Q100" s="11">
        <f t="shared" si="41"/>
        <v>46262.238925499994</v>
      </c>
      <c r="R100" s="11">
        <v>0</v>
      </c>
      <c r="S100" s="11">
        <f t="shared" si="38"/>
        <v>46262.238925499994</v>
      </c>
      <c r="T100" s="11">
        <f t="shared" si="42"/>
        <v>-13344.558925499994</v>
      </c>
      <c r="U100" s="160">
        <f t="shared" si="39"/>
        <v>-0.2884546713571271</v>
      </c>
      <c r="V100" s="160">
        <f t="shared" si="40"/>
        <v>0.7115453286428729</v>
      </c>
    </row>
    <row r="101" spans="1:23" s="18" customFormat="1" ht="6" customHeight="1" thickBot="1" x14ac:dyDescent="0.35">
      <c r="A101" s="91"/>
      <c r="B101" s="91"/>
      <c r="C101" s="91"/>
      <c r="D101" s="91"/>
      <c r="E101" s="91"/>
      <c r="F101" s="91"/>
      <c r="G101" s="91"/>
      <c r="H101" s="91"/>
      <c r="I101" s="92"/>
      <c r="J101" s="92"/>
      <c r="K101" s="13"/>
      <c r="L101" s="110"/>
      <c r="M101" s="90"/>
      <c r="N101" s="90"/>
      <c r="O101" s="90"/>
      <c r="P101" s="326"/>
      <c r="Q101" s="90">
        <f t="shared" si="41"/>
        <v>0</v>
      </c>
      <c r="R101" s="90"/>
      <c r="S101" s="90">
        <f t="shared" si="38"/>
        <v>0</v>
      </c>
      <c r="T101" s="90">
        <f t="shared" si="42"/>
        <v>0</v>
      </c>
      <c r="U101" s="163">
        <f t="shared" si="39"/>
        <v>0</v>
      </c>
      <c r="V101" s="163">
        <f t="shared" si="40"/>
        <v>0</v>
      </c>
      <c r="W101" s="317"/>
    </row>
    <row r="102" spans="1:23" s="18" customFormat="1" x14ac:dyDescent="0.3">
      <c r="A102" s="4">
        <f>SUM(A93:A100)</f>
        <v>68468.828921239343</v>
      </c>
      <c r="B102" s="4">
        <f>SUM(B93:B100)</f>
        <v>87117.832008199999</v>
      </c>
      <c r="C102" s="4"/>
      <c r="D102" s="4"/>
      <c r="E102" s="4"/>
      <c r="F102" s="4"/>
      <c r="G102" s="4"/>
      <c r="H102" s="4">
        <f>B102-A102</f>
        <v>18649.003086960656</v>
      </c>
      <c r="I102" s="162">
        <f t="shared" ref="I102" si="50">IFERROR(H102/B102,)</f>
        <v>0.21406642769996057</v>
      </c>
      <c r="J102" s="162">
        <f>IFERROR(A102/B102,)</f>
        <v>0.78593357230003946</v>
      </c>
      <c r="K102" s="13" t="s">
        <v>166</v>
      </c>
      <c r="L102" s="111"/>
      <c r="M102" s="4">
        <f>SUM(M93:M100)</f>
        <v>693208.52921239333</v>
      </c>
      <c r="N102" s="4">
        <f>SUM(N93:N100)</f>
        <v>1045413.9840983999</v>
      </c>
      <c r="O102" s="4">
        <f t="shared" ref="O102" si="51">SUM(O93:O100)</f>
        <v>0</v>
      </c>
      <c r="P102" s="324"/>
      <c r="Q102" s="4">
        <f t="shared" ref="Q102:R102" si="52">SUM(Q93:Q100)</f>
        <v>1045413.9840983999</v>
      </c>
      <c r="R102" s="4">
        <f t="shared" si="52"/>
        <v>0</v>
      </c>
      <c r="S102" s="4">
        <f t="shared" si="38"/>
        <v>1045413.9840983999</v>
      </c>
      <c r="T102" s="4">
        <f>M102-S102</f>
        <v>-352205.45488600654</v>
      </c>
      <c r="U102" s="162">
        <f t="shared" si="39"/>
        <v>-0.33690524542749478</v>
      </c>
      <c r="V102" s="162">
        <f t="shared" si="40"/>
        <v>0.66309475457250522</v>
      </c>
      <c r="W102" s="317"/>
    </row>
    <row r="103" spans="1:23" ht="6" customHeight="1" x14ac:dyDescent="0.3">
      <c r="A103" s="87"/>
      <c r="B103" s="87"/>
      <c r="C103" s="86"/>
      <c r="D103" s="86"/>
      <c r="E103" s="86"/>
      <c r="F103" s="87"/>
      <c r="G103" s="87"/>
      <c r="H103" s="87"/>
      <c r="I103" s="84"/>
      <c r="J103" s="84"/>
      <c r="K103" s="80"/>
      <c r="L103" s="110"/>
      <c r="M103" s="82"/>
      <c r="N103" s="82"/>
      <c r="O103" s="82"/>
      <c r="P103" s="325"/>
      <c r="Q103" s="82">
        <f t="shared" si="41"/>
        <v>0</v>
      </c>
      <c r="R103" s="82"/>
      <c r="S103" s="82">
        <f t="shared" si="38"/>
        <v>0</v>
      </c>
      <c r="T103" s="82">
        <f t="shared" si="42"/>
        <v>0</v>
      </c>
      <c r="U103" s="161">
        <f t="shared" si="39"/>
        <v>0</v>
      </c>
      <c r="V103" s="161">
        <f t="shared" si="40"/>
        <v>0</v>
      </c>
    </row>
    <row r="104" spans="1:23" x14ac:dyDescent="0.3">
      <c r="A104" s="8">
        <f>'WCLA Consolidated MTEF Budget'!F104</f>
        <v>874.03200000000015</v>
      </c>
      <c r="B104" s="8">
        <f t="shared" ref="B104:B106" si="53">N104/12</f>
        <v>1166.6666666666667</v>
      </c>
      <c r="C104" s="8"/>
      <c r="D104" s="8"/>
      <c r="E104" s="8"/>
      <c r="F104" s="8"/>
      <c r="G104" s="8"/>
      <c r="H104" s="8">
        <f>B104-A104</f>
        <v>292.63466666666659</v>
      </c>
      <c r="I104" s="158">
        <f t="shared" ref="I104:I106" si="54">IFERROR(H104/B104,)</f>
        <v>0.25082971428571421</v>
      </c>
      <c r="J104" s="158">
        <f t="shared" ref="J104:J106" si="55">IFERROR(A104/B104,)</f>
        <v>0.74917028571428579</v>
      </c>
      <c r="K104" s="16" t="s">
        <v>167</v>
      </c>
      <c r="L104" s="110" t="s">
        <v>79</v>
      </c>
      <c r="M104" s="8">
        <f>'WCLA Consolidated MTEF Budget'!N104</f>
        <v>10836.32</v>
      </c>
      <c r="N104" s="8">
        <v>14000</v>
      </c>
      <c r="O104" s="8">
        <v>0</v>
      </c>
      <c r="P104" s="183"/>
      <c r="Q104" s="8">
        <f>N104+P104</f>
        <v>14000</v>
      </c>
      <c r="R104" s="8">
        <v>0</v>
      </c>
      <c r="S104" s="8">
        <f t="shared" si="38"/>
        <v>14000</v>
      </c>
      <c r="T104" s="8">
        <f t="shared" si="42"/>
        <v>-3163.6800000000003</v>
      </c>
      <c r="U104" s="158">
        <f t="shared" si="39"/>
        <v>-0.22597714285714288</v>
      </c>
      <c r="V104" s="158">
        <f t="shared" si="40"/>
        <v>0.77402285714285712</v>
      </c>
    </row>
    <row r="105" spans="1:23" x14ac:dyDescent="0.3">
      <c r="A105" s="7">
        <f>'WCLA Consolidated MTEF Budget'!F105</f>
        <v>162.44</v>
      </c>
      <c r="B105" s="7">
        <f t="shared" si="53"/>
        <v>0</v>
      </c>
      <c r="C105" s="7"/>
      <c r="D105" s="7"/>
      <c r="E105" s="7"/>
      <c r="F105" s="7"/>
      <c r="G105" s="7"/>
      <c r="H105" s="7">
        <f t="shared" ref="H105:H106" si="56">B105-A105</f>
        <v>-162.44</v>
      </c>
      <c r="I105" s="159">
        <f t="shared" si="54"/>
        <v>0</v>
      </c>
      <c r="J105" s="159">
        <f t="shared" si="55"/>
        <v>0</v>
      </c>
      <c r="K105" s="13" t="s">
        <v>168</v>
      </c>
      <c r="L105" s="110">
        <v>8</v>
      </c>
      <c r="M105" s="7">
        <f>'WCLA Consolidated MTEF Budget'!N105</f>
        <v>1624.4000000000003</v>
      </c>
      <c r="N105" s="7">
        <v>0</v>
      </c>
      <c r="O105" s="7">
        <v>0</v>
      </c>
      <c r="P105" s="203"/>
      <c r="Q105" s="7">
        <f t="shared" si="41"/>
        <v>0</v>
      </c>
      <c r="R105" s="7">
        <v>0</v>
      </c>
      <c r="S105" s="7">
        <f t="shared" si="38"/>
        <v>0</v>
      </c>
      <c r="T105" s="7">
        <f t="shared" si="42"/>
        <v>1624.4000000000003</v>
      </c>
      <c r="U105" s="159">
        <f t="shared" si="39"/>
        <v>0</v>
      </c>
      <c r="V105" s="159">
        <f t="shared" si="40"/>
        <v>0</v>
      </c>
    </row>
    <row r="106" spans="1:23" x14ac:dyDescent="0.3">
      <c r="A106" s="11">
        <f>'WCLA Consolidated MTEF Budget'!F106</f>
        <v>325.928</v>
      </c>
      <c r="B106" s="11">
        <f t="shared" si="53"/>
        <v>0</v>
      </c>
      <c r="C106" s="11"/>
      <c r="D106" s="11"/>
      <c r="E106" s="11"/>
      <c r="F106" s="11"/>
      <c r="G106" s="11"/>
      <c r="H106" s="11">
        <f t="shared" si="56"/>
        <v>-325.928</v>
      </c>
      <c r="I106" s="160">
        <f t="shared" si="54"/>
        <v>0</v>
      </c>
      <c r="J106" s="160">
        <f t="shared" si="55"/>
        <v>0</v>
      </c>
      <c r="K106" s="13" t="s">
        <v>169</v>
      </c>
      <c r="L106" s="110">
        <v>7</v>
      </c>
      <c r="M106" s="11">
        <f>'WCLA Consolidated MTEF Budget'!N106</f>
        <v>3259.2799999999993</v>
      </c>
      <c r="N106" s="11">
        <v>0</v>
      </c>
      <c r="O106" s="11">
        <v>0</v>
      </c>
      <c r="P106" s="321"/>
      <c r="Q106" s="11">
        <f t="shared" si="41"/>
        <v>0</v>
      </c>
      <c r="R106" s="11">
        <v>0</v>
      </c>
      <c r="S106" s="11">
        <f t="shared" si="38"/>
        <v>0</v>
      </c>
      <c r="T106" s="11">
        <f t="shared" si="42"/>
        <v>3259.2799999999993</v>
      </c>
      <c r="U106" s="160">
        <f t="shared" si="39"/>
        <v>0</v>
      </c>
      <c r="V106" s="160">
        <f t="shared" si="40"/>
        <v>0</v>
      </c>
    </row>
    <row r="107" spans="1:23" s="18" customFormat="1" ht="3.6" customHeight="1" thickBot="1" x14ac:dyDescent="0.35">
      <c r="A107" s="91"/>
      <c r="B107" s="91"/>
      <c r="C107" s="91"/>
      <c r="D107" s="91"/>
      <c r="E107" s="91"/>
      <c r="F107" s="91"/>
      <c r="G107" s="91"/>
      <c r="H107" s="91"/>
      <c r="I107" s="92"/>
      <c r="J107" s="92"/>
      <c r="K107" s="13"/>
      <c r="L107" s="110"/>
      <c r="M107" s="90"/>
      <c r="N107" s="90"/>
      <c r="O107" s="90"/>
      <c r="P107" s="326"/>
      <c r="Q107" s="90">
        <f t="shared" si="41"/>
        <v>0</v>
      </c>
      <c r="R107" s="90"/>
      <c r="S107" s="90">
        <f t="shared" si="38"/>
        <v>0</v>
      </c>
      <c r="T107" s="90">
        <f t="shared" si="42"/>
        <v>0</v>
      </c>
      <c r="U107" s="163">
        <f t="shared" si="39"/>
        <v>0</v>
      </c>
      <c r="V107" s="163">
        <f t="shared" si="40"/>
        <v>0</v>
      </c>
      <c r="W107" s="317"/>
    </row>
    <row r="108" spans="1:23" s="18" customFormat="1" x14ac:dyDescent="0.3">
      <c r="A108" s="4">
        <f>SUM(A104:A106)</f>
        <v>1362.4</v>
      </c>
      <c r="B108" s="4">
        <f>SUM(B104:B106)</f>
        <v>1166.6666666666667</v>
      </c>
      <c r="C108" s="4"/>
      <c r="D108" s="4"/>
      <c r="E108" s="4"/>
      <c r="F108" s="4"/>
      <c r="G108" s="4"/>
      <c r="H108" s="4">
        <f>B108-A108</f>
        <v>-195.73333333333335</v>
      </c>
      <c r="I108" s="162">
        <f t="shared" ref="I108" si="57">IFERROR(H108/B108,)</f>
        <v>-0.16777142857142857</v>
      </c>
      <c r="J108" s="162">
        <f>IFERROR(A108/B108,)</f>
        <v>1.1677714285714287</v>
      </c>
      <c r="K108" s="13" t="s">
        <v>170</v>
      </c>
      <c r="L108" s="111"/>
      <c r="M108" s="4">
        <f>SUM(M104:M106)</f>
        <v>15719.999999999998</v>
      </c>
      <c r="N108" s="4">
        <f>SUM(N104:N106)</f>
        <v>14000</v>
      </c>
      <c r="O108" s="4">
        <f t="shared" ref="O108" si="58">SUM(O104:O106)</f>
        <v>0</v>
      </c>
      <c r="P108" s="324"/>
      <c r="Q108" s="4">
        <f t="shared" si="41"/>
        <v>14000</v>
      </c>
      <c r="R108" s="4">
        <f t="shared" ref="R108" si="59">SUM(R104:R106)</f>
        <v>0</v>
      </c>
      <c r="S108" s="4">
        <f t="shared" si="38"/>
        <v>14000</v>
      </c>
      <c r="T108" s="4">
        <f>M108-S108</f>
        <v>1719.9999999999982</v>
      </c>
      <c r="U108" s="162">
        <f t="shared" si="39"/>
        <v>0.12285714285714272</v>
      </c>
      <c r="V108" s="162">
        <f t="shared" si="40"/>
        <v>1.1228571428571428</v>
      </c>
      <c r="W108" s="317"/>
    </row>
    <row r="109" spans="1:23" ht="6" customHeight="1" x14ac:dyDescent="0.3">
      <c r="A109" s="87"/>
      <c r="B109" s="87"/>
      <c r="C109" s="81"/>
      <c r="D109" s="81"/>
      <c r="E109" s="81"/>
      <c r="F109" s="87"/>
      <c r="G109" s="87"/>
      <c r="H109" s="87"/>
      <c r="I109" s="88"/>
      <c r="J109" s="88"/>
      <c r="K109" s="80"/>
      <c r="L109" s="110"/>
      <c r="M109" s="82"/>
      <c r="N109" s="82"/>
      <c r="O109" s="82"/>
      <c r="P109" s="322"/>
      <c r="Q109" s="82">
        <f t="shared" si="41"/>
        <v>0</v>
      </c>
      <c r="R109" s="82"/>
      <c r="S109" s="82">
        <f t="shared" si="38"/>
        <v>0</v>
      </c>
      <c r="T109" s="82">
        <f t="shared" si="42"/>
        <v>0</v>
      </c>
      <c r="U109" s="119"/>
      <c r="V109" s="119"/>
    </row>
    <row r="110" spans="1:23" s="18" customFormat="1" x14ac:dyDescent="0.3">
      <c r="A110" s="4">
        <f>A28+A46+A65+A91+A102+A108</f>
        <v>1781748.4971890058</v>
      </c>
      <c r="B110" s="4">
        <f>B28+B46+B65+B91+B102+B108</f>
        <v>1464437.951734642</v>
      </c>
      <c r="C110" s="4"/>
      <c r="D110" s="4"/>
      <c r="E110" s="4"/>
      <c r="F110" s="4"/>
      <c r="G110" s="4"/>
      <c r="H110" s="4">
        <f>B110-A110</f>
        <v>-317310.5454543638</v>
      </c>
      <c r="I110" s="162">
        <f t="shared" ref="I110" si="60">IFERROR(H110/B110,)</f>
        <v>-0.21667735739742755</v>
      </c>
      <c r="J110" s="162">
        <f>IFERROR(A110/B110,)</f>
        <v>1.2166773573974277</v>
      </c>
      <c r="K110" s="16" t="s">
        <v>171</v>
      </c>
      <c r="L110" s="111"/>
      <c r="M110" s="4">
        <f>M28+M46+M65+M91+M102+M108</f>
        <v>16454642.402374592</v>
      </c>
      <c r="N110" s="4">
        <f>N28+N46+N65+N91+N102+N108</f>
        <v>17573255.420815706</v>
      </c>
      <c r="O110" s="4">
        <f t="shared" ref="O110" si="61">O28+O46+O65+O91+O102+O108</f>
        <v>-715404</v>
      </c>
      <c r="P110" s="324"/>
      <c r="Q110" s="4">
        <f t="shared" si="41"/>
        <v>17573255.420815706</v>
      </c>
      <c r="R110" s="4">
        <f t="shared" ref="R110" si="62">R28+R46+R65+R91+R102+R108</f>
        <v>0</v>
      </c>
      <c r="S110" s="4">
        <f>S28+S46+S65+S91+S102+S108</f>
        <v>16857851.420815706</v>
      </c>
      <c r="T110" s="4">
        <f>M110-S110</f>
        <v>-403209.01844111457</v>
      </c>
      <c r="U110" s="162">
        <f t="shared" si="39"/>
        <v>-2.3918173696989696E-2</v>
      </c>
      <c r="V110" s="162">
        <f t="shared" si="40"/>
        <v>0.97608182630301032</v>
      </c>
      <c r="W110" s="317"/>
    </row>
    <row r="111" spans="1:23" ht="5.4" customHeight="1" x14ac:dyDescent="0.3">
      <c r="A111" s="87"/>
      <c r="B111" s="87"/>
      <c r="C111" s="81"/>
      <c r="D111" s="81"/>
      <c r="E111" s="81"/>
      <c r="F111" s="87"/>
      <c r="G111" s="87"/>
      <c r="H111" s="87"/>
      <c r="I111" s="88"/>
      <c r="J111" s="88"/>
      <c r="K111" s="122"/>
      <c r="L111" s="112"/>
      <c r="M111" s="82"/>
      <c r="N111" s="82"/>
      <c r="O111" s="82"/>
      <c r="P111" s="322"/>
      <c r="Q111" s="82">
        <f t="shared" si="41"/>
        <v>0</v>
      </c>
      <c r="R111" s="82"/>
      <c r="S111" s="82">
        <f t="shared" si="38"/>
        <v>0</v>
      </c>
      <c r="T111" s="82">
        <f t="shared" si="42"/>
        <v>0</v>
      </c>
      <c r="U111" s="119"/>
      <c r="V111" s="119"/>
    </row>
    <row r="112" spans="1:23" s="18" customFormat="1" x14ac:dyDescent="0.3">
      <c r="A112" s="4">
        <f>A18+A110</f>
        <v>4607873.0095136063</v>
      </c>
      <c r="B112" s="4">
        <f>B18+B110</f>
        <v>4107381.3114666669</v>
      </c>
      <c r="C112" s="4"/>
      <c r="D112" s="4"/>
      <c r="E112" s="4"/>
      <c r="F112" s="4"/>
      <c r="G112" s="4"/>
      <c r="H112" s="4">
        <f>B112-A112</f>
        <v>-500491.69804693945</v>
      </c>
      <c r="I112" s="162">
        <f t="shared" ref="I112" si="63">IFERROR(H112/B112,)</f>
        <v>-0.12185177369573791</v>
      </c>
      <c r="J112" s="162">
        <f>IFERROR(A112/B112,)</f>
        <v>1.1218517736957379</v>
      </c>
      <c r="K112" s="13" t="s">
        <v>240</v>
      </c>
      <c r="L112" s="111"/>
      <c r="M112" s="4" t="e">
        <f>M18+M110</f>
        <v>#REF!</v>
      </c>
      <c r="N112" s="4">
        <f>N18+N110</f>
        <v>49288575.737600006</v>
      </c>
      <c r="O112" s="4">
        <f t="shared" ref="O112" si="64">O28+O46+O65+O91+O102+O108+O18</f>
        <v>-715404</v>
      </c>
      <c r="P112" s="324"/>
      <c r="Q112" s="4">
        <f t="shared" si="41"/>
        <v>49288575.737600006</v>
      </c>
      <c r="R112" s="4">
        <f t="shared" ref="R112" si="65">R28+R46+R65+R91+R102+R108+R18</f>
        <v>0</v>
      </c>
      <c r="S112" s="4">
        <f>S18+S110</f>
        <v>48573171.737600006</v>
      </c>
      <c r="T112" s="4" t="e">
        <f>M112-S112</f>
        <v>#REF!</v>
      </c>
      <c r="U112" s="162">
        <f t="shared" si="39"/>
        <v>0</v>
      </c>
      <c r="V112" s="162">
        <f t="shared" si="40"/>
        <v>0</v>
      </c>
      <c r="W112" s="317"/>
    </row>
    <row r="113" spans="1:23" ht="6.6" customHeight="1" x14ac:dyDescent="0.3">
      <c r="A113" s="87"/>
      <c r="B113" s="87"/>
      <c r="C113" s="81"/>
      <c r="D113" s="81"/>
      <c r="E113" s="81"/>
      <c r="F113" s="87"/>
      <c r="G113" s="87"/>
      <c r="H113" s="87"/>
      <c r="I113" s="88"/>
      <c r="J113" s="88"/>
      <c r="K113" s="122"/>
      <c r="L113" s="115"/>
      <c r="M113" s="82"/>
      <c r="N113" s="82"/>
      <c r="O113" s="82"/>
      <c r="P113" s="322"/>
      <c r="Q113" s="82">
        <f t="shared" si="41"/>
        <v>0</v>
      </c>
      <c r="R113" s="82"/>
      <c r="S113" s="82">
        <f t="shared" si="38"/>
        <v>0</v>
      </c>
      <c r="T113" s="82">
        <f t="shared" si="42"/>
        <v>0</v>
      </c>
      <c r="U113" s="119"/>
      <c r="V113" s="119"/>
    </row>
    <row r="114" spans="1:23" x14ac:dyDescent="0.3">
      <c r="A114" s="8">
        <f>'WCLA Consolidated MTEF Budget'!F114</f>
        <v>0</v>
      </c>
      <c r="B114" s="8">
        <f t="shared" ref="B114:B125" si="66">N114/12</f>
        <v>0</v>
      </c>
      <c r="C114" s="8"/>
      <c r="D114" s="8"/>
      <c r="E114" s="8"/>
      <c r="F114" s="8"/>
      <c r="G114" s="8"/>
      <c r="H114" s="8">
        <f t="shared" ref="H114:H125" si="67">B114-A114</f>
        <v>0</v>
      </c>
      <c r="I114" s="158">
        <f t="shared" ref="I114:I125" si="68">IFERROR(H114/B114,)</f>
        <v>0</v>
      </c>
      <c r="J114" s="158">
        <f t="shared" ref="J114:J125" si="69">IFERROR(A114/B114,)</f>
        <v>0</v>
      </c>
      <c r="K114" s="16" t="s">
        <v>173</v>
      </c>
      <c r="L114" s="110"/>
      <c r="M114" s="8">
        <f>'WCLA Consolidated MTEF Budget'!N114</f>
        <v>0</v>
      </c>
      <c r="N114" s="8">
        <v>0</v>
      </c>
      <c r="O114" s="8">
        <v>0</v>
      </c>
      <c r="P114" s="183"/>
      <c r="Q114" s="8">
        <f t="shared" si="41"/>
        <v>0</v>
      </c>
      <c r="R114" s="8">
        <f>'WCLA Consolidated MTEF Budget'!T114</f>
        <v>455888</v>
      </c>
      <c r="S114" s="8">
        <f t="shared" si="38"/>
        <v>455888</v>
      </c>
      <c r="T114" s="8">
        <f>M114-S114</f>
        <v>-455888</v>
      </c>
      <c r="U114" s="158">
        <f t="shared" si="39"/>
        <v>-1</v>
      </c>
      <c r="V114" s="158">
        <f t="shared" si="40"/>
        <v>0</v>
      </c>
    </row>
    <row r="115" spans="1:23" x14ac:dyDescent="0.3">
      <c r="A115" s="7">
        <f>'WCLA Consolidated MTEF Budget'!F115</f>
        <v>0</v>
      </c>
      <c r="B115" s="7">
        <f t="shared" si="66"/>
        <v>0</v>
      </c>
      <c r="C115" s="7"/>
      <c r="D115" s="7"/>
      <c r="E115" s="7"/>
      <c r="F115" s="7"/>
      <c r="G115" s="7"/>
      <c r="H115" s="7">
        <f t="shared" si="67"/>
        <v>0</v>
      </c>
      <c r="I115" s="159">
        <f t="shared" si="68"/>
        <v>0</v>
      </c>
      <c r="J115" s="159">
        <f t="shared" si="69"/>
        <v>0</v>
      </c>
      <c r="K115" s="13" t="s">
        <v>174</v>
      </c>
      <c r="L115" s="110"/>
      <c r="M115" s="7">
        <f>'WCLA Consolidated MTEF Budget'!N115</f>
        <v>0</v>
      </c>
      <c r="N115" s="7">
        <v>0</v>
      </c>
      <c r="O115" s="7">
        <v>0</v>
      </c>
      <c r="P115" s="203"/>
      <c r="Q115" s="7">
        <f t="shared" si="41"/>
        <v>0</v>
      </c>
      <c r="R115" s="7">
        <v>0</v>
      </c>
      <c r="S115" s="7">
        <f t="shared" si="38"/>
        <v>0</v>
      </c>
      <c r="T115" s="7">
        <f t="shared" si="42"/>
        <v>0</v>
      </c>
      <c r="U115" s="159">
        <f t="shared" si="39"/>
        <v>0</v>
      </c>
      <c r="V115" s="159">
        <f t="shared" si="40"/>
        <v>0</v>
      </c>
    </row>
    <row r="116" spans="1:23" x14ac:dyDescent="0.3">
      <c r="A116" s="7">
        <f>'WCLA Consolidated MTEF Budget'!F116</f>
        <v>0</v>
      </c>
      <c r="B116" s="7">
        <f t="shared" si="66"/>
        <v>0</v>
      </c>
      <c r="C116" s="7"/>
      <c r="D116" s="7"/>
      <c r="E116" s="7"/>
      <c r="F116" s="7"/>
      <c r="G116" s="7"/>
      <c r="H116" s="7">
        <f t="shared" si="67"/>
        <v>0</v>
      </c>
      <c r="I116" s="159">
        <f t="shared" si="68"/>
        <v>0</v>
      </c>
      <c r="J116" s="159">
        <f t="shared" si="69"/>
        <v>0</v>
      </c>
      <c r="K116" s="13" t="s">
        <v>175</v>
      </c>
      <c r="L116" s="110"/>
      <c r="M116" s="7">
        <f>'WCLA Consolidated MTEF Budget'!N116</f>
        <v>0</v>
      </c>
      <c r="N116" s="7">
        <v>0</v>
      </c>
      <c r="O116" s="7">
        <v>0</v>
      </c>
      <c r="P116" s="203"/>
      <c r="Q116" s="7">
        <f t="shared" si="41"/>
        <v>0</v>
      </c>
      <c r="R116" s="7">
        <v>0</v>
      </c>
      <c r="S116" s="7">
        <f t="shared" si="38"/>
        <v>0</v>
      </c>
      <c r="T116" s="7">
        <f t="shared" si="42"/>
        <v>0</v>
      </c>
      <c r="U116" s="159">
        <f t="shared" si="39"/>
        <v>0</v>
      </c>
      <c r="V116" s="159">
        <f t="shared" si="40"/>
        <v>0</v>
      </c>
    </row>
    <row r="117" spans="1:23" x14ac:dyDescent="0.3">
      <c r="A117" s="7">
        <f>'WCLA Consolidated MTEF Budget'!F117</f>
        <v>0</v>
      </c>
      <c r="B117" s="7">
        <f t="shared" si="66"/>
        <v>0</v>
      </c>
      <c r="C117" s="7"/>
      <c r="D117" s="7"/>
      <c r="E117" s="7"/>
      <c r="F117" s="7"/>
      <c r="G117" s="7"/>
      <c r="H117" s="7">
        <f t="shared" si="67"/>
        <v>0</v>
      </c>
      <c r="I117" s="159">
        <f t="shared" si="68"/>
        <v>0</v>
      </c>
      <c r="J117" s="159">
        <f t="shared" si="69"/>
        <v>0</v>
      </c>
      <c r="K117" s="16" t="s">
        <v>176</v>
      </c>
      <c r="L117" s="110"/>
      <c r="M117" s="7">
        <f>'WCLA Consolidated MTEF Budget'!N117</f>
        <v>0</v>
      </c>
      <c r="N117" s="7">
        <v>0</v>
      </c>
      <c r="O117" s="7">
        <v>0</v>
      </c>
      <c r="P117" s="203"/>
      <c r="Q117" s="7">
        <f t="shared" si="41"/>
        <v>0</v>
      </c>
      <c r="R117" s="7">
        <v>0</v>
      </c>
      <c r="S117" s="7">
        <f t="shared" si="38"/>
        <v>0</v>
      </c>
      <c r="T117" s="7">
        <f t="shared" si="42"/>
        <v>0</v>
      </c>
      <c r="U117" s="159">
        <f t="shared" si="39"/>
        <v>0</v>
      </c>
      <c r="V117" s="159">
        <f t="shared" si="40"/>
        <v>0</v>
      </c>
    </row>
    <row r="118" spans="1:23" x14ac:dyDescent="0.3">
      <c r="A118" s="7">
        <f>'WCLA Consolidated MTEF Budget'!F118</f>
        <v>0</v>
      </c>
      <c r="B118" s="7">
        <f t="shared" si="66"/>
        <v>3816.9804166666668</v>
      </c>
      <c r="C118" s="7"/>
      <c r="D118" s="7"/>
      <c r="E118" s="7"/>
      <c r="F118" s="7"/>
      <c r="G118" s="7"/>
      <c r="H118" s="7">
        <f t="shared" si="67"/>
        <v>3816.9804166666668</v>
      </c>
      <c r="I118" s="159">
        <f t="shared" si="68"/>
        <v>1</v>
      </c>
      <c r="J118" s="159">
        <f t="shared" si="69"/>
        <v>0</v>
      </c>
      <c r="K118" s="13" t="s">
        <v>177</v>
      </c>
      <c r="L118" s="110"/>
      <c r="M118" s="7">
        <f>'WCLA Consolidated MTEF Budget'!N118</f>
        <v>0</v>
      </c>
      <c r="N118" s="7">
        <v>45803.764999999999</v>
      </c>
      <c r="O118" s="7">
        <v>0</v>
      </c>
      <c r="P118" s="203"/>
      <c r="Q118" s="7">
        <f t="shared" si="41"/>
        <v>45803.764999999999</v>
      </c>
      <c r="R118" s="7">
        <v>0</v>
      </c>
      <c r="S118" s="7">
        <f t="shared" si="38"/>
        <v>45803.764999999999</v>
      </c>
      <c r="T118" s="7">
        <f t="shared" si="42"/>
        <v>-45803.764999999999</v>
      </c>
      <c r="U118" s="159">
        <f t="shared" si="39"/>
        <v>-1</v>
      </c>
      <c r="V118" s="159">
        <f t="shared" si="40"/>
        <v>0</v>
      </c>
    </row>
    <row r="119" spans="1:23" x14ac:dyDescent="0.3">
      <c r="A119" s="7">
        <f>'WCLA Consolidated MTEF Budget'!F119</f>
        <v>47820</v>
      </c>
      <c r="B119" s="7">
        <f t="shared" si="66"/>
        <v>8250</v>
      </c>
      <c r="C119" s="7"/>
      <c r="D119" s="7"/>
      <c r="E119" s="7"/>
      <c r="F119" s="7"/>
      <c r="G119" s="7"/>
      <c r="H119" s="7">
        <f t="shared" si="67"/>
        <v>-39570</v>
      </c>
      <c r="I119" s="159">
        <f t="shared" si="68"/>
        <v>-4.7963636363636359</v>
      </c>
      <c r="J119" s="159">
        <f t="shared" si="69"/>
        <v>5.7963636363636359</v>
      </c>
      <c r="K119" s="13" t="s">
        <v>178</v>
      </c>
      <c r="L119" s="110"/>
      <c r="M119" s="7">
        <f>'WCLA Consolidated MTEF Budget'!N119</f>
        <v>478200</v>
      </c>
      <c r="N119" s="7">
        <v>99000</v>
      </c>
      <c r="O119" s="7">
        <v>0</v>
      </c>
      <c r="P119" s="203"/>
      <c r="Q119" s="7">
        <f t="shared" si="41"/>
        <v>99000</v>
      </c>
      <c r="R119" s="7">
        <v>0</v>
      </c>
      <c r="S119" s="7">
        <f t="shared" si="38"/>
        <v>99000</v>
      </c>
      <c r="T119" s="7">
        <f t="shared" si="42"/>
        <v>379200</v>
      </c>
      <c r="U119" s="159">
        <f t="shared" si="39"/>
        <v>3.8303030303030301</v>
      </c>
      <c r="V119" s="159">
        <f t="shared" si="40"/>
        <v>4.8303030303030301</v>
      </c>
    </row>
    <row r="120" spans="1:23" x14ac:dyDescent="0.3">
      <c r="A120" s="7">
        <f>'WCLA Consolidated MTEF Budget'!F120</f>
        <v>0</v>
      </c>
      <c r="B120" s="7">
        <f t="shared" si="66"/>
        <v>0</v>
      </c>
      <c r="C120" s="7"/>
      <c r="D120" s="7"/>
      <c r="E120" s="7"/>
      <c r="F120" s="7"/>
      <c r="G120" s="7"/>
      <c r="H120" s="7">
        <f t="shared" si="67"/>
        <v>0</v>
      </c>
      <c r="I120" s="159">
        <f t="shared" si="68"/>
        <v>0</v>
      </c>
      <c r="J120" s="159">
        <f t="shared" si="69"/>
        <v>0</v>
      </c>
      <c r="K120" s="16" t="s">
        <v>179</v>
      </c>
      <c r="L120" s="110"/>
      <c r="M120" s="7">
        <f>'WCLA Consolidated MTEF Budget'!N120</f>
        <v>0</v>
      </c>
      <c r="N120" s="7">
        <v>0</v>
      </c>
      <c r="O120" s="7">
        <v>0</v>
      </c>
      <c r="P120" s="203"/>
      <c r="Q120" s="7">
        <f t="shared" si="41"/>
        <v>0</v>
      </c>
      <c r="R120" s="7">
        <v>0</v>
      </c>
      <c r="S120" s="7">
        <f t="shared" si="38"/>
        <v>0</v>
      </c>
      <c r="T120" s="7">
        <f t="shared" si="42"/>
        <v>0</v>
      </c>
      <c r="U120" s="159">
        <f t="shared" si="39"/>
        <v>0</v>
      </c>
      <c r="V120" s="159">
        <f t="shared" si="40"/>
        <v>0</v>
      </c>
    </row>
    <row r="121" spans="1:23" x14ac:dyDescent="0.3">
      <c r="A121" s="7">
        <f>'WCLA Consolidated MTEF Budget'!F121</f>
        <v>0</v>
      </c>
      <c r="B121" s="7">
        <f t="shared" si="66"/>
        <v>0</v>
      </c>
      <c r="C121" s="7"/>
      <c r="D121" s="7"/>
      <c r="E121" s="7"/>
      <c r="F121" s="7"/>
      <c r="G121" s="7"/>
      <c r="H121" s="7">
        <f t="shared" si="67"/>
        <v>0</v>
      </c>
      <c r="I121" s="159">
        <f t="shared" si="68"/>
        <v>0</v>
      </c>
      <c r="J121" s="159">
        <f t="shared" si="69"/>
        <v>0</v>
      </c>
      <c r="K121" s="13" t="s">
        <v>180</v>
      </c>
      <c r="L121" s="110"/>
      <c r="M121" s="7">
        <f>'WCLA Consolidated MTEF Budget'!N121</f>
        <v>0</v>
      </c>
      <c r="N121" s="7">
        <v>0</v>
      </c>
      <c r="O121" s="7">
        <v>0</v>
      </c>
      <c r="P121" s="203"/>
      <c r="Q121" s="7">
        <f t="shared" si="41"/>
        <v>0</v>
      </c>
      <c r="R121" s="7">
        <v>0</v>
      </c>
      <c r="S121" s="7">
        <f t="shared" si="38"/>
        <v>0</v>
      </c>
      <c r="T121" s="7">
        <f t="shared" si="42"/>
        <v>0</v>
      </c>
      <c r="U121" s="159">
        <f t="shared" si="39"/>
        <v>0</v>
      </c>
      <c r="V121" s="159">
        <f t="shared" si="40"/>
        <v>0</v>
      </c>
    </row>
    <row r="122" spans="1:23" x14ac:dyDescent="0.3">
      <c r="A122" s="7">
        <f>'WCLA Consolidated MTEF Budget'!F122</f>
        <v>31699.904000000002</v>
      </c>
      <c r="B122" s="7">
        <f t="shared" si="66"/>
        <v>20907.977499999997</v>
      </c>
      <c r="C122" s="7"/>
      <c r="D122" s="7"/>
      <c r="E122" s="7"/>
      <c r="F122" s="7"/>
      <c r="G122" s="7"/>
      <c r="H122" s="7">
        <f t="shared" si="67"/>
        <v>-10791.926500000005</v>
      </c>
      <c r="I122" s="159">
        <f t="shared" si="68"/>
        <v>-0.51616310090251472</v>
      </c>
      <c r="J122" s="159">
        <f t="shared" si="69"/>
        <v>1.5161631009025147</v>
      </c>
      <c r="K122" s="13" t="s">
        <v>181</v>
      </c>
      <c r="L122" s="110"/>
      <c r="M122" s="7">
        <f>'WCLA Consolidated MTEF Budget'!N122</f>
        <v>316999.04000000004</v>
      </c>
      <c r="N122" s="7">
        <v>250895.72999999998</v>
      </c>
      <c r="O122" s="7">
        <v>0</v>
      </c>
      <c r="P122" s="203"/>
      <c r="Q122" s="7">
        <f t="shared" si="41"/>
        <v>250895.72999999998</v>
      </c>
      <c r="R122" s="7">
        <v>0</v>
      </c>
      <c r="S122" s="7">
        <f t="shared" si="38"/>
        <v>250895.72999999998</v>
      </c>
      <c r="T122" s="7">
        <f t="shared" si="42"/>
        <v>66103.310000000056</v>
      </c>
      <c r="U122" s="159">
        <f t="shared" si="39"/>
        <v>0.26346925075209554</v>
      </c>
      <c r="V122" s="159">
        <f t="shared" si="40"/>
        <v>1.2634692507520955</v>
      </c>
    </row>
    <row r="123" spans="1:23" x14ac:dyDescent="0.3">
      <c r="A123" s="7">
        <f>'WCLA Consolidated MTEF Budget'!F123</f>
        <v>105337.62400000001</v>
      </c>
      <c r="B123" s="7">
        <f t="shared" si="66"/>
        <v>109334.90295</v>
      </c>
      <c r="C123" s="7"/>
      <c r="D123" s="7"/>
      <c r="E123" s="7"/>
      <c r="F123" s="7"/>
      <c r="G123" s="7"/>
      <c r="H123" s="7">
        <f t="shared" si="67"/>
        <v>3997.2789499999926</v>
      </c>
      <c r="I123" s="159">
        <f t="shared" si="68"/>
        <v>3.6559953337389345E-2</v>
      </c>
      <c r="J123" s="159">
        <f t="shared" si="69"/>
        <v>0.96344004666261063</v>
      </c>
      <c r="K123" s="16" t="s">
        <v>182</v>
      </c>
      <c r="L123" s="110"/>
      <c r="M123" s="7">
        <f>'WCLA Consolidated MTEF Budget'!N123</f>
        <v>1053376.2400000005</v>
      </c>
      <c r="N123" s="7">
        <v>1312018.8354</v>
      </c>
      <c r="O123" s="7">
        <v>0</v>
      </c>
      <c r="P123" s="203"/>
      <c r="Q123" s="7">
        <f t="shared" si="41"/>
        <v>1312018.8354</v>
      </c>
      <c r="R123" s="7">
        <v>0</v>
      </c>
      <c r="S123" s="7">
        <f t="shared" si="38"/>
        <v>1312018.8354</v>
      </c>
      <c r="T123" s="7">
        <f t="shared" si="42"/>
        <v>-258642.59539999953</v>
      </c>
      <c r="U123" s="159">
        <f t="shared" si="39"/>
        <v>-0.19713329444782415</v>
      </c>
      <c r="V123" s="159">
        <f t="shared" si="40"/>
        <v>0.80286670555217587</v>
      </c>
    </row>
    <row r="124" spans="1:23" x14ac:dyDescent="0.3">
      <c r="A124" s="7">
        <f>'WCLA Consolidated MTEF Budget'!F124</f>
        <v>0</v>
      </c>
      <c r="B124" s="7">
        <f t="shared" si="66"/>
        <v>0</v>
      </c>
      <c r="C124" s="7"/>
      <c r="D124" s="7"/>
      <c r="E124" s="7"/>
      <c r="F124" s="7"/>
      <c r="G124" s="7"/>
      <c r="H124" s="7">
        <f t="shared" si="67"/>
        <v>0</v>
      </c>
      <c r="I124" s="159">
        <f t="shared" si="68"/>
        <v>0</v>
      </c>
      <c r="J124" s="159">
        <f t="shared" si="69"/>
        <v>0</v>
      </c>
      <c r="K124" s="13" t="s">
        <v>183</v>
      </c>
      <c r="L124" s="110"/>
      <c r="M124" s="7">
        <f>'WCLA Consolidated MTEF Budget'!N124</f>
        <v>0</v>
      </c>
      <c r="N124" s="7">
        <v>0</v>
      </c>
      <c r="O124" s="7">
        <v>0</v>
      </c>
      <c r="P124" s="203"/>
      <c r="Q124" s="7">
        <f t="shared" si="41"/>
        <v>0</v>
      </c>
      <c r="R124" s="7">
        <v>0</v>
      </c>
      <c r="S124" s="7">
        <f t="shared" si="38"/>
        <v>0</v>
      </c>
      <c r="T124" s="7">
        <f t="shared" si="42"/>
        <v>0</v>
      </c>
      <c r="U124" s="159">
        <f t="shared" si="39"/>
        <v>0</v>
      </c>
      <c r="V124" s="159">
        <f t="shared" si="40"/>
        <v>0</v>
      </c>
    </row>
    <row r="125" spans="1:23" x14ac:dyDescent="0.3">
      <c r="A125" s="11">
        <f>'WCLA Consolidated MTEF Budget'!F125</f>
        <v>0</v>
      </c>
      <c r="B125" s="11">
        <f t="shared" si="66"/>
        <v>0</v>
      </c>
      <c r="C125" s="11"/>
      <c r="D125" s="11"/>
      <c r="E125" s="11"/>
      <c r="F125" s="11"/>
      <c r="G125" s="11"/>
      <c r="H125" s="11">
        <f t="shared" si="67"/>
        <v>0</v>
      </c>
      <c r="I125" s="160">
        <f t="shared" si="68"/>
        <v>0</v>
      </c>
      <c r="J125" s="160">
        <f t="shared" si="69"/>
        <v>0</v>
      </c>
      <c r="K125" s="13" t="s">
        <v>184</v>
      </c>
      <c r="L125" s="110"/>
      <c r="M125" s="11">
        <f>'WCLA Consolidated MTEF Budget'!N125</f>
        <v>0</v>
      </c>
      <c r="N125" s="11">
        <v>0</v>
      </c>
      <c r="O125" s="11"/>
      <c r="P125" s="321"/>
      <c r="Q125" s="11">
        <f t="shared" si="41"/>
        <v>0</v>
      </c>
      <c r="R125" s="11">
        <v>0</v>
      </c>
      <c r="S125" s="11">
        <f t="shared" si="38"/>
        <v>0</v>
      </c>
      <c r="T125" s="11">
        <f t="shared" si="42"/>
        <v>0</v>
      </c>
      <c r="U125" s="160">
        <f t="shared" si="39"/>
        <v>0</v>
      </c>
      <c r="V125" s="160">
        <f t="shared" si="40"/>
        <v>0</v>
      </c>
    </row>
    <row r="126" spans="1:23" s="18" customFormat="1" ht="5.4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13"/>
      <c r="L126" s="110"/>
      <c r="M126" s="7"/>
      <c r="N126" s="7"/>
      <c r="O126" s="7"/>
      <c r="P126" s="203"/>
      <c r="Q126" s="7">
        <f t="shared" si="41"/>
        <v>0</v>
      </c>
      <c r="R126" s="7"/>
      <c r="S126" s="7">
        <f t="shared" si="38"/>
        <v>0</v>
      </c>
      <c r="T126" s="7">
        <f t="shared" si="42"/>
        <v>0</v>
      </c>
      <c r="U126" s="159"/>
      <c r="V126" s="159"/>
      <c r="W126" s="317"/>
    </row>
    <row r="127" spans="1:23" s="18" customFormat="1" x14ac:dyDescent="0.3">
      <c r="A127" s="4">
        <f>SUM(A114:A125)</f>
        <v>184857.52800000002</v>
      </c>
      <c r="B127" s="4">
        <f>SUM(B114:B125)</f>
        <v>142309.86086666666</v>
      </c>
      <c r="C127" s="4"/>
      <c r="D127" s="4"/>
      <c r="E127" s="4"/>
      <c r="F127" s="4"/>
      <c r="G127" s="4"/>
      <c r="H127" s="4">
        <f>B127-A127</f>
        <v>-42547.667133333365</v>
      </c>
      <c r="I127" s="162">
        <f t="shared" ref="I127" si="70">IFERROR(H127/B127,)</f>
        <v>-0.29897905088388249</v>
      </c>
      <c r="J127" s="162">
        <f>IFERROR(A127/B127,)</f>
        <v>1.2989790508838825</v>
      </c>
      <c r="K127" s="13" t="s">
        <v>185</v>
      </c>
      <c r="L127" s="111"/>
      <c r="M127" s="4">
        <f>SUM(M114:M125)</f>
        <v>1848575.2800000005</v>
      </c>
      <c r="N127" s="4">
        <f>SUM(N114:N125)</f>
        <v>1707718.3303999999</v>
      </c>
      <c r="O127" s="4">
        <f t="shared" ref="O127" si="71">SUM(O114:O125)</f>
        <v>0</v>
      </c>
      <c r="P127" s="324"/>
      <c r="Q127" s="4">
        <f t="shared" si="41"/>
        <v>1707718.3303999999</v>
      </c>
      <c r="R127" s="4">
        <f t="shared" si="41"/>
        <v>1707718.3303999999</v>
      </c>
      <c r="S127" s="4">
        <f>SUM(S114:S125)</f>
        <v>2163606.3303999999</v>
      </c>
      <c r="T127" s="4">
        <f>M127-S127</f>
        <v>-315031.05039999937</v>
      </c>
      <c r="U127" s="162">
        <f t="shared" si="39"/>
        <v>-0.14560460744342413</v>
      </c>
      <c r="V127" s="162">
        <f t="shared" si="40"/>
        <v>0.85439539255657593</v>
      </c>
      <c r="W127" s="317"/>
    </row>
    <row r="128" spans="1:23" ht="5.4" customHeight="1" x14ac:dyDescent="0.3">
      <c r="A128" s="82"/>
      <c r="B128" s="82"/>
      <c r="C128" s="86"/>
      <c r="D128" s="86"/>
      <c r="E128" s="86"/>
      <c r="F128" s="86"/>
      <c r="G128" s="87"/>
      <c r="H128" s="88"/>
      <c r="I128" s="119"/>
      <c r="J128" s="119"/>
      <c r="K128" s="122"/>
      <c r="L128" s="112"/>
      <c r="M128" s="82"/>
      <c r="N128" s="82"/>
      <c r="O128" s="82"/>
      <c r="P128" s="325"/>
      <c r="Q128" s="82">
        <f t="shared" si="41"/>
        <v>0</v>
      </c>
      <c r="R128" s="82">
        <f t="shared" si="41"/>
        <v>0</v>
      </c>
      <c r="S128" s="82">
        <f t="shared" si="38"/>
        <v>0</v>
      </c>
      <c r="T128" s="82">
        <f t="shared" si="42"/>
        <v>0</v>
      </c>
      <c r="U128" s="119"/>
      <c r="V128" s="119"/>
    </row>
    <row r="129" spans="1:24" s="18" customFormat="1" x14ac:dyDescent="0.3">
      <c r="A129" s="4">
        <f>A112+A127</f>
        <v>4792730.5375136063</v>
      </c>
      <c r="B129" s="4">
        <f>B112+B127</f>
        <v>4249691.1723333336</v>
      </c>
      <c r="C129" s="4"/>
      <c r="D129" s="4"/>
      <c r="E129" s="4"/>
      <c r="F129" s="4"/>
      <c r="G129" s="4"/>
      <c r="H129" s="4">
        <f>B129-A129</f>
        <v>-543039.36518027261</v>
      </c>
      <c r="I129" s="162">
        <f t="shared" ref="I129" si="72">IFERROR(H129/B129,)</f>
        <v>-0.12778325369043503</v>
      </c>
      <c r="J129" s="162">
        <f>IFERROR(A129/B129,)</f>
        <v>1.1277832536904351</v>
      </c>
      <c r="K129" s="13" t="s">
        <v>186</v>
      </c>
      <c r="L129" s="111"/>
      <c r="M129" s="4" t="e">
        <f>M112+M127</f>
        <v>#REF!</v>
      </c>
      <c r="N129" s="4">
        <f>N112+N127</f>
        <v>50996294.068000004</v>
      </c>
      <c r="O129" s="4">
        <f>O112+O127</f>
        <v>-715404</v>
      </c>
      <c r="P129" s="324"/>
      <c r="Q129" s="4">
        <f t="shared" si="41"/>
        <v>50996294.068000004</v>
      </c>
      <c r="R129" s="4">
        <f t="shared" si="41"/>
        <v>50280890.068000004</v>
      </c>
      <c r="S129" s="4">
        <f>S112+S127</f>
        <v>50736778.068000004</v>
      </c>
      <c r="T129" s="4" t="e">
        <f>M129-S129</f>
        <v>#REF!</v>
      </c>
      <c r="U129" s="162">
        <f t="shared" si="39"/>
        <v>0</v>
      </c>
      <c r="V129" s="162">
        <f t="shared" si="40"/>
        <v>0</v>
      </c>
      <c r="W129" s="317"/>
      <c r="X129" s="157"/>
    </row>
    <row r="130" spans="1:24" ht="5.4" customHeight="1" x14ac:dyDescent="0.3">
      <c r="A130" s="87"/>
      <c r="B130" s="87"/>
      <c r="C130" s="81"/>
      <c r="D130" s="81"/>
      <c r="E130" s="81"/>
      <c r="F130" s="81"/>
      <c r="G130" s="87"/>
      <c r="H130" s="87"/>
      <c r="I130" s="88"/>
      <c r="J130" s="88"/>
      <c r="K130" s="122"/>
      <c r="L130" s="112"/>
      <c r="M130" s="82"/>
      <c r="N130" s="82"/>
      <c r="O130" s="82"/>
      <c r="P130" s="322"/>
      <c r="Q130" s="82"/>
      <c r="R130" s="82"/>
      <c r="S130" s="82">
        <f t="shared" si="38"/>
        <v>0</v>
      </c>
      <c r="T130" s="82">
        <f t="shared" si="42"/>
        <v>0</v>
      </c>
      <c r="U130" s="119"/>
      <c r="V130" s="119"/>
    </row>
    <row r="131" spans="1:24" x14ac:dyDescent="0.3">
      <c r="A131" s="8">
        <f>'WCLA Consolidated MTEF Budget'!F131</f>
        <v>-18700</v>
      </c>
      <c r="B131" s="8">
        <f t="shared" ref="B131:B160" si="73">N131/12</f>
        <v>124400.79166666667</v>
      </c>
      <c r="C131" s="8"/>
      <c r="D131" s="8"/>
      <c r="E131" s="8"/>
      <c r="F131" s="8"/>
      <c r="G131" s="8"/>
      <c r="H131" s="8">
        <f t="shared" ref="H131:H160" si="74">B131-A131</f>
        <v>143100.79166666669</v>
      </c>
      <c r="I131" s="158">
        <f t="shared" ref="I131:I160" si="75">IFERROR(H131/B131,)</f>
        <v>1.1503205867861908</v>
      </c>
      <c r="J131" s="158">
        <f t="shared" ref="J131:J160" si="76">IFERROR(A131/B131,)</f>
        <v>-0.15032058678619073</v>
      </c>
      <c r="K131" s="16" t="s">
        <v>187</v>
      </c>
      <c r="L131" s="116">
        <v>7</v>
      </c>
      <c r="M131" s="8">
        <f>'WCLA Consolidated MTEF Budget'!N131</f>
        <v>924550</v>
      </c>
      <c r="N131" s="184">
        <v>1492809.5</v>
      </c>
      <c r="O131" s="184">
        <v>0</v>
      </c>
      <c r="P131" s="183"/>
      <c r="Q131" s="184">
        <f t="shared" si="41"/>
        <v>1492809.5</v>
      </c>
      <c r="R131" s="184">
        <v>0</v>
      </c>
      <c r="S131" s="184">
        <f t="shared" si="38"/>
        <v>1492809.5</v>
      </c>
      <c r="T131" s="184">
        <f>M131-S131</f>
        <v>-568259.5</v>
      </c>
      <c r="U131" s="158">
        <f t="shared" si="39"/>
        <v>-0.38066444512846415</v>
      </c>
      <c r="V131" s="158">
        <f t="shared" si="40"/>
        <v>0.6193355548715358</v>
      </c>
    </row>
    <row r="132" spans="1:24" x14ac:dyDescent="0.3">
      <c r="A132" s="7">
        <f>'WCLA Consolidated MTEF Budget'!F132</f>
        <v>8250</v>
      </c>
      <c r="B132" s="7">
        <f t="shared" si="73"/>
        <v>120352.82233333333</v>
      </c>
      <c r="C132" s="7"/>
      <c r="D132" s="7"/>
      <c r="E132" s="7"/>
      <c r="F132" s="7"/>
      <c r="G132" s="7"/>
      <c r="H132" s="7">
        <f t="shared" si="74"/>
        <v>112102.82233333333</v>
      </c>
      <c r="I132" s="159">
        <f t="shared" si="75"/>
        <v>0.93145154521469786</v>
      </c>
      <c r="J132" s="159">
        <f t="shared" si="76"/>
        <v>6.8548454785302124E-2</v>
      </c>
      <c r="K132" s="13" t="s">
        <v>188</v>
      </c>
      <c r="L132" s="116">
        <v>7</v>
      </c>
      <c r="M132" s="7">
        <f>'WCLA Consolidated MTEF Budget'!N132</f>
        <v>601856.75</v>
      </c>
      <c r="N132" s="185">
        <v>1444233.868</v>
      </c>
      <c r="O132" s="185">
        <v>0</v>
      </c>
      <c r="P132" s="203"/>
      <c r="Q132" s="185">
        <f t="shared" si="41"/>
        <v>1444233.868</v>
      </c>
      <c r="R132" s="185">
        <v>0</v>
      </c>
      <c r="S132" s="185">
        <f t="shared" si="38"/>
        <v>1444233.868</v>
      </c>
      <c r="T132" s="185">
        <f t="shared" si="42"/>
        <v>-842377.11800000002</v>
      </c>
      <c r="U132" s="159">
        <f t="shared" si="39"/>
        <v>-0.5832691897514759</v>
      </c>
      <c r="V132" s="159">
        <f t="shared" si="40"/>
        <v>0.4167308102485241</v>
      </c>
    </row>
    <row r="133" spans="1:24" x14ac:dyDescent="0.3">
      <c r="A133" s="7">
        <f>'WCLA Consolidated MTEF Budget'!F133</f>
        <v>0</v>
      </c>
      <c r="B133" s="7">
        <f t="shared" si="73"/>
        <v>272.50000000000006</v>
      </c>
      <c r="C133" s="7"/>
      <c r="D133" s="7"/>
      <c r="E133" s="7"/>
      <c r="F133" s="7"/>
      <c r="G133" s="7"/>
      <c r="H133" s="7">
        <f t="shared" si="74"/>
        <v>272.50000000000006</v>
      </c>
      <c r="I133" s="159">
        <f t="shared" si="75"/>
        <v>1</v>
      </c>
      <c r="J133" s="159">
        <f t="shared" si="76"/>
        <v>0</v>
      </c>
      <c r="K133" s="13" t="s">
        <v>189</v>
      </c>
      <c r="L133" s="116">
        <v>7</v>
      </c>
      <c r="M133" s="7">
        <f>'WCLA Consolidated MTEF Budget'!N133</f>
        <v>11698.5</v>
      </c>
      <c r="N133" s="185">
        <v>3270.0000000000005</v>
      </c>
      <c r="O133" s="185">
        <v>0</v>
      </c>
      <c r="P133" s="203"/>
      <c r="Q133" s="185">
        <f t="shared" si="41"/>
        <v>3270.0000000000005</v>
      </c>
      <c r="R133" s="185">
        <v>0</v>
      </c>
      <c r="S133" s="185">
        <f t="shared" si="38"/>
        <v>3270.0000000000005</v>
      </c>
      <c r="T133" s="185">
        <f t="shared" si="42"/>
        <v>8428.5</v>
      </c>
      <c r="U133" s="159">
        <f t="shared" si="39"/>
        <v>2.5775229357798159</v>
      </c>
      <c r="V133" s="159">
        <f t="shared" si="40"/>
        <v>3.5775229357798159</v>
      </c>
    </row>
    <row r="134" spans="1:24" x14ac:dyDescent="0.3">
      <c r="A134" s="7">
        <f>'WCLA Consolidated MTEF Budget'!F134</f>
        <v>209632.50000000003</v>
      </c>
      <c r="B134" s="7">
        <f t="shared" si="73"/>
        <v>82292.729166666672</v>
      </c>
      <c r="C134" s="7"/>
      <c r="D134" s="7"/>
      <c r="E134" s="7"/>
      <c r="F134" s="7"/>
      <c r="G134" s="7"/>
      <c r="H134" s="7">
        <f t="shared" si="74"/>
        <v>-127339.77083333336</v>
      </c>
      <c r="I134" s="159">
        <f t="shared" si="75"/>
        <v>-1.5474000209111227</v>
      </c>
      <c r="J134" s="159">
        <f t="shared" si="76"/>
        <v>2.5474000209111227</v>
      </c>
      <c r="K134" s="16" t="s">
        <v>190</v>
      </c>
      <c r="L134" s="116">
        <v>7</v>
      </c>
      <c r="M134" s="7">
        <f>'WCLA Consolidated MTEF Budget'!N134</f>
        <v>1284365.5</v>
      </c>
      <c r="N134" s="185">
        <v>987512.75000000012</v>
      </c>
      <c r="O134" s="185">
        <v>0</v>
      </c>
      <c r="P134" s="203"/>
      <c r="Q134" s="185">
        <f t="shared" si="41"/>
        <v>987512.75000000012</v>
      </c>
      <c r="R134" s="185">
        <v>0</v>
      </c>
      <c r="S134" s="185">
        <f t="shared" si="38"/>
        <v>987512.75000000012</v>
      </c>
      <c r="T134" s="185">
        <f t="shared" si="42"/>
        <v>296852.74999999988</v>
      </c>
      <c r="U134" s="159">
        <f t="shared" si="39"/>
        <v>0.30060649849837368</v>
      </c>
      <c r="V134" s="159">
        <f t="shared" si="40"/>
        <v>1.3006064984983736</v>
      </c>
    </row>
    <row r="135" spans="1:24" x14ac:dyDescent="0.3">
      <c r="A135" s="7">
        <f>'WCLA Consolidated MTEF Budget'!F135</f>
        <v>0</v>
      </c>
      <c r="B135" s="7">
        <f t="shared" si="73"/>
        <v>2552.416666666667</v>
      </c>
      <c r="C135" s="7"/>
      <c r="D135" s="7"/>
      <c r="E135" s="7"/>
      <c r="F135" s="7"/>
      <c r="G135" s="7"/>
      <c r="H135" s="7">
        <f t="shared" si="74"/>
        <v>2552.416666666667</v>
      </c>
      <c r="I135" s="159">
        <f t="shared" si="75"/>
        <v>1</v>
      </c>
      <c r="J135" s="159">
        <f t="shared" si="76"/>
        <v>0</v>
      </c>
      <c r="K135" s="13" t="s">
        <v>191</v>
      </c>
      <c r="L135" s="116">
        <v>7</v>
      </c>
      <c r="M135" s="7">
        <f>'WCLA Consolidated MTEF Budget'!N135</f>
        <v>0</v>
      </c>
      <c r="N135" s="185">
        <v>30629.000000000004</v>
      </c>
      <c r="O135" s="185">
        <v>0</v>
      </c>
      <c r="P135" s="203"/>
      <c r="Q135" s="185">
        <f t="shared" si="41"/>
        <v>30629.000000000004</v>
      </c>
      <c r="R135" s="185">
        <v>0</v>
      </c>
      <c r="S135" s="185">
        <f t="shared" si="38"/>
        <v>30629.000000000004</v>
      </c>
      <c r="T135" s="185">
        <f t="shared" si="42"/>
        <v>-30629.000000000004</v>
      </c>
      <c r="U135" s="159">
        <f t="shared" si="39"/>
        <v>-1</v>
      </c>
      <c r="V135" s="159">
        <f t="shared" si="40"/>
        <v>0</v>
      </c>
    </row>
    <row r="136" spans="1:24" x14ac:dyDescent="0.3">
      <c r="A136" s="7">
        <f>'WCLA Consolidated MTEF Budget'!F136</f>
        <v>3509.0000000000005</v>
      </c>
      <c r="B136" s="7">
        <f t="shared" si="73"/>
        <v>5271.5124999999998</v>
      </c>
      <c r="C136" s="7"/>
      <c r="D136" s="7"/>
      <c r="E136" s="7"/>
      <c r="F136" s="7"/>
      <c r="G136" s="7"/>
      <c r="H136" s="7">
        <f t="shared" si="74"/>
        <v>1762.5124999999994</v>
      </c>
      <c r="I136" s="159">
        <f t="shared" si="75"/>
        <v>0.33434664149994892</v>
      </c>
      <c r="J136" s="159">
        <f t="shared" si="76"/>
        <v>0.66565335850005114</v>
      </c>
      <c r="K136" s="13" t="s">
        <v>192</v>
      </c>
      <c r="L136" s="116">
        <v>7</v>
      </c>
      <c r="M136" s="7">
        <f>'WCLA Consolidated MTEF Budget'!N136</f>
        <v>35646.380000000005</v>
      </c>
      <c r="N136" s="185">
        <v>63258.15</v>
      </c>
      <c r="O136" s="185">
        <v>0</v>
      </c>
      <c r="P136" s="203"/>
      <c r="Q136" s="185">
        <f t="shared" si="41"/>
        <v>63258.15</v>
      </c>
      <c r="R136" s="185">
        <v>0</v>
      </c>
      <c r="S136" s="185">
        <f t="shared" ref="S136:S171" si="77">SUM(Q136:R136)</f>
        <v>63258.15</v>
      </c>
      <c r="T136" s="185">
        <f t="shared" si="42"/>
        <v>-27611.769999999997</v>
      </c>
      <c r="U136" s="159">
        <f t="shared" ref="U136:U170" si="78">IFERROR(T136/S136,)</f>
        <v>-0.43649347949631778</v>
      </c>
      <c r="V136" s="159">
        <f t="shared" ref="V136:V170" si="79">IFERROR(M136/S136,)</f>
        <v>0.56350652050368222</v>
      </c>
    </row>
    <row r="137" spans="1:24" x14ac:dyDescent="0.3">
      <c r="A137" s="7">
        <f>'WCLA Consolidated MTEF Budget'!F137</f>
        <v>119427.00000000001</v>
      </c>
      <c r="B137" s="7">
        <f t="shared" si="73"/>
        <v>111972.06666666667</v>
      </c>
      <c r="C137" s="7"/>
      <c r="D137" s="7"/>
      <c r="E137" s="7"/>
      <c r="F137" s="7"/>
      <c r="G137" s="7"/>
      <c r="H137" s="7">
        <f t="shared" si="74"/>
        <v>-7454.9333333333489</v>
      </c>
      <c r="I137" s="159">
        <f t="shared" si="75"/>
        <v>-6.6578509759279383E-2</v>
      </c>
      <c r="J137" s="159">
        <f t="shared" si="76"/>
        <v>1.0665785097592795</v>
      </c>
      <c r="K137" s="16" t="s">
        <v>193</v>
      </c>
      <c r="L137" s="116">
        <v>7</v>
      </c>
      <c r="M137" s="7">
        <f>'WCLA Consolidated MTEF Budget'!N137</f>
        <v>988295</v>
      </c>
      <c r="N137" s="185">
        <v>1343664.8</v>
      </c>
      <c r="O137" s="185">
        <v>0</v>
      </c>
      <c r="P137" s="203"/>
      <c r="Q137" s="185">
        <f t="shared" ref="Q137:Q160" si="80">N137+P137</f>
        <v>1343664.8</v>
      </c>
      <c r="R137" s="185">
        <v>0</v>
      </c>
      <c r="S137" s="185">
        <f t="shared" si="77"/>
        <v>1343664.8</v>
      </c>
      <c r="T137" s="185">
        <f t="shared" si="42"/>
        <v>-355369.80000000005</v>
      </c>
      <c r="U137" s="159">
        <f t="shared" si="78"/>
        <v>-0.26447801564795032</v>
      </c>
      <c r="V137" s="159">
        <f t="shared" si="79"/>
        <v>0.73552198435204963</v>
      </c>
    </row>
    <row r="138" spans="1:24" x14ac:dyDescent="0.3">
      <c r="A138" s="7">
        <f>'WCLA Consolidated MTEF Budget'!F138</f>
        <v>0</v>
      </c>
      <c r="B138" s="7">
        <f t="shared" si="73"/>
        <v>0</v>
      </c>
      <c r="C138" s="7"/>
      <c r="D138" s="7"/>
      <c r="E138" s="7"/>
      <c r="F138" s="7"/>
      <c r="G138" s="7"/>
      <c r="H138" s="7">
        <f t="shared" si="74"/>
        <v>0</v>
      </c>
      <c r="I138" s="159">
        <f t="shared" si="75"/>
        <v>0</v>
      </c>
      <c r="J138" s="159">
        <f t="shared" si="76"/>
        <v>0</v>
      </c>
      <c r="K138" s="13" t="s">
        <v>194</v>
      </c>
      <c r="L138" s="116">
        <v>7</v>
      </c>
      <c r="M138" s="7">
        <f>'WCLA Consolidated MTEF Budget'!N138</f>
        <v>2343</v>
      </c>
      <c r="N138" s="185">
        <v>0</v>
      </c>
      <c r="O138" s="185">
        <v>0</v>
      </c>
      <c r="P138" s="203"/>
      <c r="Q138" s="185">
        <f t="shared" si="80"/>
        <v>0</v>
      </c>
      <c r="R138" s="185">
        <v>0</v>
      </c>
      <c r="S138" s="185">
        <f t="shared" si="77"/>
        <v>0</v>
      </c>
      <c r="T138" s="185">
        <f t="shared" si="42"/>
        <v>2343</v>
      </c>
      <c r="U138" s="159">
        <f t="shared" si="78"/>
        <v>0</v>
      </c>
      <c r="V138" s="159">
        <f t="shared" si="79"/>
        <v>0</v>
      </c>
    </row>
    <row r="139" spans="1:24" x14ac:dyDescent="0.3">
      <c r="A139" s="7">
        <f>'WCLA Consolidated MTEF Budget'!F139</f>
        <v>1270.5</v>
      </c>
      <c r="B139" s="7">
        <f t="shared" si="73"/>
        <v>3082.8833333333337</v>
      </c>
      <c r="C139" s="7"/>
      <c r="D139" s="7"/>
      <c r="E139" s="7"/>
      <c r="F139" s="7"/>
      <c r="G139" s="7"/>
      <c r="H139" s="7">
        <f t="shared" si="74"/>
        <v>1812.3833333333337</v>
      </c>
      <c r="I139" s="159">
        <f t="shared" si="75"/>
        <v>0.58788579954912346</v>
      </c>
      <c r="J139" s="159">
        <f t="shared" si="76"/>
        <v>0.41211420045087654</v>
      </c>
      <c r="K139" s="13" t="s">
        <v>195</v>
      </c>
      <c r="L139" s="116">
        <v>7</v>
      </c>
      <c r="M139" s="7">
        <f>'WCLA Consolidated MTEF Budget'!N139</f>
        <v>24909.5</v>
      </c>
      <c r="N139" s="185">
        <v>36994.600000000006</v>
      </c>
      <c r="O139" s="185">
        <v>0</v>
      </c>
      <c r="P139" s="203"/>
      <c r="Q139" s="185">
        <f t="shared" si="80"/>
        <v>36994.600000000006</v>
      </c>
      <c r="R139" s="185">
        <v>0</v>
      </c>
      <c r="S139" s="185">
        <f t="shared" si="77"/>
        <v>36994.600000000006</v>
      </c>
      <c r="T139" s="185">
        <f t="shared" si="42"/>
        <v>-12085.100000000006</v>
      </c>
      <c r="U139" s="159">
        <f t="shared" si="78"/>
        <v>-0.32667200077849212</v>
      </c>
      <c r="V139" s="159">
        <f t="shared" si="79"/>
        <v>0.67332799922150788</v>
      </c>
    </row>
    <row r="140" spans="1:24" x14ac:dyDescent="0.3">
      <c r="A140" s="7">
        <f>'WCLA Consolidated MTEF Budget'!F140</f>
        <v>1501.5000000000002</v>
      </c>
      <c r="B140" s="7">
        <f t="shared" si="73"/>
        <v>2546.0583333333334</v>
      </c>
      <c r="C140" s="7"/>
      <c r="D140" s="7"/>
      <c r="E140" s="7"/>
      <c r="F140" s="7"/>
      <c r="G140" s="7"/>
      <c r="H140" s="7">
        <f t="shared" si="74"/>
        <v>1044.5583333333332</v>
      </c>
      <c r="I140" s="159">
        <f t="shared" si="75"/>
        <v>0.410264886573036</v>
      </c>
      <c r="J140" s="159">
        <f t="shared" si="76"/>
        <v>0.58973511342696394</v>
      </c>
      <c r="K140" s="16" t="s">
        <v>196</v>
      </c>
      <c r="L140" s="116">
        <v>7</v>
      </c>
      <c r="M140" s="7">
        <f>'WCLA Consolidated MTEF Budget'!N140</f>
        <v>45281.5</v>
      </c>
      <c r="N140" s="185">
        <v>30552.7</v>
      </c>
      <c r="O140" s="185">
        <v>0</v>
      </c>
      <c r="P140" s="203"/>
      <c r="Q140" s="185">
        <f t="shared" si="80"/>
        <v>30552.7</v>
      </c>
      <c r="R140" s="185">
        <v>0</v>
      </c>
      <c r="S140" s="185">
        <f t="shared" si="77"/>
        <v>30552.7</v>
      </c>
      <c r="T140" s="185">
        <f t="shared" si="42"/>
        <v>14728.8</v>
      </c>
      <c r="U140" s="159">
        <f t="shared" si="78"/>
        <v>0.4820785069731971</v>
      </c>
      <c r="V140" s="159">
        <f t="shared" si="79"/>
        <v>1.4820785069731972</v>
      </c>
    </row>
    <row r="141" spans="1:24" x14ac:dyDescent="0.3">
      <c r="A141" s="7">
        <f>'WCLA Consolidated MTEF Budget'!F141</f>
        <v>17248</v>
      </c>
      <c r="B141" s="7">
        <f t="shared" si="73"/>
        <v>12513.200000000003</v>
      </c>
      <c r="C141" s="7"/>
      <c r="D141" s="7"/>
      <c r="E141" s="7"/>
      <c r="F141" s="7"/>
      <c r="G141" s="7"/>
      <c r="H141" s="7">
        <f t="shared" si="74"/>
        <v>-4734.7999999999975</v>
      </c>
      <c r="I141" s="159">
        <f t="shared" si="75"/>
        <v>-0.37838442604609507</v>
      </c>
      <c r="J141" s="159">
        <f t="shared" si="76"/>
        <v>1.3783844260460951</v>
      </c>
      <c r="K141" s="13" t="s">
        <v>197</v>
      </c>
      <c r="L141" s="116">
        <v>7</v>
      </c>
      <c r="M141" s="7">
        <f>'WCLA Consolidated MTEF Budget'!N141</f>
        <v>167948</v>
      </c>
      <c r="N141" s="185">
        <v>150158.40000000002</v>
      </c>
      <c r="O141" s="185">
        <v>0</v>
      </c>
      <c r="P141" s="203"/>
      <c r="Q141" s="185">
        <f t="shared" si="80"/>
        <v>150158.40000000002</v>
      </c>
      <c r="R141" s="185">
        <v>0</v>
      </c>
      <c r="S141" s="185">
        <f t="shared" si="77"/>
        <v>150158.40000000002</v>
      </c>
      <c r="T141" s="185">
        <f t="shared" si="42"/>
        <v>17789.599999999977</v>
      </c>
      <c r="U141" s="159">
        <f t="shared" si="78"/>
        <v>0.11847222666197811</v>
      </c>
      <c r="V141" s="159">
        <f t="shared" si="79"/>
        <v>1.1184722266619782</v>
      </c>
    </row>
    <row r="142" spans="1:24" x14ac:dyDescent="0.3">
      <c r="A142" s="7">
        <f>'WCLA Consolidated MTEF Budget'!F142</f>
        <v>30459.000000000004</v>
      </c>
      <c r="B142" s="7">
        <f t="shared" si="73"/>
        <v>10829.15</v>
      </c>
      <c r="C142" s="7"/>
      <c r="D142" s="7"/>
      <c r="E142" s="7"/>
      <c r="F142" s="7"/>
      <c r="G142" s="7"/>
      <c r="H142" s="7">
        <f t="shared" si="74"/>
        <v>-19629.850000000006</v>
      </c>
      <c r="I142" s="159">
        <f t="shared" si="75"/>
        <v>-1.8126861295669565</v>
      </c>
      <c r="J142" s="159">
        <f t="shared" si="76"/>
        <v>2.8126861295669561</v>
      </c>
      <c r="K142" s="13" t="s">
        <v>198</v>
      </c>
      <c r="L142" s="116">
        <v>7</v>
      </c>
      <c r="M142" s="7">
        <f>'WCLA Consolidated MTEF Budget'!N142</f>
        <v>186065</v>
      </c>
      <c r="N142" s="185">
        <v>129949.8</v>
      </c>
      <c r="O142" s="185">
        <v>0</v>
      </c>
      <c r="P142" s="203"/>
      <c r="Q142" s="185">
        <f t="shared" si="80"/>
        <v>129949.8</v>
      </c>
      <c r="R142" s="185">
        <v>0</v>
      </c>
      <c r="S142" s="185">
        <f t="shared" si="77"/>
        <v>129949.8</v>
      </c>
      <c r="T142" s="185">
        <f t="shared" si="42"/>
        <v>56115.199999999997</v>
      </c>
      <c r="U142" s="159">
        <f t="shared" si="78"/>
        <v>0.43182213439343498</v>
      </c>
      <c r="V142" s="159">
        <f t="shared" si="79"/>
        <v>1.431822134393435</v>
      </c>
    </row>
    <row r="143" spans="1:24" x14ac:dyDescent="0.3">
      <c r="A143" s="7">
        <f>'WCLA Consolidated MTEF Budget'!F143</f>
        <v>968.00000000000011</v>
      </c>
      <c r="B143" s="7">
        <f t="shared" si="73"/>
        <v>1926.575</v>
      </c>
      <c r="C143" s="7"/>
      <c r="D143" s="7"/>
      <c r="E143" s="7"/>
      <c r="F143" s="7"/>
      <c r="G143" s="7"/>
      <c r="H143" s="7">
        <f t="shared" si="74"/>
        <v>958.57499999999993</v>
      </c>
      <c r="I143" s="159">
        <f t="shared" si="75"/>
        <v>0.49755394936610303</v>
      </c>
      <c r="J143" s="159">
        <f t="shared" si="76"/>
        <v>0.50244605063389702</v>
      </c>
      <c r="K143" s="16" t="s">
        <v>199</v>
      </c>
      <c r="L143" s="116">
        <v>7</v>
      </c>
      <c r="M143" s="7">
        <f>'WCLA Consolidated MTEF Budget'!N143</f>
        <v>22660</v>
      </c>
      <c r="N143" s="185">
        <v>23118.9</v>
      </c>
      <c r="O143" s="185">
        <v>0</v>
      </c>
      <c r="P143" s="203"/>
      <c r="Q143" s="185">
        <f t="shared" si="80"/>
        <v>23118.9</v>
      </c>
      <c r="R143" s="185">
        <v>0</v>
      </c>
      <c r="S143" s="185">
        <f t="shared" si="77"/>
        <v>23118.9</v>
      </c>
      <c r="T143" s="185">
        <f t="shared" si="42"/>
        <v>-458.90000000000146</v>
      </c>
      <c r="U143" s="159">
        <f t="shared" si="78"/>
        <v>-1.9849560316451104E-2</v>
      </c>
      <c r="V143" s="159">
        <f t="shared" si="79"/>
        <v>0.98015043968354887</v>
      </c>
    </row>
    <row r="144" spans="1:24" x14ac:dyDescent="0.3">
      <c r="A144" s="7">
        <f>'WCLA Consolidated MTEF Budget'!F144</f>
        <v>1562.0000000000002</v>
      </c>
      <c r="B144" s="7">
        <f t="shared" si="73"/>
        <v>370.60000000000008</v>
      </c>
      <c r="C144" s="7"/>
      <c r="D144" s="7"/>
      <c r="E144" s="7"/>
      <c r="F144" s="7"/>
      <c r="G144" s="7"/>
      <c r="H144" s="7">
        <f t="shared" si="74"/>
        <v>-1191.4000000000001</v>
      </c>
      <c r="I144" s="159">
        <f t="shared" si="75"/>
        <v>-3.2147868321640578</v>
      </c>
      <c r="J144" s="159">
        <f t="shared" si="76"/>
        <v>4.2147868321640578</v>
      </c>
      <c r="K144" s="13" t="s">
        <v>200</v>
      </c>
      <c r="L144" s="116">
        <v>7</v>
      </c>
      <c r="M144" s="7">
        <f>'WCLA Consolidated MTEF Budget'!N144</f>
        <v>31108</v>
      </c>
      <c r="N144" s="185">
        <v>4447.2000000000007</v>
      </c>
      <c r="O144" s="185">
        <v>0</v>
      </c>
      <c r="P144" s="203"/>
      <c r="Q144" s="185">
        <f t="shared" si="80"/>
        <v>4447.2000000000007</v>
      </c>
      <c r="R144" s="185">
        <v>0</v>
      </c>
      <c r="S144" s="185">
        <f t="shared" si="77"/>
        <v>4447.2000000000007</v>
      </c>
      <c r="T144" s="185">
        <f t="shared" si="42"/>
        <v>26660.799999999999</v>
      </c>
      <c r="U144" s="159">
        <f t="shared" si="78"/>
        <v>5.9949631228638234</v>
      </c>
      <c r="V144" s="159">
        <f t="shared" si="79"/>
        <v>6.9949631228638234</v>
      </c>
    </row>
    <row r="145" spans="1:22" x14ac:dyDescent="0.3">
      <c r="A145" s="7">
        <f>'WCLA Consolidated MTEF Budget'!F145</f>
        <v>14745.500000000002</v>
      </c>
      <c r="B145" s="7">
        <f t="shared" si="73"/>
        <v>10997.191666666668</v>
      </c>
      <c r="C145" s="7"/>
      <c r="D145" s="7"/>
      <c r="E145" s="7"/>
      <c r="F145" s="7"/>
      <c r="G145" s="7"/>
      <c r="H145" s="7">
        <f t="shared" si="74"/>
        <v>-3748.3083333333343</v>
      </c>
      <c r="I145" s="159">
        <f t="shared" si="75"/>
        <v>-0.34084232110773743</v>
      </c>
      <c r="J145" s="159">
        <f t="shared" si="76"/>
        <v>1.3408423211077374</v>
      </c>
      <c r="K145" s="13" t="s">
        <v>201</v>
      </c>
      <c r="L145" s="116">
        <v>7</v>
      </c>
      <c r="M145" s="7">
        <f>'WCLA Consolidated MTEF Budget'!N145</f>
        <v>136461.6</v>
      </c>
      <c r="N145" s="185">
        <v>131966.30000000002</v>
      </c>
      <c r="O145" s="185">
        <v>0</v>
      </c>
      <c r="P145" s="203"/>
      <c r="Q145" s="185">
        <f t="shared" si="80"/>
        <v>131966.30000000002</v>
      </c>
      <c r="R145" s="185">
        <v>0</v>
      </c>
      <c r="S145" s="185">
        <f t="shared" si="77"/>
        <v>131966.30000000002</v>
      </c>
      <c r="T145" s="185">
        <f t="shared" si="42"/>
        <v>4495.2999999999884</v>
      </c>
      <c r="U145" s="159">
        <f t="shared" si="78"/>
        <v>3.4063999672643605E-2</v>
      </c>
      <c r="V145" s="159">
        <f t="shared" si="79"/>
        <v>1.0340639996726435</v>
      </c>
    </row>
    <row r="146" spans="1:22" x14ac:dyDescent="0.3">
      <c r="A146" s="7">
        <f>'WCLA Consolidated MTEF Budget'!F146</f>
        <v>7876.0000000000009</v>
      </c>
      <c r="B146" s="7">
        <f t="shared" si="73"/>
        <v>6224.8083333333343</v>
      </c>
      <c r="C146" s="7"/>
      <c r="D146" s="7"/>
      <c r="E146" s="7"/>
      <c r="F146" s="7"/>
      <c r="G146" s="7"/>
      <c r="H146" s="7">
        <f t="shared" si="74"/>
        <v>-1651.1916666666666</v>
      </c>
      <c r="I146" s="159">
        <f t="shared" si="75"/>
        <v>-0.26525984066443808</v>
      </c>
      <c r="J146" s="159">
        <f t="shared" si="76"/>
        <v>1.265259840664438</v>
      </c>
      <c r="K146" s="16" t="s">
        <v>202</v>
      </c>
      <c r="L146" s="116">
        <v>7</v>
      </c>
      <c r="M146" s="7">
        <f>'WCLA Consolidated MTEF Budget'!N146</f>
        <v>112277</v>
      </c>
      <c r="N146" s="185">
        <v>74697.700000000012</v>
      </c>
      <c r="O146" s="185">
        <v>0</v>
      </c>
      <c r="P146" s="203"/>
      <c r="Q146" s="185">
        <f t="shared" si="80"/>
        <v>74697.700000000012</v>
      </c>
      <c r="R146" s="185">
        <v>0</v>
      </c>
      <c r="S146" s="185">
        <f t="shared" si="77"/>
        <v>74697.700000000012</v>
      </c>
      <c r="T146" s="185">
        <f t="shared" si="42"/>
        <v>37579.299999999988</v>
      </c>
      <c r="U146" s="159">
        <f t="shared" si="78"/>
        <v>0.5030851016831841</v>
      </c>
      <c r="V146" s="159">
        <f t="shared" si="79"/>
        <v>1.5030851016831841</v>
      </c>
    </row>
    <row r="147" spans="1:22" x14ac:dyDescent="0.3">
      <c r="A147" s="7">
        <f>'WCLA Consolidated MTEF Budget'!F147</f>
        <v>0</v>
      </c>
      <c r="B147" s="7">
        <f t="shared" si="73"/>
        <v>174.85416666666666</v>
      </c>
      <c r="C147" s="7"/>
      <c r="D147" s="7"/>
      <c r="E147" s="7"/>
      <c r="F147" s="7"/>
      <c r="G147" s="7"/>
      <c r="H147" s="7">
        <f t="shared" si="74"/>
        <v>174.85416666666666</v>
      </c>
      <c r="I147" s="159">
        <f t="shared" si="75"/>
        <v>1</v>
      </c>
      <c r="J147" s="159">
        <f t="shared" si="76"/>
        <v>0</v>
      </c>
      <c r="K147" s="13" t="s">
        <v>203</v>
      </c>
      <c r="L147" s="116">
        <v>7</v>
      </c>
      <c r="M147" s="7">
        <f>'WCLA Consolidated MTEF Budget'!N147</f>
        <v>0</v>
      </c>
      <c r="N147" s="185">
        <v>2098.25</v>
      </c>
      <c r="O147" s="185">
        <v>0</v>
      </c>
      <c r="P147" s="203"/>
      <c r="Q147" s="185">
        <f t="shared" si="80"/>
        <v>2098.25</v>
      </c>
      <c r="R147" s="185">
        <v>0</v>
      </c>
      <c r="S147" s="185">
        <f t="shared" si="77"/>
        <v>2098.25</v>
      </c>
      <c r="T147" s="185">
        <f t="shared" si="42"/>
        <v>-2098.25</v>
      </c>
      <c r="U147" s="159">
        <f t="shared" si="78"/>
        <v>-1</v>
      </c>
      <c r="V147" s="159">
        <f t="shared" si="79"/>
        <v>0</v>
      </c>
    </row>
    <row r="148" spans="1:22" x14ac:dyDescent="0.3">
      <c r="A148" s="7">
        <f>'WCLA Consolidated MTEF Budget'!F148</f>
        <v>847.00000000000011</v>
      </c>
      <c r="B148" s="7">
        <f t="shared" si="73"/>
        <v>518.65833333333342</v>
      </c>
      <c r="C148" s="7"/>
      <c r="D148" s="7"/>
      <c r="E148" s="7"/>
      <c r="F148" s="7"/>
      <c r="G148" s="7"/>
      <c r="H148" s="7">
        <f t="shared" si="74"/>
        <v>-328.3416666666667</v>
      </c>
      <c r="I148" s="159">
        <f t="shared" si="75"/>
        <v>-0.63305965712816714</v>
      </c>
      <c r="J148" s="159">
        <f t="shared" si="76"/>
        <v>1.6330596571281673</v>
      </c>
      <c r="K148" s="13" t="s">
        <v>204</v>
      </c>
      <c r="L148" s="116">
        <v>7</v>
      </c>
      <c r="M148" s="7">
        <f>'WCLA Consolidated MTEF Budget'!N148</f>
        <v>7221.5000000000009</v>
      </c>
      <c r="N148" s="185">
        <v>6223.9000000000005</v>
      </c>
      <c r="O148" s="185">
        <v>0</v>
      </c>
      <c r="P148" s="203"/>
      <c r="Q148" s="185">
        <f t="shared" si="80"/>
        <v>6223.9000000000005</v>
      </c>
      <c r="R148" s="185">
        <v>0</v>
      </c>
      <c r="S148" s="185">
        <f t="shared" si="77"/>
        <v>6223.9000000000005</v>
      </c>
      <c r="T148" s="185">
        <f t="shared" ref="T148:T171" si="81">M148-S148</f>
        <v>997.60000000000036</v>
      </c>
      <c r="U148" s="159">
        <f t="shared" si="78"/>
        <v>0.16028535162840024</v>
      </c>
      <c r="V148" s="159">
        <f t="shared" si="79"/>
        <v>1.1602853516284002</v>
      </c>
    </row>
    <row r="149" spans="1:22" x14ac:dyDescent="0.3">
      <c r="A149" s="7">
        <f>'WCLA Consolidated MTEF Budget'!F149</f>
        <v>0</v>
      </c>
      <c r="B149" s="7">
        <f t="shared" si="73"/>
        <v>287.03333333333336</v>
      </c>
      <c r="C149" s="7"/>
      <c r="D149" s="7"/>
      <c r="E149" s="7"/>
      <c r="F149" s="7"/>
      <c r="G149" s="7"/>
      <c r="H149" s="7">
        <f t="shared" si="74"/>
        <v>287.03333333333336</v>
      </c>
      <c r="I149" s="159">
        <f t="shared" si="75"/>
        <v>1</v>
      </c>
      <c r="J149" s="159">
        <f t="shared" si="76"/>
        <v>0</v>
      </c>
      <c r="K149" s="16" t="s">
        <v>205</v>
      </c>
      <c r="L149" s="116">
        <v>7</v>
      </c>
      <c r="M149" s="7">
        <f>'WCLA Consolidated MTEF Budget'!N149</f>
        <v>1292.5000000000002</v>
      </c>
      <c r="N149" s="185">
        <v>3444.4</v>
      </c>
      <c r="O149" s="185">
        <v>0</v>
      </c>
      <c r="P149" s="203"/>
      <c r="Q149" s="185">
        <f t="shared" si="80"/>
        <v>3444.4</v>
      </c>
      <c r="R149" s="185">
        <v>0</v>
      </c>
      <c r="S149" s="185">
        <f t="shared" si="77"/>
        <v>3444.4</v>
      </c>
      <c r="T149" s="185">
        <f t="shared" si="81"/>
        <v>-2151.8999999999996</v>
      </c>
      <c r="U149" s="159">
        <f t="shared" si="78"/>
        <v>-0.62475322262222721</v>
      </c>
      <c r="V149" s="159">
        <f t="shared" si="79"/>
        <v>0.37524677737777268</v>
      </c>
    </row>
    <row r="150" spans="1:22" x14ac:dyDescent="0.3">
      <c r="A150" s="7">
        <f>'WCLA Consolidated MTEF Budget'!F150</f>
        <v>0</v>
      </c>
      <c r="B150" s="7">
        <f t="shared" si="73"/>
        <v>0</v>
      </c>
      <c r="C150" s="7"/>
      <c r="D150" s="7"/>
      <c r="E150" s="7"/>
      <c r="F150" s="7"/>
      <c r="G150" s="7"/>
      <c r="H150" s="7">
        <f t="shared" si="74"/>
        <v>0</v>
      </c>
      <c r="I150" s="159">
        <f t="shared" si="75"/>
        <v>0</v>
      </c>
      <c r="J150" s="159">
        <f t="shared" si="76"/>
        <v>0</v>
      </c>
      <c r="K150" s="13" t="s">
        <v>206</v>
      </c>
      <c r="L150" s="116">
        <v>7</v>
      </c>
      <c r="M150" s="7">
        <f>'WCLA Consolidated MTEF Budget'!N150</f>
        <v>0</v>
      </c>
      <c r="N150" s="185">
        <v>0</v>
      </c>
      <c r="O150" s="185">
        <v>0</v>
      </c>
      <c r="P150" s="203"/>
      <c r="Q150" s="185">
        <f t="shared" si="80"/>
        <v>0</v>
      </c>
      <c r="R150" s="185">
        <v>0</v>
      </c>
      <c r="S150" s="185">
        <f t="shared" si="77"/>
        <v>0</v>
      </c>
      <c r="T150" s="185">
        <f t="shared" si="81"/>
        <v>0</v>
      </c>
      <c r="U150" s="159">
        <f t="shared" si="78"/>
        <v>0</v>
      </c>
      <c r="V150" s="159">
        <f t="shared" si="79"/>
        <v>0</v>
      </c>
    </row>
    <row r="151" spans="1:22" x14ac:dyDescent="0.3">
      <c r="A151" s="7">
        <f>'WCLA Consolidated MTEF Budget'!F151</f>
        <v>0</v>
      </c>
      <c r="B151" s="7">
        <f t="shared" si="73"/>
        <v>193.47500000000002</v>
      </c>
      <c r="C151" s="7"/>
      <c r="D151" s="7"/>
      <c r="E151" s="7"/>
      <c r="F151" s="7"/>
      <c r="G151" s="7"/>
      <c r="H151" s="7">
        <f t="shared" si="74"/>
        <v>193.47500000000002</v>
      </c>
      <c r="I151" s="159">
        <f t="shared" si="75"/>
        <v>1</v>
      </c>
      <c r="J151" s="159">
        <f t="shared" si="76"/>
        <v>0</v>
      </c>
      <c r="K151" s="13" t="s">
        <v>207</v>
      </c>
      <c r="L151" s="116">
        <v>7</v>
      </c>
      <c r="M151" s="7">
        <f>'WCLA Consolidated MTEF Budget'!N151</f>
        <v>0</v>
      </c>
      <c r="N151" s="185">
        <v>2321.7000000000003</v>
      </c>
      <c r="O151" s="185">
        <v>0</v>
      </c>
      <c r="P151" s="203"/>
      <c r="Q151" s="185">
        <f t="shared" si="80"/>
        <v>2321.7000000000003</v>
      </c>
      <c r="R151" s="185">
        <v>0</v>
      </c>
      <c r="S151" s="185">
        <f t="shared" si="77"/>
        <v>2321.7000000000003</v>
      </c>
      <c r="T151" s="185">
        <f t="shared" si="81"/>
        <v>-2321.7000000000003</v>
      </c>
      <c r="U151" s="159">
        <f t="shared" si="78"/>
        <v>-1</v>
      </c>
      <c r="V151" s="159">
        <f t="shared" si="79"/>
        <v>0</v>
      </c>
    </row>
    <row r="152" spans="1:22" x14ac:dyDescent="0.3">
      <c r="A152" s="7">
        <f>'WCLA Consolidated MTEF Budget'!F152</f>
        <v>0</v>
      </c>
      <c r="B152" s="7">
        <f t="shared" si="73"/>
        <v>247.06666666666669</v>
      </c>
      <c r="C152" s="7"/>
      <c r="D152" s="7"/>
      <c r="E152" s="7"/>
      <c r="F152" s="7"/>
      <c r="G152" s="7"/>
      <c r="H152" s="7">
        <f t="shared" si="74"/>
        <v>247.06666666666669</v>
      </c>
      <c r="I152" s="159">
        <f t="shared" si="75"/>
        <v>1</v>
      </c>
      <c r="J152" s="159">
        <f t="shared" si="76"/>
        <v>0</v>
      </c>
      <c r="K152" s="16" t="s">
        <v>208</v>
      </c>
      <c r="L152" s="116">
        <v>7</v>
      </c>
      <c r="M152" s="7">
        <f>'WCLA Consolidated MTEF Budget'!N152</f>
        <v>0</v>
      </c>
      <c r="N152" s="185">
        <v>2964.8</v>
      </c>
      <c r="O152" s="185">
        <v>0</v>
      </c>
      <c r="P152" s="203"/>
      <c r="Q152" s="185">
        <f t="shared" si="80"/>
        <v>2964.8</v>
      </c>
      <c r="R152" s="185">
        <v>0</v>
      </c>
      <c r="S152" s="185">
        <f t="shared" si="77"/>
        <v>2964.8</v>
      </c>
      <c r="T152" s="185">
        <f t="shared" si="81"/>
        <v>-2964.8</v>
      </c>
      <c r="U152" s="159">
        <f t="shared" si="78"/>
        <v>-1</v>
      </c>
      <c r="V152" s="159">
        <f t="shared" si="79"/>
        <v>0</v>
      </c>
    </row>
    <row r="153" spans="1:22" x14ac:dyDescent="0.3">
      <c r="A153" s="7">
        <f>'WCLA Consolidated MTEF Budget'!F153</f>
        <v>1270.5</v>
      </c>
      <c r="B153" s="7">
        <f t="shared" si="73"/>
        <v>2467.0333333333333</v>
      </c>
      <c r="C153" s="7"/>
      <c r="D153" s="7"/>
      <c r="E153" s="7"/>
      <c r="F153" s="7"/>
      <c r="G153" s="7"/>
      <c r="H153" s="7">
        <f t="shared" si="74"/>
        <v>1196.5333333333333</v>
      </c>
      <c r="I153" s="159">
        <f t="shared" si="75"/>
        <v>0.48500898515085594</v>
      </c>
      <c r="J153" s="159">
        <f t="shared" si="76"/>
        <v>0.514991014849144</v>
      </c>
      <c r="K153" s="13" t="s">
        <v>209</v>
      </c>
      <c r="L153" s="116">
        <v>7</v>
      </c>
      <c r="M153" s="7">
        <f>'WCLA Consolidated MTEF Budget'!N153</f>
        <v>18612.000000000004</v>
      </c>
      <c r="N153" s="185">
        <v>29604.400000000001</v>
      </c>
      <c r="O153" s="185">
        <v>0</v>
      </c>
      <c r="P153" s="203"/>
      <c r="Q153" s="185">
        <f t="shared" si="80"/>
        <v>29604.400000000001</v>
      </c>
      <c r="R153" s="185">
        <v>0</v>
      </c>
      <c r="S153" s="185">
        <f t="shared" si="77"/>
        <v>29604.400000000001</v>
      </c>
      <c r="T153" s="185">
        <f t="shared" si="81"/>
        <v>-10992.399999999998</v>
      </c>
      <c r="U153" s="159">
        <f t="shared" si="78"/>
        <v>-0.37130967018416172</v>
      </c>
      <c r="V153" s="159">
        <f t="shared" si="79"/>
        <v>0.62869032981583828</v>
      </c>
    </row>
    <row r="154" spans="1:22" x14ac:dyDescent="0.3">
      <c r="A154" s="7">
        <f>'WCLA Consolidated MTEF Budget'!F154</f>
        <v>2343</v>
      </c>
      <c r="B154" s="7">
        <f t="shared" si="73"/>
        <v>3919.4583333333335</v>
      </c>
      <c r="C154" s="7"/>
      <c r="D154" s="7"/>
      <c r="E154" s="7"/>
      <c r="F154" s="7"/>
      <c r="G154" s="7"/>
      <c r="H154" s="7">
        <f t="shared" si="74"/>
        <v>1576.4583333333335</v>
      </c>
      <c r="I154" s="159">
        <f t="shared" si="75"/>
        <v>0.40221331604069444</v>
      </c>
      <c r="J154" s="159">
        <f t="shared" si="76"/>
        <v>0.59778668395930556</v>
      </c>
      <c r="K154" s="13" t="s">
        <v>210</v>
      </c>
      <c r="L154" s="116">
        <v>7</v>
      </c>
      <c r="M154" s="7">
        <f>'WCLA Consolidated MTEF Budget'!N154</f>
        <v>34276</v>
      </c>
      <c r="N154" s="185">
        <v>47033.5</v>
      </c>
      <c r="O154" s="185">
        <v>0</v>
      </c>
      <c r="P154" s="203"/>
      <c r="Q154" s="185">
        <f t="shared" si="80"/>
        <v>47033.5</v>
      </c>
      <c r="R154" s="185">
        <v>0</v>
      </c>
      <c r="S154" s="185">
        <f t="shared" si="77"/>
        <v>47033.5</v>
      </c>
      <c r="T154" s="185">
        <f t="shared" si="81"/>
        <v>-12757.5</v>
      </c>
      <c r="U154" s="159">
        <f t="shared" si="78"/>
        <v>-0.27124283755195766</v>
      </c>
      <c r="V154" s="159">
        <f t="shared" si="79"/>
        <v>0.72875716244804234</v>
      </c>
    </row>
    <row r="155" spans="1:22" x14ac:dyDescent="0.3">
      <c r="A155" s="7">
        <f>'WCLA Consolidated MTEF Budget'!F155</f>
        <v>74338</v>
      </c>
      <c r="B155" s="7">
        <f t="shared" si="73"/>
        <v>27550.658333333336</v>
      </c>
      <c r="C155" s="7"/>
      <c r="D155" s="7"/>
      <c r="E155" s="7"/>
      <c r="F155" s="7"/>
      <c r="G155" s="7"/>
      <c r="H155" s="7">
        <f t="shared" si="74"/>
        <v>-46787.34166666666</v>
      </c>
      <c r="I155" s="159">
        <f t="shared" si="75"/>
        <v>-1.6982295341399885</v>
      </c>
      <c r="J155" s="159">
        <f t="shared" si="76"/>
        <v>2.6982295341399887</v>
      </c>
      <c r="K155" s="16" t="s">
        <v>211</v>
      </c>
      <c r="L155" s="116">
        <v>7</v>
      </c>
      <c r="M155" s="7">
        <f>'WCLA Consolidated MTEF Budget'!N155</f>
        <v>995027</v>
      </c>
      <c r="N155" s="185">
        <v>330607.90000000002</v>
      </c>
      <c r="O155" s="185">
        <v>0</v>
      </c>
      <c r="P155" s="203"/>
      <c r="Q155" s="185">
        <f t="shared" si="80"/>
        <v>330607.90000000002</v>
      </c>
      <c r="R155" s="185">
        <v>0</v>
      </c>
      <c r="S155" s="185">
        <f t="shared" si="77"/>
        <v>330607.90000000002</v>
      </c>
      <c r="T155" s="185">
        <f t="shared" si="81"/>
        <v>664419.1</v>
      </c>
      <c r="U155" s="159">
        <f t="shared" si="78"/>
        <v>2.0096891211613515</v>
      </c>
      <c r="V155" s="159">
        <f t="shared" si="79"/>
        <v>3.0096891211613515</v>
      </c>
    </row>
    <row r="156" spans="1:22" x14ac:dyDescent="0.3">
      <c r="A156" s="7">
        <f>'WCLA Consolidated MTEF Budget'!F156</f>
        <v>156029.5</v>
      </c>
      <c r="B156" s="7">
        <f t="shared" si="73"/>
        <v>78738.875000000015</v>
      </c>
      <c r="C156" s="7"/>
      <c r="D156" s="7"/>
      <c r="E156" s="7"/>
      <c r="F156" s="7"/>
      <c r="G156" s="7"/>
      <c r="H156" s="7">
        <f t="shared" si="74"/>
        <v>-77290.624999999985</v>
      </c>
      <c r="I156" s="159">
        <f t="shared" si="75"/>
        <v>-0.98160692542279748</v>
      </c>
      <c r="J156" s="159">
        <f t="shared" si="76"/>
        <v>1.9816069254227975</v>
      </c>
      <c r="K156" s="13" t="s">
        <v>212</v>
      </c>
      <c r="L156" s="116">
        <v>7</v>
      </c>
      <c r="M156" s="7">
        <f>'WCLA Consolidated MTEF Budget'!N156</f>
        <v>1920391</v>
      </c>
      <c r="N156" s="185">
        <v>944866.50000000012</v>
      </c>
      <c r="O156" s="185">
        <v>0</v>
      </c>
      <c r="P156" s="203"/>
      <c r="Q156" s="185">
        <f t="shared" si="80"/>
        <v>944866.50000000012</v>
      </c>
      <c r="R156" s="185">
        <v>0</v>
      </c>
      <c r="S156" s="185">
        <f t="shared" si="77"/>
        <v>944866.50000000012</v>
      </c>
      <c r="T156" s="185">
        <f t="shared" si="81"/>
        <v>975524.49999999988</v>
      </c>
      <c r="U156" s="159">
        <f t="shared" si="78"/>
        <v>1.0324469118124093</v>
      </c>
      <c r="V156" s="159">
        <f t="shared" si="79"/>
        <v>2.0324469118124093</v>
      </c>
    </row>
    <row r="157" spans="1:22" x14ac:dyDescent="0.3">
      <c r="A157" s="7">
        <f>'WCLA Consolidated MTEF Budget'!F157</f>
        <v>40986</v>
      </c>
      <c r="B157" s="7">
        <f t="shared" si="73"/>
        <v>40181.941666666673</v>
      </c>
      <c r="C157" s="7"/>
      <c r="D157" s="7"/>
      <c r="E157" s="7"/>
      <c r="F157" s="7"/>
      <c r="G157" s="7"/>
      <c r="H157" s="7">
        <f t="shared" si="74"/>
        <v>-804.05833333332703</v>
      </c>
      <c r="I157" s="159">
        <f t="shared" si="75"/>
        <v>-2.001044001316496E-2</v>
      </c>
      <c r="J157" s="159">
        <f t="shared" si="76"/>
        <v>1.0200104400131649</v>
      </c>
      <c r="K157" s="13" t="s">
        <v>213</v>
      </c>
      <c r="L157" s="116">
        <v>7</v>
      </c>
      <c r="M157" s="7">
        <f>'WCLA Consolidated MTEF Budget'!N157</f>
        <v>612997</v>
      </c>
      <c r="N157" s="185">
        <v>482183.30000000005</v>
      </c>
      <c r="O157" s="185">
        <v>0</v>
      </c>
      <c r="P157" s="203"/>
      <c r="Q157" s="185">
        <f t="shared" si="80"/>
        <v>482183.30000000005</v>
      </c>
      <c r="R157" s="185">
        <v>0</v>
      </c>
      <c r="S157" s="185">
        <f t="shared" si="77"/>
        <v>482183.30000000005</v>
      </c>
      <c r="T157" s="185">
        <f t="shared" si="81"/>
        <v>130813.69999999995</v>
      </c>
      <c r="U157" s="159">
        <f t="shared" si="78"/>
        <v>0.2712945471151737</v>
      </c>
      <c r="V157" s="159">
        <f t="shared" si="79"/>
        <v>1.2712945471151738</v>
      </c>
    </row>
    <row r="158" spans="1:22" x14ac:dyDescent="0.3">
      <c r="A158" s="7">
        <f>'WCLA Consolidated MTEF Budget'!F158</f>
        <v>67545.5</v>
      </c>
      <c r="B158" s="7">
        <f t="shared" si="73"/>
        <v>29651.633333333335</v>
      </c>
      <c r="C158" s="7"/>
      <c r="D158" s="7"/>
      <c r="E158" s="7"/>
      <c r="F158" s="7"/>
      <c r="G158" s="7"/>
      <c r="H158" s="7">
        <f t="shared" si="74"/>
        <v>-37893.866666666669</v>
      </c>
      <c r="I158" s="159">
        <f t="shared" si="75"/>
        <v>-1.2779689483097614</v>
      </c>
      <c r="J158" s="159">
        <f t="shared" si="76"/>
        <v>2.2779689483097614</v>
      </c>
      <c r="K158" s="16" t="s">
        <v>214</v>
      </c>
      <c r="L158" s="116">
        <v>7</v>
      </c>
      <c r="M158" s="7">
        <f>'WCLA Consolidated MTEF Budget'!N158</f>
        <v>416520.50000000006</v>
      </c>
      <c r="N158" s="185">
        <v>355819.60000000003</v>
      </c>
      <c r="O158" s="185">
        <v>0</v>
      </c>
      <c r="P158" s="203"/>
      <c r="Q158" s="185">
        <f t="shared" si="80"/>
        <v>355819.60000000003</v>
      </c>
      <c r="R158" s="185">
        <v>0</v>
      </c>
      <c r="S158" s="185">
        <f t="shared" si="77"/>
        <v>355819.60000000003</v>
      </c>
      <c r="T158" s="185">
        <f t="shared" si="81"/>
        <v>60700.900000000023</v>
      </c>
      <c r="U158" s="159">
        <f t="shared" si="78"/>
        <v>0.17059459344004663</v>
      </c>
      <c r="V158" s="159">
        <f t="shared" si="79"/>
        <v>1.1705945934400466</v>
      </c>
    </row>
    <row r="159" spans="1:22" x14ac:dyDescent="0.3">
      <c r="A159" s="7">
        <f>'WCLA Consolidated MTEF Budget'!F159</f>
        <v>1562.0000000000002</v>
      </c>
      <c r="B159" s="7">
        <f t="shared" si="73"/>
        <v>7724.0125000000007</v>
      </c>
      <c r="C159" s="7"/>
      <c r="D159" s="7"/>
      <c r="E159" s="7"/>
      <c r="F159" s="7"/>
      <c r="G159" s="7"/>
      <c r="H159" s="7">
        <f t="shared" si="74"/>
        <v>6162.0125000000007</v>
      </c>
      <c r="I159" s="159">
        <f t="shared" si="75"/>
        <v>0.79777350179068196</v>
      </c>
      <c r="J159" s="159">
        <f t="shared" si="76"/>
        <v>0.20222649820931804</v>
      </c>
      <c r="K159" s="13" t="s">
        <v>215</v>
      </c>
      <c r="L159" s="116">
        <v>7</v>
      </c>
      <c r="M159" s="7">
        <f>'WCLA Consolidated MTEF Budget'!N159</f>
        <v>39699</v>
      </c>
      <c r="N159" s="185">
        <v>92688.150000000009</v>
      </c>
      <c r="O159" s="185">
        <v>0</v>
      </c>
      <c r="P159" s="203"/>
      <c r="Q159" s="185">
        <f t="shared" si="80"/>
        <v>92688.150000000009</v>
      </c>
      <c r="R159" s="185">
        <v>0</v>
      </c>
      <c r="S159" s="185">
        <f t="shared" si="77"/>
        <v>92688.150000000009</v>
      </c>
      <c r="T159" s="185">
        <f t="shared" si="81"/>
        <v>-52989.150000000009</v>
      </c>
      <c r="U159" s="159">
        <f t="shared" si="78"/>
        <v>-0.57169282157427892</v>
      </c>
      <c r="V159" s="159">
        <f t="shared" si="79"/>
        <v>0.42830717842572102</v>
      </c>
    </row>
    <row r="160" spans="1:22" x14ac:dyDescent="0.3">
      <c r="A160" s="11">
        <f>'WCLA Consolidated MTEF Budget'!F160</f>
        <v>0</v>
      </c>
      <c r="B160" s="11">
        <f t="shared" si="73"/>
        <v>781.16666666666663</v>
      </c>
      <c r="C160" s="11"/>
      <c r="D160" s="11"/>
      <c r="E160" s="11"/>
      <c r="F160" s="11"/>
      <c r="G160" s="11"/>
      <c r="H160" s="11">
        <f t="shared" si="74"/>
        <v>781.16666666666663</v>
      </c>
      <c r="I160" s="160">
        <f t="shared" si="75"/>
        <v>1</v>
      </c>
      <c r="J160" s="160">
        <f t="shared" si="76"/>
        <v>0</v>
      </c>
      <c r="K160" s="13" t="s">
        <v>216</v>
      </c>
      <c r="L160" s="116">
        <v>7</v>
      </c>
      <c r="M160" s="11">
        <f>'WCLA Consolidated MTEF Budget'!N160</f>
        <v>0</v>
      </c>
      <c r="N160" s="186">
        <v>9374</v>
      </c>
      <c r="O160" s="186">
        <v>0</v>
      </c>
      <c r="P160" s="321"/>
      <c r="Q160" s="186">
        <f t="shared" si="80"/>
        <v>9374</v>
      </c>
      <c r="R160" s="186">
        <v>0</v>
      </c>
      <c r="S160" s="186">
        <f t="shared" si="77"/>
        <v>9374</v>
      </c>
      <c r="T160" s="186">
        <f t="shared" si="81"/>
        <v>-9374</v>
      </c>
      <c r="U160" s="160">
        <f t="shared" si="78"/>
        <v>-1</v>
      </c>
      <c r="V160" s="160">
        <f t="shared" si="79"/>
        <v>0</v>
      </c>
    </row>
    <row r="161" spans="1:24" ht="6" customHeight="1" x14ac:dyDescent="0.3">
      <c r="A161" s="87"/>
      <c r="B161" s="87"/>
      <c r="C161" s="81"/>
      <c r="D161" s="81"/>
      <c r="E161" s="81"/>
      <c r="F161" s="81"/>
      <c r="G161" s="87"/>
      <c r="H161" s="87"/>
      <c r="I161" s="88"/>
      <c r="J161" s="88"/>
      <c r="K161" s="13"/>
      <c r="L161" s="115"/>
      <c r="M161" s="82"/>
      <c r="N161" s="82"/>
      <c r="O161" s="82"/>
      <c r="P161" s="322"/>
      <c r="Q161" s="82"/>
      <c r="R161" s="82"/>
      <c r="S161" s="82">
        <f t="shared" si="77"/>
        <v>0</v>
      </c>
      <c r="T161" s="82">
        <f t="shared" si="81"/>
        <v>0</v>
      </c>
      <c r="U161" s="119">
        <f t="shared" si="78"/>
        <v>0</v>
      </c>
      <c r="V161" s="119">
        <f t="shared" si="79"/>
        <v>0</v>
      </c>
    </row>
    <row r="162" spans="1:24" s="18" customFormat="1" x14ac:dyDescent="0.3">
      <c r="A162" s="4">
        <f>SUM(A131:A160)</f>
        <v>742670.5</v>
      </c>
      <c r="B162" s="4">
        <f>SUM(B131:B160)</f>
        <v>688041.17233333329</v>
      </c>
      <c r="C162" s="4"/>
      <c r="D162" s="4"/>
      <c r="E162" s="4"/>
      <c r="F162" s="4"/>
      <c r="G162" s="4"/>
      <c r="H162" s="4">
        <f>SUM(H131:H160)</f>
        <v>-54629.327666666642</v>
      </c>
      <c r="I162" s="4">
        <f>SUM(I131:I160)</f>
        <v>0.36000562673776582</v>
      </c>
      <c r="J162" s="4">
        <f>SUM(J131:J160)</f>
        <v>27.63999437326224</v>
      </c>
      <c r="K162" s="13" t="s">
        <v>217</v>
      </c>
      <c r="L162" s="111"/>
      <c r="M162" s="4">
        <f t="shared" ref="M162:S162" si="82">SUM(M131:M160)</f>
        <v>8621502.2300000004</v>
      </c>
      <c r="N162" s="4">
        <f t="shared" si="82"/>
        <v>8256494.0680000018</v>
      </c>
      <c r="O162" s="4">
        <f t="shared" si="82"/>
        <v>0</v>
      </c>
      <c r="P162" s="4">
        <f t="shared" si="82"/>
        <v>0</v>
      </c>
      <c r="Q162" s="4">
        <f t="shared" si="82"/>
        <v>8256494.0680000018</v>
      </c>
      <c r="R162" s="4">
        <f t="shared" si="82"/>
        <v>0</v>
      </c>
      <c r="S162" s="4">
        <f t="shared" si="82"/>
        <v>8256494.0680000018</v>
      </c>
      <c r="T162" s="4">
        <f>M162-S162</f>
        <v>365008.16199999861</v>
      </c>
      <c r="U162" s="162">
        <f t="shared" si="78"/>
        <v>4.4208614333615788E-2</v>
      </c>
      <c r="V162" s="162">
        <f t="shared" si="79"/>
        <v>1.0442086143336158</v>
      </c>
      <c r="W162" s="317"/>
    </row>
    <row r="163" spans="1:24" ht="6.6" customHeight="1" x14ac:dyDescent="0.3">
      <c r="A163" s="87"/>
      <c r="B163" s="87"/>
      <c r="C163" s="95"/>
      <c r="D163" s="95"/>
      <c r="E163" s="95"/>
      <c r="F163" s="95"/>
      <c r="G163" s="87"/>
      <c r="H163" s="87"/>
      <c r="I163" s="88"/>
      <c r="J163" s="88"/>
      <c r="K163" s="122"/>
      <c r="L163" s="115"/>
      <c r="M163" s="82"/>
      <c r="N163" s="82"/>
      <c r="O163" s="82"/>
      <c r="P163" s="327"/>
      <c r="Q163" s="82"/>
      <c r="R163" s="82"/>
      <c r="S163" s="82">
        <f t="shared" si="77"/>
        <v>0</v>
      </c>
      <c r="T163" s="82">
        <f t="shared" si="81"/>
        <v>0</v>
      </c>
      <c r="U163" s="119">
        <f t="shared" si="78"/>
        <v>0</v>
      </c>
      <c r="V163" s="119">
        <f t="shared" si="79"/>
        <v>0</v>
      </c>
    </row>
    <row r="164" spans="1:24" x14ac:dyDescent="0.3">
      <c r="A164" s="8">
        <f>'WCLA Consolidated MTEF Budget'!F164</f>
        <v>40266.14</v>
      </c>
      <c r="B164" s="8">
        <f t="shared" ref="B164:B168" si="83">N164/12</f>
        <v>52650</v>
      </c>
      <c r="C164" s="8"/>
      <c r="D164" s="8"/>
      <c r="E164" s="8"/>
      <c r="F164" s="8"/>
      <c r="G164" s="8"/>
      <c r="H164" s="8">
        <f t="shared" ref="H164:H168" si="84">B164-A164</f>
        <v>12383.86</v>
      </c>
      <c r="I164" s="158">
        <f t="shared" ref="I164:I168" si="85">IFERROR(H164/B164,)</f>
        <v>0.2352110161443495</v>
      </c>
      <c r="J164" s="158">
        <f t="shared" ref="J164" si="86">IFERROR(A164/B164,)</f>
        <v>0.76478898385565053</v>
      </c>
      <c r="K164" s="13" t="s">
        <v>218</v>
      </c>
      <c r="L164" s="117"/>
      <c r="M164" s="8">
        <f>'WCLA Consolidated MTEF Budget'!N164</f>
        <v>753641.52999999991</v>
      </c>
      <c r="N164" s="8">
        <v>631800</v>
      </c>
      <c r="O164" s="8">
        <v>0</v>
      </c>
      <c r="P164" s="183"/>
      <c r="Q164" s="8">
        <f>N164+P164+O164</f>
        <v>631800</v>
      </c>
      <c r="R164" s="8">
        <v>0</v>
      </c>
      <c r="S164" s="8">
        <f t="shared" si="77"/>
        <v>631800</v>
      </c>
      <c r="T164" s="8">
        <f t="shared" si="81"/>
        <v>121841.52999999991</v>
      </c>
      <c r="U164" s="158">
        <f t="shared" si="78"/>
        <v>0.19284825894270324</v>
      </c>
      <c r="V164" s="158">
        <f t="shared" si="79"/>
        <v>1.1928482589427032</v>
      </c>
    </row>
    <row r="165" spans="1:24" x14ac:dyDescent="0.3">
      <c r="A165" s="7">
        <f>'WCLA Consolidated MTEF Budget'!F165</f>
        <v>0</v>
      </c>
      <c r="B165" s="7">
        <f t="shared" si="83"/>
        <v>3509000</v>
      </c>
      <c r="C165" s="7"/>
      <c r="D165" s="7"/>
      <c r="E165" s="7"/>
      <c r="F165" s="7"/>
      <c r="G165" s="7"/>
      <c r="H165" s="7">
        <f t="shared" si="84"/>
        <v>3509000</v>
      </c>
      <c r="I165" s="159">
        <f t="shared" si="85"/>
        <v>1</v>
      </c>
      <c r="J165" s="159">
        <f t="shared" ref="J165:J168" si="87">IFERROR(I165/C165,)</f>
        <v>0</v>
      </c>
      <c r="K165" s="16" t="s">
        <v>219</v>
      </c>
      <c r="L165" s="117"/>
      <c r="M165" s="7">
        <f>'WCLA Consolidated MTEF Budget'!N165</f>
        <v>31707750</v>
      </c>
      <c r="N165" s="7">
        <v>42108000</v>
      </c>
      <c r="O165" s="7">
        <v>0</v>
      </c>
      <c r="P165" s="203"/>
      <c r="Q165" s="7">
        <f t="shared" ref="Q165:Q168" si="88">N165+P165+O165</f>
        <v>42108000</v>
      </c>
      <c r="R165" s="7">
        <v>0</v>
      </c>
      <c r="S165" s="7">
        <f t="shared" si="77"/>
        <v>42108000</v>
      </c>
      <c r="T165" s="7">
        <f t="shared" si="81"/>
        <v>-10400250</v>
      </c>
      <c r="U165" s="159">
        <f t="shared" si="78"/>
        <v>-0.24698988315759476</v>
      </c>
      <c r="V165" s="159">
        <f t="shared" si="79"/>
        <v>0.75301011684240526</v>
      </c>
    </row>
    <row r="166" spans="1:24" x14ac:dyDescent="0.3">
      <c r="A166" s="7">
        <f>'WCLA Consolidated MTEF Budget'!F166</f>
        <v>0</v>
      </c>
      <c r="B166" s="7">
        <f t="shared" si="83"/>
        <v>0</v>
      </c>
      <c r="C166" s="7"/>
      <c r="D166" s="7"/>
      <c r="E166" s="7"/>
      <c r="F166" s="7"/>
      <c r="G166" s="7"/>
      <c r="H166" s="7">
        <f t="shared" si="84"/>
        <v>0</v>
      </c>
      <c r="I166" s="159">
        <f t="shared" si="85"/>
        <v>0</v>
      </c>
      <c r="J166" s="159">
        <f t="shared" si="87"/>
        <v>0</v>
      </c>
      <c r="K166" s="13" t="s">
        <v>220</v>
      </c>
      <c r="L166" s="115"/>
      <c r="M166" s="7">
        <f>'WCLA Consolidated MTEF Budget'!N166</f>
        <v>0</v>
      </c>
      <c r="N166" s="7">
        <v>0</v>
      </c>
      <c r="O166" s="7">
        <v>0</v>
      </c>
      <c r="P166" s="203"/>
      <c r="Q166" s="7">
        <f t="shared" si="88"/>
        <v>0</v>
      </c>
      <c r="R166" s="7">
        <f>'WCLA Consolidated MTEF Budget'!T114</f>
        <v>455888</v>
      </c>
      <c r="S166" s="7">
        <f t="shared" si="77"/>
        <v>455888</v>
      </c>
      <c r="T166" s="7">
        <f t="shared" si="81"/>
        <v>-455888</v>
      </c>
      <c r="U166" s="159">
        <f t="shared" si="78"/>
        <v>-1</v>
      </c>
      <c r="V166" s="159">
        <f t="shared" si="79"/>
        <v>0</v>
      </c>
    </row>
    <row r="167" spans="1:24" x14ac:dyDescent="0.3">
      <c r="A167" s="7">
        <f>'WCLA Consolidated MTEF Budget'!F167</f>
        <v>0</v>
      </c>
      <c r="B167" s="7">
        <f t="shared" si="83"/>
        <v>0</v>
      </c>
      <c r="C167" s="7"/>
      <c r="D167" s="7"/>
      <c r="E167" s="7"/>
      <c r="F167" s="7"/>
      <c r="G167" s="7"/>
      <c r="H167" s="7">
        <f t="shared" si="84"/>
        <v>0</v>
      </c>
      <c r="I167" s="159">
        <f t="shared" si="85"/>
        <v>0</v>
      </c>
      <c r="J167" s="159">
        <f t="shared" si="87"/>
        <v>0</v>
      </c>
      <c r="K167" s="13" t="s">
        <v>221</v>
      </c>
      <c r="L167" s="115"/>
      <c r="M167" s="7">
        <f>'WCLA Consolidated MTEF Budget'!N167</f>
        <v>0</v>
      </c>
      <c r="N167" s="7">
        <v>0</v>
      </c>
      <c r="O167" s="7">
        <v>3528000</v>
      </c>
      <c r="P167" s="203"/>
      <c r="Q167" s="7">
        <f t="shared" si="88"/>
        <v>3528000</v>
      </c>
      <c r="R167" s="7">
        <v>0</v>
      </c>
      <c r="S167" s="7">
        <f t="shared" si="77"/>
        <v>3528000</v>
      </c>
      <c r="T167" s="7">
        <f t="shared" si="81"/>
        <v>-3528000</v>
      </c>
      <c r="U167" s="159">
        <f t="shared" si="78"/>
        <v>-1</v>
      </c>
      <c r="V167" s="159">
        <f t="shared" si="79"/>
        <v>0</v>
      </c>
    </row>
    <row r="168" spans="1:24" x14ac:dyDescent="0.3">
      <c r="A168" s="11">
        <f>'WCLA Consolidated MTEF Budget'!F168</f>
        <v>0</v>
      </c>
      <c r="B168" s="11">
        <f t="shared" si="83"/>
        <v>0</v>
      </c>
      <c r="C168" s="11"/>
      <c r="D168" s="11"/>
      <c r="E168" s="11"/>
      <c r="F168" s="11"/>
      <c r="G168" s="11"/>
      <c r="H168" s="11">
        <f t="shared" si="84"/>
        <v>0</v>
      </c>
      <c r="I168" s="160">
        <f t="shared" si="85"/>
        <v>0</v>
      </c>
      <c r="J168" s="160">
        <f t="shared" si="87"/>
        <v>0</v>
      </c>
      <c r="K168" s="16" t="s">
        <v>247</v>
      </c>
      <c r="L168" s="115"/>
      <c r="M168" s="11">
        <f>'WCLA Consolidated MTEF Budget'!N168</f>
        <v>0</v>
      </c>
      <c r="N168" s="11">
        <v>0</v>
      </c>
      <c r="O168" s="11">
        <v>0</v>
      </c>
      <c r="P168" s="321"/>
      <c r="Q168" s="11">
        <f t="shared" si="88"/>
        <v>0</v>
      </c>
      <c r="R168" s="11">
        <v>0</v>
      </c>
      <c r="S168" s="11">
        <f t="shared" si="77"/>
        <v>0</v>
      </c>
      <c r="T168" s="11">
        <f t="shared" si="81"/>
        <v>0</v>
      </c>
      <c r="U168" s="160">
        <f t="shared" si="78"/>
        <v>0</v>
      </c>
      <c r="V168" s="160">
        <f t="shared" si="79"/>
        <v>0</v>
      </c>
    </row>
    <row r="169" spans="1:24" s="18" customFormat="1" ht="4.2" customHeight="1" x14ac:dyDescent="0.3">
      <c r="A169" s="78"/>
      <c r="B169" s="78"/>
      <c r="C169" s="97"/>
      <c r="D169" s="96"/>
      <c r="E169" s="96"/>
      <c r="F169" s="96"/>
      <c r="G169" s="77"/>
      <c r="H169" s="78"/>
      <c r="I169" s="84"/>
      <c r="J169" s="84"/>
      <c r="K169" s="13"/>
      <c r="L169" s="115"/>
      <c r="M169" s="82"/>
      <c r="N169" s="82"/>
      <c r="O169" s="82"/>
      <c r="P169" s="328"/>
      <c r="Q169" s="82"/>
      <c r="R169" s="82"/>
      <c r="S169" s="82">
        <f t="shared" si="77"/>
        <v>0</v>
      </c>
      <c r="T169" s="82">
        <f t="shared" si="81"/>
        <v>0</v>
      </c>
      <c r="U169" s="161">
        <f t="shared" si="78"/>
        <v>0</v>
      </c>
      <c r="V169" s="161">
        <f t="shared" si="79"/>
        <v>0</v>
      </c>
      <c r="W169" s="317"/>
    </row>
    <row r="170" spans="1:24" s="18" customFormat="1" x14ac:dyDescent="0.3">
      <c r="A170" s="4">
        <f>A162+SUM(A164:A168)</f>
        <v>782936.64</v>
      </c>
      <c r="B170" s="4">
        <f>B162+SUM(B164:B168)</f>
        <v>4249691.1723333336</v>
      </c>
      <c r="C170" s="4">
        <f t="shared" ref="C170:G170" si="89">SUM(C164:C168)</f>
        <v>0</v>
      </c>
      <c r="D170" s="4">
        <f t="shared" si="89"/>
        <v>0</v>
      </c>
      <c r="E170" s="4">
        <f t="shared" si="89"/>
        <v>0</v>
      </c>
      <c r="F170" s="4">
        <f t="shared" si="89"/>
        <v>0</v>
      </c>
      <c r="G170" s="4">
        <f t="shared" si="89"/>
        <v>0</v>
      </c>
      <c r="H170" s="4">
        <f t="shared" ref="H170:J170" si="90">H162+SUM(H164:H168)</f>
        <v>3466754.532333333</v>
      </c>
      <c r="I170" s="4">
        <f t="shared" si="90"/>
        <v>1.5952166428821153</v>
      </c>
      <c r="J170" s="4">
        <f t="shared" si="90"/>
        <v>28.404783357117893</v>
      </c>
      <c r="K170" s="13" t="s">
        <v>223</v>
      </c>
      <c r="L170" s="111"/>
      <c r="M170" s="4">
        <f>M162+SUM(M164:M168)</f>
        <v>41082893.760000005</v>
      </c>
      <c r="N170" s="4">
        <f t="shared" ref="N170:S170" si="91">N162+SUM(N164:N168)</f>
        <v>50996294.068000004</v>
      </c>
      <c r="O170" s="4">
        <f t="shared" si="91"/>
        <v>3528000</v>
      </c>
      <c r="P170" s="4">
        <f t="shared" si="91"/>
        <v>0</v>
      </c>
      <c r="Q170" s="4">
        <f t="shared" si="91"/>
        <v>54524294.068000004</v>
      </c>
      <c r="R170" s="4">
        <f t="shared" si="91"/>
        <v>455888</v>
      </c>
      <c r="S170" s="4">
        <f t="shared" si="91"/>
        <v>54980182.068000004</v>
      </c>
      <c r="T170" s="4">
        <f>T162+SUM(T164:T168)</f>
        <v>-13897288.308000002</v>
      </c>
      <c r="U170" s="162">
        <f t="shared" si="78"/>
        <v>-0.25276904850572712</v>
      </c>
      <c r="V170" s="162">
        <f t="shared" si="79"/>
        <v>0.74723095149427299</v>
      </c>
      <c r="W170" s="317"/>
    </row>
    <row r="171" spans="1:24" ht="7.95" customHeight="1" x14ac:dyDescent="0.3">
      <c r="A171" s="78"/>
      <c r="B171" s="78"/>
      <c r="C171" s="98"/>
      <c r="K171" s="13"/>
      <c r="L171" s="15"/>
      <c r="M171" s="100"/>
      <c r="N171" s="100"/>
      <c r="O171" s="100"/>
      <c r="P171" s="328"/>
      <c r="Q171" s="100"/>
      <c r="R171" s="100"/>
      <c r="S171" s="100">
        <f t="shared" si="77"/>
        <v>0</v>
      </c>
      <c r="T171" s="100">
        <f t="shared" si="81"/>
        <v>0</v>
      </c>
      <c r="U171" s="164"/>
      <c r="V171" s="164"/>
    </row>
    <row r="172" spans="1:24" s="18" customFormat="1" x14ac:dyDescent="0.3">
      <c r="A172" s="4">
        <f t="shared" ref="A172:J172" si="92">A129-A170</f>
        <v>4009793.8975136061</v>
      </c>
      <c r="B172" s="4">
        <f t="shared" si="92"/>
        <v>0</v>
      </c>
      <c r="C172" s="4">
        <f t="shared" si="92"/>
        <v>0</v>
      </c>
      <c r="D172" s="4">
        <f t="shared" si="92"/>
        <v>0</v>
      </c>
      <c r="E172" s="4">
        <f t="shared" si="92"/>
        <v>0</v>
      </c>
      <c r="F172" s="4">
        <f t="shared" si="92"/>
        <v>0</v>
      </c>
      <c r="G172" s="4">
        <f t="shared" si="92"/>
        <v>0</v>
      </c>
      <c r="H172" s="4">
        <f t="shared" si="92"/>
        <v>-4009793.8975136057</v>
      </c>
      <c r="I172" s="4">
        <f t="shared" si="92"/>
        <v>-1.7229998965725504</v>
      </c>
      <c r="J172" s="4">
        <f t="shared" si="92"/>
        <v>-27.277000103427458</v>
      </c>
      <c r="K172" s="13" t="s">
        <v>224</v>
      </c>
      <c r="L172" s="111"/>
      <c r="M172" s="4" t="e">
        <f t="shared" ref="M172:T172" si="93">M129-M170</f>
        <v>#REF!</v>
      </c>
      <c r="N172" s="4">
        <f t="shared" si="93"/>
        <v>0</v>
      </c>
      <c r="O172" s="4">
        <f t="shared" si="93"/>
        <v>-4243404</v>
      </c>
      <c r="P172" s="324">
        <f t="shared" si="93"/>
        <v>0</v>
      </c>
      <c r="Q172" s="4">
        <f t="shared" si="93"/>
        <v>-3528000</v>
      </c>
      <c r="R172" s="4">
        <f t="shared" si="93"/>
        <v>49825002.068000004</v>
      </c>
      <c r="S172" s="4">
        <f t="shared" si="93"/>
        <v>-4243404</v>
      </c>
      <c r="T172" s="4" t="e">
        <f t="shared" si="93"/>
        <v>#REF!</v>
      </c>
      <c r="U172" s="162"/>
      <c r="V172" s="162"/>
      <c r="W172" s="317"/>
      <c r="X172" s="157"/>
    </row>
    <row r="173" spans="1:24" ht="14.25" customHeight="1" x14ac:dyDescent="0.3">
      <c r="A173" s="101"/>
      <c r="B173" s="102"/>
      <c r="C173" s="98"/>
      <c r="K173" s="123"/>
      <c r="L173" s="118"/>
      <c r="M173" s="101"/>
      <c r="N173" s="102"/>
      <c r="O173" s="98"/>
      <c r="X173" s="156"/>
    </row>
    <row r="174" spans="1:24" x14ac:dyDescent="0.3">
      <c r="A174" s="103"/>
      <c r="B174" s="104"/>
      <c r="K174" s="123"/>
      <c r="L174" s="15"/>
      <c r="M174" s="103"/>
      <c r="N174" s="104"/>
    </row>
    <row r="175" spans="1:24" x14ac:dyDescent="0.3">
      <c r="A175" s="103"/>
      <c r="B175" s="104"/>
      <c r="K175" s="123"/>
      <c r="L175" s="15"/>
      <c r="M175" s="103"/>
      <c r="N175" s="104"/>
    </row>
    <row r="176" spans="1:24" x14ac:dyDescent="0.3">
      <c r="A176" s="105"/>
      <c r="B176" s="104"/>
      <c r="K176" s="123"/>
      <c r="L176" s="15"/>
      <c r="M176" s="105"/>
      <c r="N176" s="104"/>
      <c r="T176" s="164"/>
    </row>
    <row r="177" spans="1:14" x14ac:dyDescent="0.3">
      <c r="A177" s="103"/>
      <c r="B177" s="104"/>
      <c r="K177" s="123"/>
      <c r="L177" s="15"/>
      <c r="M177" s="103"/>
      <c r="N177" s="104"/>
    </row>
    <row r="178" spans="1:14" x14ac:dyDescent="0.3">
      <c r="A178" s="105"/>
      <c r="B178" s="104"/>
      <c r="K178" s="123"/>
      <c r="L178" s="15"/>
      <c r="M178" s="105"/>
      <c r="N178" s="104"/>
    </row>
    <row r="179" spans="1:14" x14ac:dyDescent="0.3">
      <c r="A179" s="15"/>
      <c r="B179" s="106"/>
      <c r="K179" s="123"/>
      <c r="L179" s="15"/>
      <c r="M179" s="15"/>
      <c r="N179" s="106"/>
    </row>
    <row r="180" spans="1:14" x14ac:dyDescent="0.3">
      <c r="A180" s="15"/>
      <c r="B180" s="106"/>
      <c r="K180" s="123"/>
      <c r="L180" s="15"/>
      <c r="M180" s="15"/>
      <c r="N180" s="106"/>
    </row>
  </sheetData>
  <mergeCells count="5">
    <mergeCell ref="K1:V1"/>
    <mergeCell ref="L8:L9"/>
    <mergeCell ref="A3:J3"/>
    <mergeCell ref="M3:V3"/>
    <mergeCell ref="K4:K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180"/>
  <sheetViews>
    <sheetView topLeftCell="A98" zoomScale="70" zoomScaleNormal="70" workbookViewId="0">
      <selection activeCell="N151" sqref="N151"/>
    </sheetView>
  </sheetViews>
  <sheetFormatPr defaultColWidth="9.109375" defaultRowHeight="14.4" x14ac:dyDescent="0.3"/>
  <cols>
    <col min="1" max="1" width="11.5546875" style="107" customWidth="1"/>
    <col min="2" max="2" width="14.109375" style="107" customWidth="1"/>
    <col min="3" max="3" width="16.44140625" style="107" customWidth="1"/>
    <col min="4" max="4" width="11.5546875" style="108" customWidth="1"/>
    <col min="5" max="5" width="12.6640625" style="78" bestFit="1" customWidth="1"/>
    <col min="6" max="6" width="11.5546875" style="78" customWidth="1"/>
    <col min="7" max="7" width="12.6640625" style="78" bestFit="1" customWidth="1"/>
    <col min="8" max="8" width="14.33203125" style="78" customWidth="1"/>
    <col min="9" max="9" width="11.5546875" style="77" customWidth="1"/>
    <col min="10" max="10" width="11.5546875" style="78" customWidth="1"/>
    <col min="11" max="12" width="11.5546875" style="79" customWidth="1"/>
    <col min="13" max="13" width="56.44140625" style="121" customWidth="1"/>
    <col min="14" max="14" width="20.33203125" style="107" customWidth="1"/>
    <col min="15" max="15" width="27.44140625" style="107" customWidth="1"/>
    <col min="16" max="18" width="20.33203125" style="107" customWidth="1"/>
    <col min="19" max="16384" width="9.109375" style="167"/>
  </cols>
  <sheetData>
    <row r="1" spans="1:18" ht="17.399999999999999" x14ac:dyDescent="0.3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407" t="s">
        <v>248</v>
      </c>
      <c r="N1" s="407"/>
      <c r="O1" s="237"/>
      <c r="P1" s="237"/>
      <c r="Q1" s="237"/>
      <c r="R1" s="237"/>
    </row>
    <row r="2" spans="1:18" ht="24.6" hidden="1" customHeight="1" x14ac:dyDescent="0.4">
      <c r="A2" s="75"/>
      <c r="B2" s="75"/>
      <c r="C2" s="75"/>
      <c r="D2" s="76"/>
      <c r="E2" s="75"/>
      <c r="F2" s="75"/>
      <c r="G2" s="75"/>
      <c r="H2" s="75"/>
      <c r="M2" s="120" t="s">
        <v>68</v>
      </c>
      <c r="N2" s="75"/>
      <c r="O2" s="75"/>
      <c r="P2" s="75"/>
      <c r="Q2" s="75"/>
      <c r="R2" s="75"/>
    </row>
    <row r="3" spans="1:18" ht="17.399999999999999" customHeight="1" x14ac:dyDescent="0.3">
      <c r="A3" s="408" t="s">
        <v>231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14" t="s">
        <v>69</v>
      </c>
      <c r="N3" s="424" t="s">
        <v>226</v>
      </c>
      <c r="O3" s="425"/>
      <c r="P3" s="425"/>
      <c r="Q3" s="425"/>
      <c r="R3" s="425"/>
    </row>
    <row r="4" spans="1:18" ht="18.600000000000001" customHeight="1" x14ac:dyDescent="0.3">
      <c r="A4" s="125">
        <v>43556</v>
      </c>
      <c r="B4" s="125">
        <v>43586</v>
      </c>
      <c r="C4" s="125">
        <v>43617</v>
      </c>
      <c r="D4" s="125">
        <v>43647</v>
      </c>
      <c r="E4" s="125">
        <v>43678</v>
      </c>
      <c r="F4" s="125">
        <v>43709</v>
      </c>
      <c r="G4" s="125">
        <v>43739</v>
      </c>
      <c r="H4" s="125">
        <v>43770</v>
      </c>
      <c r="I4" s="125">
        <v>43800</v>
      </c>
      <c r="J4" s="125">
        <v>43831</v>
      </c>
      <c r="K4" s="125">
        <v>43862</v>
      </c>
      <c r="L4" s="125">
        <v>43891</v>
      </c>
      <c r="M4" s="395" t="s">
        <v>230</v>
      </c>
      <c r="N4" s="125" t="s">
        <v>298</v>
      </c>
      <c r="O4" s="125" t="s">
        <v>300</v>
      </c>
      <c r="P4" s="125" t="s">
        <v>18</v>
      </c>
      <c r="Q4" s="125" t="s">
        <v>228</v>
      </c>
      <c r="R4" s="125" t="s">
        <v>229</v>
      </c>
    </row>
    <row r="5" spans="1:18" ht="32.4" customHeight="1" x14ac:dyDescent="0.3">
      <c r="A5" s="10" t="s">
        <v>2</v>
      </c>
      <c r="B5" s="10" t="s">
        <v>2</v>
      </c>
      <c r="C5" s="10" t="s">
        <v>2</v>
      </c>
      <c r="D5" s="10" t="s">
        <v>2</v>
      </c>
      <c r="E5" s="10" t="s">
        <v>2</v>
      </c>
      <c r="F5" s="10" t="s">
        <v>2</v>
      </c>
      <c r="G5" s="10" t="s">
        <v>2</v>
      </c>
      <c r="H5" s="10" t="s">
        <v>2</v>
      </c>
      <c r="I5" s="10" t="s">
        <v>2</v>
      </c>
      <c r="J5" s="10" t="s">
        <v>1</v>
      </c>
      <c r="K5" s="10" t="s">
        <v>1</v>
      </c>
      <c r="L5" s="10" t="s">
        <v>1</v>
      </c>
      <c r="M5" s="396"/>
      <c r="N5" s="10" t="s">
        <v>299</v>
      </c>
      <c r="O5" s="10" t="s">
        <v>1</v>
      </c>
      <c r="P5" s="10"/>
      <c r="Q5" s="10"/>
      <c r="R5" s="10"/>
    </row>
    <row r="6" spans="1:18" ht="3" customHeight="1" x14ac:dyDescent="0.3">
      <c r="A6" s="1"/>
      <c r="B6" s="1"/>
      <c r="C6" s="1"/>
      <c r="D6" s="1"/>
      <c r="E6" s="1"/>
      <c r="F6" s="1"/>
      <c r="G6" s="1"/>
      <c r="H6" s="1"/>
      <c r="I6" s="5"/>
      <c r="J6" s="1"/>
      <c r="K6" s="1"/>
      <c r="L6" s="1"/>
      <c r="M6" s="124"/>
      <c r="N6" s="1"/>
      <c r="O6" s="1"/>
      <c r="P6" s="1"/>
      <c r="Q6" s="1"/>
      <c r="R6" s="1"/>
    </row>
    <row r="7" spans="1:18" x14ac:dyDescent="0.3">
      <c r="A7" s="8">
        <f>'WCLA Consolidated MTEF Budget'!A7-'CC summary'!A7</f>
        <v>0</v>
      </c>
      <c r="B7" s="8">
        <f>'WCLA Consolidated MTEF Budget'!B7-'CC summary'!B7</f>
        <v>0</v>
      </c>
      <c r="C7" s="8">
        <f>'WCLA Consolidated MTEF Budget'!C7-'CC summary'!C7</f>
        <v>0</v>
      </c>
      <c r="D7" s="8">
        <f>'WCLA Consolidated MTEF Budget'!D7-'CC summary'!D7</f>
        <v>0</v>
      </c>
      <c r="E7" s="8">
        <f>'WCLA Consolidated MTEF Budget'!E7-'CC summary'!E7</f>
        <v>0</v>
      </c>
      <c r="F7" s="8">
        <f>'WCLA Consolidated MTEF Budget'!F7-'CC summary'!F7</f>
        <v>0</v>
      </c>
      <c r="G7" s="8">
        <f>'WCLA Consolidated MTEF Budget'!G7-'CC summary'!G7</f>
        <v>0</v>
      </c>
      <c r="H7" s="8">
        <f>'WCLA Consolidated MTEF Budget'!H7-'CC summary'!H7</f>
        <v>0</v>
      </c>
      <c r="I7" s="8">
        <f>'WCLA Consolidated MTEF Budget'!I7-'CC summary'!I7</f>
        <v>0</v>
      </c>
      <c r="J7" s="8">
        <f>'WCLA Consolidated MTEF Budget'!J7-'CC summary'!J7</f>
        <v>0</v>
      </c>
      <c r="K7" s="8">
        <f>'WCLA Consolidated MTEF Budget'!K7-'CC summary'!K7</f>
        <v>0</v>
      </c>
      <c r="L7" s="8">
        <f>'WCLA Consolidated MTEF Budget'!L7-'CC summary'!L7</f>
        <v>0</v>
      </c>
      <c r="M7" s="238" t="s">
        <v>77</v>
      </c>
      <c r="N7" s="316">
        <f>'Budget Report DOCs'!M7-'WCLA Consolidated MTEF Budget'!N7</f>
        <v>0</v>
      </c>
      <c r="O7" s="8">
        <f>'WCLA Consolidated MTEF Budget'!O7-'CC summary'!O7</f>
        <v>-60109.515933333336</v>
      </c>
      <c r="P7" s="8">
        <f>'WCLA Consolidated MTEF Budget'!P7-'CC summary'!P7</f>
        <v>0</v>
      </c>
      <c r="Q7" s="8">
        <f>'WCLA Consolidated MTEF Budget'!Q7-'CC summary'!Q7</f>
        <v>11354.89313000004</v>
      </c>
      <c r="R7" s="8"/>
    </row>
    <row r="8" spans="1:18" x14ac:dyDescent="0.3">
      <c r="A8" s="8">
        <f>'WCLA Consolidated MTEF Budget'!A8-'CC summary'!A8</f>
        <v>0</v>
      </c>
      <c r="B8" s="8">
        <f>'WCLA Consolidated MTEF Budget'!B8-'CC summary'!B8</f>
        <v>0</v>
      </c>
      <c r="C8" s="8">
        <f>'WCLA Consolidated MTEF Budget'!C8-'CC summary'!C8</f>
        <v>0</v>
      </c>
      <c r="D8" s="8">
        <f>'WCLA Consolidated MTEF Budget'!D8-'CC summary'!D8</f>
        <v>0</v>
      </c>
      <c r="E8" s="8">
        <f>'WCLA Consolidated MTEF Budget'!E8-'CC summary'!E8</f>
        <v>0</v>
      </c>
      <c r="F8" s="8">
        <f>'WCLA Consolidated MTEF Budget'!F8-'CC summary'!F8</f>
        <v>0</v>
      </c>
      <c r="G8" s="8">
        <f>'WCLA Consolidated MTEF Budget'!G8-'CC summary'!G8</f>
        <v>0</v>
      </c>
      <c r="H8" s="8">
        <f>'WCLA Consolidated MTEF Budget'!H8-'CC summary'!H8</f>
        <v>0</v>
      </c>
      <c r="I8" s="8">
        <f>'WCLA Consolidated MTEF Budget'!I8-'CC summary'!I8</f>
        <v>0</v>
      </c>
      <c r="J8" s="8">
        <f>'WCLA Consolidated MTEF Budget'!J8-'CC summary'!J8</f>
        <v>0</v>
      </c>
      <c r="K8" s="8">
        <f>'WCLA Consolidated MTEF Budget'!K8-'CC summary'!K8</f>
        <v>0</v>
      </c>
      <c r="L8" s="8">
        <f>'WCLA Consolidated MTEF Budget'!L8-'CC summary'!L8</f>
        <v>0</v>
      </c>
      <c r="M8" s="13" t="s">
        <v>78</v>
      </c>
      <c r="N8" s="7">
        <f>'Budget Report DOCs'!M8-'WCLA Consolidated MTEF Budget'!N8</f>
        <v>0</v>
      </c>
      <c r="O8" s="8">
        <f>'WCLA Consolidated MTEF Budget'!O8-'CC summary'!O8</f>
        <v>-2791140.8284950005</v>
      </c>
      <c r="P8" s="8">
        <f>'WCLA Consolidated MTEF Budget'!P8-'CC summary'!P8</f>
        <v>0</v>
      </c>
      <c r="Q8" s="8">
        <f>'WCLA Consolidated MTEF Budget'!Q8-'CC summary'!Q8</f>
        <v>4212291.3499272428</v>
      </c>
      <c r="R8" s="7"/>
    </row>
    <row r="9" spans="1:18" x14ac:dyDescent="0.3">
      <c r="A9" s="8">
        <f>'WCLA Consolidated MTEF Budget'!A9-'CC summary'!A9</f>
        <v>0</v>
      </c>
      <c r="B9" s="8">
        <f>'WCLA Consolidated MTEF Budget'!B9-'CC summary'!B9</f>
        <v>0</v>
      </c>
      <c r="C9" s="8">
        <f>'WCLA Consolidated MTEF Budget'!C9-'CC summary'!C9</f>
        <v>0</v>
      </c>
      <c r="D9" s="8">
        <f>'WCLA Consolidated MTEF Budget'!D9-'CC summary'!D9</f>
        <v>0</v>
      </c>
      <c r="E9" s="8">
        <f>'WCLA Consolidated MTEF Budget'!E9-'CC summary'!E9</f>
        <v>0</v>
      </c>
      <c r="F9" s="8">
        <f>'WCLA Consolidated MTEF Budget'!F9-'CC summary'!F9</f>
        <v>0</v>
      </c>
      <c r="G9" s="8">
        <f>'WCLA Consolidated MTEF Budget'!G9-'CC summary'!G9</f>
        <v>0</v>
      </c>
      <c r="H9" s="8">
        <f>'WCLA Consolidated MTEF Budget'!H9-'CC summary'!H9</f>
        <v>0</v>
      </c>
      <c r="I9" s="8">
        <f>'WCLA Consolidated MTEF Budget'!I9-'CC summary'!I9</f>
        <v>0</v>
      </c>
      <c r="J9" s="8">
        <f>'WCLA Consolidated MTEF Budget'!J9-'CC summary'!J9</f>
        <v>0</v>
      </c>
      <c r="K9" s="8">
        <f>'WCLA Consolidated MTEF Budget'!K9-'CC summary'!K9</f>
        <v>0</v>
      </c>
      <c r="L9" s="8">
        <f>'WCLA Consolidated MTEF Budget'!L9-'CC summary'!L9</f>
        <v>0</v>
      </c>
      <c r="M9" s="13" t="s">
        <v>80</v>
      </c>
      <c r="N9" s="7">
        <f>'Budget Report DOCs'!M9-'WCLA Consolidated MTEF Budget'!N9</f>
        <v>0</v>
      </c>
      <c r="O9" s="8">
        <f>'WCLA Consolidated MTEF Budget'!O9-'CC summary'!O9</f>
        <v>0</v>
      </c>
      <c r="P9" s="8">
        <f>'WCLA Consolidated MTEF Budget'!P9-'CC summary'!P9</f>
        <v>0</v>
      </c>
      <c r="Q9" s="8">
        <f>'WCLA Consolidated MTEF Budget'!Q9-'CC summary'!Q9</f>
        <v>2005.7514440160085</v>
      </c>
      <c r="R9" s="7"/>
    </row>
    <row r="10" spans="1:18" x14ac:dyDescent="0.3">
      <c r="A10" s="8">
        <f>'WCLA Consolidated MTEF Budget'!A10-'CC summary'!A10</f>
        <v>0</v>
      </c>
      <c r="B10" s="8">
        <f>'WCLA Consolidated MTEF Budget'!B10-'CC summary'!B10</f>
        <v>0</v>
      </c>
      <c r="C10" s="8">
        <f>'WCLA Consolidated MTEF Budget'!C10-'CC summary'!C10</f>
        <v>0</v>
      </c>
      <c r="D10" s="8">
        <f>'WCLA Consolidated MTEF Budget'!D10-'CC summary'!D10</f>
        <v>0</v>
      </c>
      <c r="E10" s="8">
        <f>'WCLA Consolidated MTEF Budget'!E10-'CC summary'!E10</f>
        <v>0</v>
      </c>
      <c r="F10" s="8">
        <f>'WCLA Consolidated MTEF Budget'!F10-'CC summary'!F10</f>
        <v>0</v>
      </c>
      <c r="G10" s="8">
        <f>'WCLA Consolidated MTEF Budget'!G10-'CC summary'!G10</f>
        <v>0</v>
      </c>
      <c r="H10" s="8">
        <f>'WCLA Consolidated MTEF Budget'!H10-'CC summary'!H10</f>
        <v>0</v>
      </c>
      <c r="I10" s="8">
        <f>'WCLA Consolidated MTEF Budget'!I10-'CC summary'!I10</f>
        <v>0</v>
      </c>
      <c r="J10" s="8">
        <f>'WCLA Consolidated MTEF Budget'!J10-'CC summary'!J10</f>
        <v>0</v>
      </c>
      <c r="K10" s="8">
        <f>'WCLA Consolidated MTEF Budget'!K10-'CC summary'!K10</f>
        <v>0</v>
      </c>
      <c r="L10" s="8">
        <f>'WCLA Consolidated MTEF Budget'!L10-'CC summary'!L10</f>
        <v>0</v>
      </c>
      <c r="M10" s="13" t="s">
        <v>81</v>
      </c>
      <c r="N10" s="7">
        <f>'Budget Report DOCs'!M10-'WCLA Consolidated MTEF Budget'!N10</f>
        <v>0</v>
      </c>
      <c r="O10" s="8">
        <f>'WCLA Consolidated MTEF Budget'!O10-'CC summary'!O10</f>
        <v>-9432.509909639999</v>
      </c>
      <c r="P10" s="8">
        <f>'WCLA Consolidated MTEF Budget'!P10-'CC summary'!P10</f>
        <v>0</v>
      </c>
      <c r="Q10" s="8">
        <f>'WCLA Consolidated MTEF Budget'!Q10-'CC summary'!Q10</f>
        <v>3303.1401278400008</v>
      </c>
      <c r="R10" s="7"/>
    </row>
    <row r="11" spans="1:18" x14ac:dyDescent="0.3">
      <c r="A11" s="8">
        <f>'WCLA Consolidated MTEF Budget'!A11-'CC summary'!A11</f>
        <v>0</v>
      </c>
      <c r="B11" s="8">
        <f>'WCLA Consolidated MTEF Budget'!B11-'CC summary'!B11</f>
        <v>0</v>
      </c>
      <c r="C11" s="8">
        <f>'WCLA Consolidated MTEF Budget'!C11-'CC summary'!C11</f>
        <v>0</v>
      </c>
      <c r="D11" s="8">
        <f>'WCLA Consolidated MTEF Budget'!D11-'CC summary'!D11</f>
        <v>0</v>
      </c>
      <c r="E11" s="8">
        <f>'WCLA Consolidated MTEF Budget'!E11-'CC summary'!E11</f>
        <v>0</v>
      </c>
      <c r="F11" s="8">
        <f>'WCLA Consolidated MTEF Budget'!F11-'CC summary'!F11</f>
        <v>0</v>
      </c>
      <c r="G11" s="8">
        <f>'WCLA Consolidated MTEF Budget'!G11-'CC summary'!G11</f>
        <v>0</v>
      </c>
      <c r="H11" s="8">
        <f>'WCLA Consolidated MTEF Budget'!H11-'CC summary'!H11</f>
        <v>0</v>
      </c>
      <c r="I11" s="8">
        <f>'WCLA Consolidated MTEF Budget'!I11-'CC summary'!I11</f>
        <v>0</v>
      </c>
      <c r="J11" s="8">
        <f>'WCLA Consolidated MTEF Budget'!J11-'CC summary'!J11</f>
        <v>0</v>
      </c>
      <c r="K11" s="8">
        <f>'WCLA Consolidated MTEF Budget'!K11-'CC summary'!K11</f>
        <v>0</v>
      </c>
      <c r="L11" s="8">
        <f>'WCLA Consolidated MTEF Budget'!L11-'CC summary'!L11</f>
        <v>0</v>
      </c>
      <c r="M11" s="13" t="s">
        <v>82</v>
      </c>
      <c r="N11" s="7">
        <f>'Budget Report DOCs'!M11-'WCLA Consolidated MTEF Budget'!N11</f>
        <v>0</v>
      </c>
      <c r="O11" s="8">
        <f>'WCLA Consolidated MTEF Budget'!O11-'CC summary'!O11</f>
        <v>0</v>
      </c>
      <c r="P11" s="8">
        <f>'WCLA Consolidated MTEF Budget'!P11-'CC summary'!P11</f>
        <v>0</v>
      </c>
      <c r="Q11" s="8">
        <f>'WCLA Consolidated MTEF Budget'!Q11-'CC summary'!Q11</f>
        <v>-710.55892440000014</v>
      </c>
      <c r="R11" s="7"/>
    </row>
    <row r="12" spans="1:18" x14ac:dyDescent="0.3">
      <c r="A12" s="8">
        <f>'WCLA Consolidated MTEF Budget'!A12-'CC summary'!A12</f>
        <v>0</v>
      </c>
      <c r="B12" s="8">
        <f>'WCLA Consolidated MTEF Budget'!B12-'CC summary'!B12</f>
        <v>0</v>
      </c>
      <c r="C12" s="8">
        <f>'WCLA Consolidated MTEF Budget'!C12-'CC summary'!C12</f>
        <v>0</v>
      </c>
      <c r="D12" s="8">
        <f>'WCLA Consolidated MTEF Budget'!D12-'CC summary'!D12</f>
        <v>0</v>
      </c>
      <c r="E12" s="8">
        <f>'WCLA Consolidated MTEF Budget'!E12-'CC summary'!E12</f>
        <v>0</v>
      </c>
      <c r="F12" s="8">
        <f>'WCLA Consolidated MTEF Budget'!F12-'CC summary'!F12</f>
        <v>0</v>
      </c>
      <c r="G12" s="8">
        <f>'WCLA Consolidated MTEF Budget'!G12-'CC summary'!G12</f>
        <v>0</v>
      </c>
      <c r="H12" s="8">
        <f>'WCLA Consolidated MTEF Budget'!H12-'CC summary'!H12</f>
        <v>0</v>
      </c>
      <c r="I12" s="8">
        <f>'WCLA Consolidated MTEF Budget'!I12-'CC summary'!I12</f>
        <v>0</v>
      </c>
      <c r="J12" s="8">
        <f>'WCLA Consolidated MTEF Budget'!J12-'CC summary'!J12</f>
        <v>0</v>
      </c>
      <c r="K12" s="8">
        <f>'WCLA Consolidated MTEF Budget'!K12-'CC summary'!K12</f>
        <v>0</v>
      </c>
      <c r="L12" s="8">
        <f>'WCLA Consolidated MTEF Budget'!L12-'CC summary'!L12</f>
        <v>0</v>
      </c>
      <c r="M12" s="13" t="s">
        <v>83</v>
      </c>
      <c r="N12" s="7">
        <f>'Budget Report DOCs'!M12-'WCLA Consolidated MTEF Budget'!N12</f>
        <v>0</v>
      </c>
      <c r="O12" s="8">
        <f>'WCLA Consolidated MTEF Budget'!O12-'CC summary'!O12</f>
        <v>-25910.236069600003</v>
      </c>
      <c r="P12" s="8">
        <f>'WCLA Consolidated MTEF Budget'!P12-'CC summary'!P12</f>
        <v>0</v>
      </c>
      <c r="Q12" s="8">
        <f>'WCLA Consolidated MTEF Budget'!Q12-'CC summary'!Q12</f>
        <v>40396.556698320084</v>
      </c>
      <c r="R12" s="7"/>
    </row>
    <row r="13" spans="1:18" x14ac:dyDescent="0.3">
      <c r="A13" s="8">
        <f>'WCLA Consolidated MTEF Budget'!A13-'CC summary'!A13</f>
        <v>0</v>
      </c>
      <c r="B13" s="8">
        <f>'WCLA Consolidated MTEF Budget'!B13-'CC summary'!B13</f>
        <v>0</v>
      </c>
      <c r="C13" s="8">
        <f>'WCLA Consolidated MTEF Budget'!C13-'CC summary'!C13</f>
        <v>0</v>
      </c>
      <c r="D13" s="8">
        <f>'WCLA Consolidated MTEF Budget'!D13-'CC summary'!D13</f>
        <v>0</v>
      </c>
      <c r="E13" s="8">
        <f>'WCLA Consolidated MTEF Budget'!E13-'CC summary'!E13</f>
        <v>0</v>
      </c>
      <c r="F13" s="8">
        <f>'WCLA Consolidated MTEF Budget'!F13-'CC summary'!F13</f>
        <v>0</v>
      </c>
      <c r="G13" s="8">
        <f>'WCLA Consolidated MTEF Budget'!G13-'CC summary'!G13</f>
        <v>0</v>
      </c>
      <c r="H13" s="8">
        <f>'WCLA Consolidated MTEF Budget'!H13-'CC summary'!H13</f>
        <v>0</v>
      </c>
      <c r="I13" s="8">
        <f>'WCLA Consolidated MTEF Budget'!I13-'CC summary'!I13</f>
        <v>0</v>
      </c>
      <c r="J13" s="8">
        <f>'WCLA Consolidated MTEF Budget'!J13-'CC summary'!J13</f>
        <v>0</v>
      </c>
      <c r="K13" s="8">
        <f>'WCLA Consolidated MTEF Budget'!K13-'CC summary'!K13</f>
        <v>0</v>
      </c>
      <c r="L13" s="8">
        <f>'WCLA Consolidated MTEF Budget'!L13-'CC summary'!L13</f>
        <v>0</v>
      </c>
      <c r="M13" s="13" t="s">
        <v>84</v>
      </c>
      <c r="N13" s="7">
        <f>'Budget Report DOCs'!M13-'WCLA Consolidated MTEF Budget'!N13</f>
        <v>0</v>
      </c>
      <c r="O13" s="8">
        <f>'WCLA Consolidated MTEF Budget'!O13-'CC summary'!O13</f>
        <v>-24104.775520000003</v>
      </c>
      <c r="P13" s="8">
        <f>'WCLA Consolidated MTEF Budget'!P13-'CC summary'!P13</f>
        <v>0</v>
      </c>
      <c r="Q13" s="8">
        <f>'WCLA Consolidated MTEF Budget'!Q13-'CC summary'!Q13</f>
        <v>128784.23072000002</v>
      </c>
      <c r="R13" s="7"/>
    </row>
    <row r="14" spans="1:18" x14ac:dyDescent="0.3">
      <c r="A14" s="8">
        <f>'WCLA Consolidated MTEF Budget'!A14-'CC summary'!A14</f>
        <v>0</v>
      </c>
      <c r="B14" s="8">
        <f>'WCLA Consolidated MTEF Budget'!B14-'CC summary'!B14</f>
        <v>0</v>
      </c>
      <c r="C14" s="8">
        <f>'WCLA Consolidated MTEF Budget'!C14-'CC summary'!C14</f>
        <v>0</v>
      </c>
      <c r="D14" s="8">
        <f>'WCLA Consolidated MTEF Budget'!D14-'CC summary'!D14</f>
        <v>0</v>
      </c>
      <c r="E14" s="8">
        <f>'WCLA Consolidated MTEF Budget'!E14-'CC summary'!E14</f>
        <v>0</v>
      </c>
      <c r="F14" s="8">
        <f>'WCLA Consolidated MTEF Budget'!F14-'CC summary'!F14</f>
        <v>0</v>
      </c>
      <c r="G14" s="8">
        <f>'WCLA Consolidated MTEF Budget'!G14-'CC summary'!G14</f>
        <v>0</v>
      </c>
      <c r="H14" s="8" t="e">
        <f>'WCLA Consolidated MTEF Budget'!H14-'CC summary'!H14</f>
        <v>#REF!</v>
      </c>
      <c r="I14" s="8">
        <f>'WCLA Consolidated MTEF Budget'!I14-'CC summary'!I14</f>
        <v>0</v>
      </c>
      <c r="J14" s="8">
        <f>'WCLA Consolidated MTEF Budget'!J14-'CC summary'!J14</f>
        <v>0</v>
      </c>
      <c r="K14" s="8">
        <f>'WCLA Consolidated MTEF Budget'!K14-'CC summary'!K14</f>
        <v>0</v>
      </c>
      <c r="L14" s="8">
        <f>'WCLA Consolidated MTEF Budget'!L14-'CC summary'!L14</f>
        <v>0</v>
      </c>
      <c r="M14" s="13" t="s">
        <v>86</v>
      </c>
      <c r="N14" s="7" t="e">
        <f>'Budget Report DOCs'!M14-'WCLA Consolidated MTEF Budget'!N14</f>
        <v>#REF!</v>
      </c>
      <c r="O14" s="8">
        <f>'WCLA Consolidated MTEF Budget'!O14-'CC summary'!O14</f>
        <v>0</v>
      </c>
      <c r="P14" s="8" t="e">
        <f>'WCLA Consolidated MTEF Budget'!P14-'CC summary'!P14</f>
        <v>#REF!</v>
      </c>
      <c r="Q14" s="8">
        <f>'WCLA Consolidated MTEF Budget'!Q14-'CC summary'!Q14</f>
        <v>-521002.76864347816</v>
      </c>
      <c r="R14" s="7"/>
    </row>
    <row r="15" spans="1:18" x14ac:dyDescent="0.3">
      <c r="A15" s="8">
        <f>'WCLA Consolidated MTEF Budget'!A15-'CC summary'!A15</f>
        <v>0</v>
      </c>
      <c r="B15" s="8">
        <f>'WCLA Consolidated MTEF Budget'!B15-'CC summary'!B15</f>
        <v>0</v>
      </c>
      <c r="C15" s="8">
        <f>'WCLA Consolidated MTEF Budget'!C15-'CC summary'!C15</f>
        <v>0</v>
      </c>
      <c r="D15" s="8">
        <f>'WCLA Consolidated MTEF Budget'!D15-'CC summary'!D15</f>
        <v>0</v>
      </c>
      <c r="E15" s="8">
        <f>'WCLA Consolidated MTEF Budget'!E15-'CC summary'!E15</f>
        <v>0</v>
      </c>
      <c r="F15" s="8">
        <f>'WCLA Consolidated MTEF Budget'!F15-'CC summary'!F15</f>
        <v>0</v>
      </c>
      <c r="G15" s="8">
        <f>'WCLA Consolidated MTEF Budget'!G15-'CC summary'!G15</f>
        <v>0</v>
      </c>
      <c r="H15" s="8">
        <f>'WCLA Consolidated MTEF Budget'!H15-'CC summary'!H15</f>
        <v>0</v>
      </c>
      <c r="I15" s="8">
        <f>'WCLA Consolidated MTEF Budget'!I15-'CC summary'!I15</f>
        <v>0</v>
      </c>
      <c r="J15" s="8">
        <f>'WCLA Consolidated MTEF Budget'!J15-'CC summary'!J15</f>
        <v>0</v>
      </c>
      <c r="K15" s="8">
        <f>'WCLA Consolidated MTEF Budget'!K15-'CC summary'!K15</f>
        <v>0</v>
      </c>
      <c r="L15" s="8">
        <f>'WCLA Consolidated MTEF Budget'!L15-'CC summary'!L15</f>
        <v>0</v>
      </c>
      <c r="M15" s="13" t="s">
        <v>87</v>
      </c>
      <c r="N15" s="7">
        <f>'Budget Report DOCs'!M15-'WCLA Consolidated MTEF Budget'!N15</f>
        <v>0</v>
      </c>
      <c r="O15" s="8">
        <f>'WCLA Consolidated MTEF Budget'!O15-'CC summary'!O15</f>
        <v>0</v>
      </c>
      <c r="P15" s="8">
        <f>'WCLA Consolidated MTEF Budget'!P15-'CC summary'!P15</f>
        <v>0</v>
      </c>
      <c r="Q15" s="8">
        <f>'WCLA Consolidated MTEF Budget'!Q15-'CC summary'!Q15</f>
        <v>-106704</v>
      </c>
      <c r="R15" s="7"/>
    </row>
    <row r="16" spans="1:18" x14ac:dyDescent="0.3">
      <c r="A16" s="8">
        <f>'WCLA Consolidated MTEF Budget'!A16-'CC summary'!A16</f>
        <v>0</v>
      </c>
      <c r="B16" s="8">
        <f>'WCLA Consolidated MTEF Budget'!B16-'CC summary'!B16</f>
        <v>0</v>
      </c>
      <c r="C16" s="8">
        <f>'WCLA Consolidated MTEF Budget'!C16-'CC summary'!C16</f>
        <v>0</v>
      </c>
      <c r="D16" s="8">
        <f>'WCLA Consolidated MTEF Budget'!D16-'CC summary'!D16</f>
        <v>0</v>
      </c>
      <c r="E16" s="8">
        <f>'WCLA Consolidated MTEF Budget'!E16-'CC summary'!E16</f>
        <v>0</v>
      </c>
      <c r="F16" s="8">
        <f>'WCLA Consolidated MTEF Budget'!F16-'CC summary'!F16</f>
        <v>0</v>
      </c>
      <c r="G16" s="8">
        <f>'WCLA Consolidated MTEF Budget'!G16-'CC summary'!G16</f>
        <v>0</v>
      </c>
      <c r="H16" s="8">
        <f>'WCLA Consolidated MTEF Budget'!H16-'CC summary'!H16</f>
        <v>0</v>
      </c>
      <c r="I16" s="8">
        <f>'WCLA Consolidated MTEF Budget'!I16-'CC summary'!I16</f>
        <v>0</v>
      </c>
      <c r="J16" s="8">
        <f>'WCLA Consolidated MTEF Budget'!J16-'CC summary'!J16</f>
        <v>0</v>
      </c>
      <c r="K16" s="8">
        <f>'WCLA Consolidated MTEF Budget'!K16-'CC summary'!K16</f>
        <v>0</v>
      </c>
      <c r="L16" s="8">
        <f>'WCLA Consolidated MTEF Budget'!L16-'CC summary'!L16</f>
        <v>0</v>
      </c>
      <c r="M16" s="13" t="s">
        <v>88</v>
      </c>
      <c r="N16" s="7">
        <f>'Budget Report DOCs'!M16-'WCLA Consolidated MTEF Budget'!N16</f>
        <v>0</v>
      </c>
      <c r="O16" s="8">
        <f>'WCLA Consolidated MTEF Budget'!O16-'CC summary'!O16</f>
        <v>0</v>
      </c>
      <c r="P16" s="8">
        <f>'WCLA Consolidated MTEF Budget'!P16-'CC summary'!P16</f>
        <v>0</v>
      </c>
      <c r="Q16" s="8">
        <f>'WCLA Consolidated MTEF Budget'!Q16-'CC summary'!Q16</f>
        <v>0</v>
      </c>
      <c r="R16" s="11"/>
    </row>
    <row r="17" spans="1:18" ht="5.4" customHeight="1" x14ac:dyDescent="0.3">
      <c r="A17" s="81"/>
      <c r="B17" s="81"/>
      <c r="C17" s="81"/>
      <c r="D17" s="85"/>
      <c r="E17" s="83"/>
      <c r="F17" s="83"/>
      <c r="G17" s="83"/>
      <c r="H17" s="83"/>
      <c r="I17" s="83"/>
      <c r="J17" s="83"/>
      <c r="K17" s="83"/>
      <c r="L17" s="83"/>
      <c r="M17" s="13"/>
      <c r="N17" s="83">
        <f t="shared" ref="N17:N66" si="0">SUM(A17:H17)</f>
        <v>0</v>
      </c>
      <c r="O17" s="81"/>
      <c r="P17" s="81"/>
      <c r="Q17" s="81"/>
      <c r="R17" s="81"/>
    </row>
    <row r="18" spans="1:18" x14ac:dyDescent="0.3">
      <c r="A18" s="4">
        <f>SUM(A7:A16)</f>
        <v>0</v>
      </c>
      <c r="B18" s="4">
        <f>SUM(B7:B16)</f>
        <v>0</v>
      </c>
      <c r="C18" s="4">
        <f t="shared" ref="C18:N18" si="1">SUM(C7:C16)</f>
        <v>0</v>
      </c>
      <c r="D18" s="4">
        <f>SUM(D7:D16)</f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  <c r="H18" s="4" t="e">
        <f t="shared" si="1"/>
        <v>#REF!</v>
      </c>
      <c r="I18" s="4">
        <f t="shared" si="1"/>
        <v>0</v>
      </c>
      <c r="J18" s="4">
        <f t="shared" si="1"/>
        <v>0</v>
      </c>
      <c r="K18" s="4">
        <f t="shared" si="1"/>
        <v>0</v>
      </c>
      <c r="L18" s="4">
        <f t="shared" si="1"/>
        <v>0</v>
      </c>
      <c r="M18" s="13" t="s">
        <v>89</v>
      </c>
      <c r="N18" s="4" t="e">
        <f t="shared" si="1"/>
        <v>#REF!</v>
      </c>
      <c r="O18" s="4"/>
      <c r="P18" s="4"/>
      <c r="Q18" s="4"/>
      <c r="R18" s="4"/>
    </row>
    <row r="19" spans="1:18" ht="5.4" customHeight="1" x14ac:dyDescent="0.3">
      <c r="A19" s="81"/>
      <c r="B19" s="81"/>
      <c r="C19" s="81"/>
      <c r="D19" s="82"/>
      <c r="E19" s="86"/>
      <c r="F19" s="86"/>
      <c r="G19" s="86"/>
      <c r="H19" s="86"/>
      <c r="I19" s="86"/>
      <c r="J19" s="86"/>
      <c r="K19" s="86"/>
      <c r="L19" s="86"/>
      <c r="M19" s="122"/>
      <c r="N19" s="87">
        <f t="shared" si="0"/>
        <v>0</v>
      </c>
      <c r="O19" s="81"/>
      <c r="P19" s="81"/>
      <c r="Q19" s="81"/>
      <c r="R19" s="81"/>
    </row>
    <row r="20" spans="1:18" x14ac:dyDescent="0.3">
      <c r="A20" s="8">
        <f>'WCLA Consolidated MTEF Budget'!A20-'CC summary'!A20</f>
        <v>0</v>
      </c>
      <c r="B20" s="8">
        <f>'WCLA Consolidated MTEF Budget'!B20-'CC summary'!B20</f>
        <v>0</v>
      </c>
      <c r="C20" s="8">
        <f>'WCLA Consolidated MTEF Budget'!C20-'CC summary'!C20</f>
        <v>0</v>
      </c>
      <c r="D20" s="8">
        <f>'WCLA Consolidated MTEF Budget'!D20-'CC summary'!D20</f>
        <v>0</v>
      </c>
      <c r="E20" s="8">
        <f>'WCLA Consolidated MTEF Budget'!E20-'CC summary'!E20</f>
        <v>0</v>
      </c>
      <c r="F20" s="8">
        <f>'WCLA Consolidated MTEF Budget'!F20-'CC summary'!F20</f>
        <v>0</v>
      </c>
      <c r="G20" s="8">
        <f>'WCLA Consolidated MTEF Budget'!G20-'CC summary'!G20</f>
        <v>0</v>
      </c>
      <c r="H20" s="8">
        <f>'WCLA Consolidated MTEF Budget'!H20-'CC summary'!H20</f>
        <v>0</v>
      </c>
      <c r="I20" s="8">
        <f>'WCLA Consolidated MTEF Budget'!I20-'CC summary'!I20</f>
        <v>0</v>
      </c>
      <c r="J20" s="8">
        <f>'WCLA Consolidated MTEF Budget'!J20-'CC summary'!J20</f>
        <v>0</v>
      </c>
      <c r="K20" s="8">
        <f>'WCLA Consolidated MTEF Budget'!K20-'CC summary'!K20</f>
        <v>0</v>
      </c>
      <c r="L20" s="8">
        <f>'WCLA Consolidated MTEF Budget'!L20-'CC summary'!L20</f>
        <v>0</v>
      </c>
      <c r="M20" s="238" t="s">
        <v>90</v>
      </c>
      <c r="N20" s="8">
        <f>'Budget Report DOCs'!M20-'WCLA Consolidated MTEF Budget'!N20</f>
        <v>0</v>
      </c>
      <c r="O20" s="8">
        <f>'WCLA Consolidated MTEF Budget'!O20-'CC summary'!O20</f>
        <v>-10825.84</v>
      </c>
      <c r="P20" s="8">
        <f>'WCLA Consolidated MTEF Budget'!P20-'CC summary'!P20</f>
        <v>0</v>
      </c>
      <c r="Q20" s="8">
        <f>'WCLA Consolidated MTEF Budget'!Q20-'CC summary'!Q20</f>
        <v>11965.079999999973</v>
      </c>
      <c r="R20" s="8"/>
    </row>
    <row r="21" spans="1:18" x14ac:dyDescent="0.3">
      <c r="A21" s="8">
        <f>'WCLA Consolidated MTEF Budget'!A21-'CC summary'!A21</f>
        <v>0</v>
      </c>
      <c r="B21" s="8">
        <f>'WCLA Consolidated MTEF Budget'!B21-'CC summary'!B21</f>
        <v>0</v>
      </c>
      <c r="C21" s="8">
        <f>'WCLA Consolidated MTEF Budget'!C21-'CC summary'!C21</f>
        <v>0</v>
      </c>
      <c r="D21" s="8">
        <f>'WCLA Consolidated MTEF Budget'!D21-'CC summary'!D21</f>
        <v>0</v>
      </c>
      <c r="E21" s="8">
        <f>'WCLA Consolidated MTEF Budget'!E21-'CC summary'!E21</f>
        <v>0</v>
      </c>
      <c r="F21" s="8">
        <f>'WCLA Consolidated MTEF Budget'!F21-'CC summary'!F21</f>
        <v>0</v>
      </c>
      <c r="G21" s="8">
        <f>'WCLA Consolidated MTEF Budget'!G21-'CC summary'!G21</f>
        <v>0</v>
      </c>
      <c r="H21" s="8">
        <f>'WCLA Consolidated MTEF Budget'!H21-'CC summary'!H21</f>
        <v>0</v>
      </c>
      <c r="I21" s="8">
        <f>'WCLA Consolidated MTEF Budget'!I21-'CC summary'!I21</f>
        <v>0</v>
      </c>
      <c r="J21" s="8">
        <f>'WCLA Consolidated MTEF Budget'!J21-'CC summary'!J21</f>
        <v>0</v>
      </c>
      <c r="K21" s="8">
        <f>'WCLA Consolidated MTEF Budget'!K21-'CC summary'!K21</f>
        <v>0</v>
      </c>
      <c r="L21" s="8">
        <f>'WCLA Consolidated MTEF Budget'!L21-'CC summary'!L21</f>
        <v>0</v>
      </c>
      <c r="M21" s="13" t="s">
        <v>91</v>
      </c>
      <c r="N21" s="8">
        <f>'Budget Report DOCs'!M21-'WCLA Consolidated MTEF Budget'!N21</f>
        <v>0</v>
      </c>
      <c r="O21" s="8">
        <f>'WCLA Consolidated MTEF Budget'!O21-'CC summary'!O21</f>
        <v>-142166.44</v>
      </c>
      <c r="P21" s="8">
        <f>'WCLA Consolidated MTEF Budget'!P21-'CC summary'!P21</f>
        <v>0</v>
      </c>
      <c r="Q21" s="8">
        <f>'WCLA Consolidated MTEF Budget'!Q21-'CC summary'!Q21</f>
        <v>116760.51694663963</v>
      </c>
      <c r="R21" s="7"/>
    </row>
    <row r="22" spans="1:18" x14ac:dyDescent="0.3">
      <c r="A22" s="8">
        <f>'WCLA Consolidated MTEF Budget'!A22-'CC summary'!A22</f>
        <v>0</v>
      </c>
      <c r="B22" s="8">
        <f>'WCLA Consolidated MTEF Budget'!B22-'CC summary'!B22</f>
        <v>0</v>
      </c>
      <c r="C22" s="8">
        <f>'WCLA Consolidated MTEF Budget'!C22-'CC summary'!C22</f>
        <v>0</v>
      </c>
      <c r="D22" s="8">
        <f>'WCLA Consolidated MTEF Budget'!D22-'CC summary'!D22</f>
        <v>0</v>
      </c>
      <c r="E22" s="8">
        <f>'WCLA Consolidated MTEF Budget'!E22-'CC summary'!E22</f>
        <v>0</v>
      </c>
      <c r="F22" s="8">
        <f>'WCLA Consolidated MTEF Budget'!F22-'CC summary'!F22</f>
        <v>0</v>
      </c>
      <c r="G22" s="8">
        <f>'WCLA Consolidated MTEF Budget'!G22-'CC summary'!G22</f>
        <v>0</v>
      </c>
      <c r="H22" s="8">
        <f>'WCLA Consolidated MTEF Budget'!H22-'CC summary'!H22</f>
        <v>0</v>
      </c>
      <c r="I22" s="8">
        <f>'WCLA Consolidated MTEF Budget'!I22-'CC summary'!I22</f>
        <v>0</v>
      </c>
      <c r="J22" s="8">
        <f>'WCLA Consolidated MTEF Budget'!J22-'CC summary'!J22</f>
        <v>0</v>
      </c>
      <c r="K22" s="8">
        <f>'WCLA Consolidated MTEF Budget'!K22-'CC summary'!K22</f>
        <v>0</v>
      </c>
      <c r="L22" s="8">
        <f>'WCLA Consolidated MTEF Budget'!L22-'CC summary'!L22</f>
        <v>0</v>
      </c>
      <c r="M22" s="13" t="s">
        <v>92</v>
      </c>
      <c r="N22" s="8">
        <f>'Budget Report DOCs'!M22-'WCLA Consolidated MTEF Budget'!N22</f>
        <v>0</v>
      </c>
      <c r="O22" s="8">
        <f>'WCLA Consolidated MTEF Budget'!O22-'CC summary'!O22</f>
        <v>-13768.624000000003</v>
      </c>
      <c r="P22" s="8">
        <f>'WCLA Consolidated MTEF Budget'!P22-'CC summary'!P22</f>
        <v>0</v>
      </c>
      <c r="Q22" s="8">
        <f>'WCLA Consolidated MTEF Budget'!Q22-'CC summary'!Q22</f>
        <v>15217.488000000012</v>
      </c>
      <c r="R22" s="7"/>
    </row>
    <row r="23" spans="1:18" x14ac:dyDescent="0.3">
      <c r="A23" s="8">
        <f>'WCLA Consolidated MTEF Budget'!A23-'CC summary'!A23</f>
        <v>0</v>
      </c>
      <c r="B23" s="8">
        <f>'WCLA Consolidated MTEF Budget'!B23-'CC summary'!B23</f>
        <v>0</v>
      </c>
      <c r="C23" s="8">
        <f>'WCLA Consolidated MTEF Budget'!C23-'CC summary'!C23</f>
        <v>0</v>
      </c>
      <c r="D23" s="8">
        <f>'WCLA Consolidated MTEF Budget'!D23-'CC summary'!D23</f>
        <v>0</v>
      </c>
      <c r="E23" s="8">
        <f>'WCLA Consolidated MTEF Budget'!E23-'CC summary'!E23</f>
        <v>0</v>
      </c>
      <c r="F23" s="8">
        <f>'WCLA Consolidated MTEF Budget'!F23-'CC summary'!F23</f>
        <v>0</v>
      </c>
      <c r="G23" s="8">
        <f>'WCLA Consolidated MTEF Budget'!G23-'CC summary'!G23</f>
        <v>0</v>
      </c>
      <c r="H23" s="8">
        <f>'WCLA Consolidated MTEF Budget'!H23-'CC summary'!H23</f>
        <v>0</v>
      </c>
      <c r="I23" s="8">
        <f>'WCLA Consolidated MTEF Budget'!I23-'CC summary'!I23</f>
        <v>0</v>
      </c>
      <c r="J23" s="8">
        <f>'WCLA Consolidated MTEF Budget'!J23-'CC summary'!J23</f>
        <v>0</v>
      </c>
      <c r="K23" s="8">
        <f>'WCLA Consolidated MTEF Budget'!K23-'CC summary'!K23</f>
        <v>0</v>
      </c>
      <c r="L23" s="8">
        <f>'WCLA Consolidated MTEF Budget'!L23-'CC summary'!L23</f>
        <v>0</v>
      </c>
      <c r="M23" s="125" t="s">
        <v>93</v>
      </c>
      <c r="N23" s="8">
        <f>'Budget Report DOCs'!M23-'WCLA Consolidated MTEF Budget'!N23</f>
        <v>0</v>
      </c>
      <c r="O23" s="8">
        <f>'WCLA Consolidated MTEF Budget'!O23-'CC summary'!O23</f>
        <v>0</v>
      </c>
      <c r="P23" s="8">
        <f>'WCLA Consolidated MTEF Budget'!P23-'CC summary'!P23</f>
        <v>0</v>
      </c>
      <c r="Q23" s="8">
        <f>'WCLA Consolidated MTEF Budget'!Q23-'CC summary'!Q23</f>
        <v>0</v>
      </c>
      <c r="R23" s="7"/>
    </row>
    <row r="24" spans="1:18" x14ac:dyDescent="0.3">
      <c r="A24" s="8">
        <f>'WCLA Consolidated MTEF Budget'!A24-'CC summary'!A24</f>
        <v>0</v>
      </c>
      <c r="B24" s="8">
        <f>'WCLA Consolidated MTEF Budget'!B24-'CC summary'!B24</f>
        <v>0</v>
      </c>
      <c r="C24" s="8">
        <f>'WCLA Consolidated MTEF Budget'!C24-'CC summary'!C24</f>
        <v>0</v>
      </c>
      <c r="D24" s="8">
        <f>'WCLA Consolidated MTEF Budget'!D24-'CC summary'!D24</f>
        <v>0</v>
      </c>
      <c r="E24" s="8">
        <f>'WCLA Consolidated MTEF Budget'!E24-'CC summary'!E24</f>
        <v>0</v>
      </c>
      <c r="F24" s="8">
        <f>'WCLA Consolidated MTEF Budget'!F24-'CC summary'!F24</f>
        <v>0</v>
      </c>
      <c r="G24" s="8">
        <f>'WCLA Consolidated MTEF Budget'!G24-'CC summary'!G24</f>
        <v>0</v>
      </c>
      <c r="H24" s="8">
        <f>'WCLA Consolidated MTEF Budget'!H24-'CC summary'!H24</f>
        <v>0</v>
      </c>
      <c r="I24" s="8">
        <f>'WCLA Consolidated MTEF Budget'!I24-'CC summary'!I24</f>
        <v>0</v>
      </c>
      <c r="J24" s="8">
        <f>'WCLA Consolidated MTEF Budget'!J24-'CC summary'!J24</f>
        <v>0</v>
      </c>
      <c r="K24" s="8">
        <f>'WCLA Consolidated MTEF Budget'!K24-'CC summary'!K24</f>
        <v>0</v>
      </c>
      <c r="L24" s="8">
        <f>'WCLA Consolidated MTEF Budget'!L24-'CC summary'!L24</f>
        <v>0</v>
      </c>
      <c r="M24" s="125" t="s">
        <v>94</v>
      </c>
      <c r="N24" s="8">
        <f>'Budget Report DOCs'!M24-'WCLA Consolidated MTEF Budget'!N24</f>
        <v>0</v>
      </c>
      <c r="O24" s="8">
        <f>'WCLA Consolidated MTEF Budget'!O24-'CC summary'!O24</f>
        <v>-23328.480000000003</v>
      </c>
      <c r="P24" s="8">
        <f>'WCLA Consolidated MTEF Budget'!P24-'CC summary'!P24</f>
        <v>0</v>
      </c>
      <c r="Q24" s="8">
        <f>'WCLA Consolidated MTEF Budget'!Q24-'CC summary'!Q24</f>
        <v>12821.720000000088</v>
      </c>
      <c r="R24" s="7"/>
    </row>
    <row r="25" spans="1:18" x14ac:dyDescent="0.3">
      <c r="A25" s="8">
        <f>'WCLA Consolidated MTEF Budget'!A25-'CC summary'!A25</f>
        <v>0</v>
      </c>
      <c r="B25" s="8">
        <f>'WCLA Consolidated MTEF Budget'!B25-'CC summary'!B25</f>
        <v>0</v>
      </c>
      <c r="C25" s="8">
        <f>'WCLA Consolidated MTEF Budget'!C25-'CC summary'!C25</f>
        <v>0</v>
      </c>
      <c r="D25" s="8">
        <f>'WCLA Consolidated MTEF Budget'!D25-'CC summary'!D25</f>
        <v>0</v>
      </c>
      <c r="E25" s="8">
        <f>'WCLA Consolidated MTEF Budget'!E25-'CC summary'!E25</f>
        <v>0</v>
      </c>
      <c r="F25" s="8">
        <f>'WCLA Consolidated MTEF Budget'!F25-'CC summary'!F25</f>
        <v>0</v>
      </c>
      <c r="G25" s="8">
        <f>'WCLA Consolidated MTEF Budget'!G25-'CC summary'!G25</f>
        <v>0</v>
      </c>
      <c r="H25" s="8">
        <f>'WCLA Consolidated MTEF Budget'!H25-'CC summary'!H25</f>
        <v>0</v>
      </c>
      <c r="I25" s="8">
        <f>'WCLA Consolidated MTEF Budget'!I25-'CC summary'!I25</f>
        <v>0</v>
      </c>
      <c r="J25" s="8">
        <f>'WCLA Consolidated MTEF Budget'!J25-'CC summary'!J25</f>
        <v>0</v>
      </c>
      <c r="K25" s="8">
        <f>'WCLA Consolidated MTEF Budget'!K25-'CC summary'!K25</f>
        <v>0</v>
      </c>
      <c r="L25" s="8">
        <f>'WCLA Consolidated MTEF Budget'!L25-'CC summary'!L25</f>
        <v>0</v>
      </c>
      <c r="M25" s="13" t="s">
        <v>95</v>
      </c>
      <c r="N25" s="8">
        <f>'Budget Report DOCs'!M25-'WCLA Consolidated MTEF Budget'!N25</f>
        <v>0</v>
      </c>
      <c r="O25" s="8">
        <f>'WCLA Consolidated MTEF Budget'!O25-'CC summary'!O25</f>
        <v>-1290.0880000000002</v>
      </c>
      <c r="P25" s="8">
        <f>'WCLA Consolidated MTEF Budget'!P25-'CC summary'!P25</f>
        <v>0</v>
      </c>
      <c r="Q25" s="8">
        <f>'WCLA Consolidated MTEF Budget'!Q25-'CC summary'!Q25</f>
        <v>11342.868500000004</v>
      </c>
      <c r="R25" s="7"/>
    </row>
    <row r="26" spans="1:18" x14ac:dyDescent="0.3">
      <c r="A26" s="8">
        <f>'WCLA Consolidated MTEF Budget'!A26-'CC summary'!A26</f>
        <v>0</v>
      </c>
      <c r="B26" s="8">
        <f>'WCLA Consolidated MTEF Budget'!B26-'CC summary'!B26</f>
        <v>0</v>
      </c>
      <c r="C26" s="8">
        <f>'WCLA Consolidated MTEF Budget'!C26-'CC summary'!C26</f>
        <v>0</v>
      </c>
      <c r="D26" s="8">
        <f>'WCLA Consolidated MTEF Budget'!D26-'CC summary'!D26</f>
        <v>0</v>
      </c>
      <c r="E26" s="8">
        <f>'WCLA Consolidated MTEF Budget'!E26-'CC summary'!E26</f>
        <v>0</v>
      </c>
      <c r="F26" s="8">
        <f>'WCLA Consolidated MTEF Budget'!F26-'CC summary'!F26</f>
        <v>0</v>
      </c>
      <c r="G26" s="8">
        <f>'WCLA Consolidated MTEF Budget'!G26-'CC summary'!G26</f>
        <v>0</v>
      </c>
      <c r="H26" s="8">
        <f>'WCLA Consolidated MTEF Budget'!H26-'CC summary'!H26</f>
        <v>0</v>
      </c>
      <c r="I26" s="8">
        <f>'WCLA Consolidated MTEF Budget'!I26-'CC summary'!I26</f>
        <v>0</v>
      </c>
      <c r="J26" s="8">
        <f>'WCLA Consolidated MTEF Budget'!J26-'CC summary'!J26</f>
        <v>0</v>
      </c>
      <c r="K26" s="8">
        <f>'WCLA Consolidated MTEF Budget'!K26-'CC summary'!K26</f>
        <v>0</v>
      </c>
      <c r="L26" s="8">
        <f>'WCLA Consolidated MTEF Budget'!L26-'CC summary'!L26</f>
        <v>0</v>
      </c>
      <c r="M26" s="13" t="s">
        <v>96</v>
      </c>
      <c r="N26" s="11">
        <f>'Budget Report DOCs'!M26-'WCLA Consolidated MTEF Budget'!N26</f>
        <v>0</v>
      </c>
      <c r="O26" s="8">
        <f>'WCLA Consolidated MTEF Budget'!O26-'CC summary'!O26</f>
        <v>0</v>
      </c>
      <c r="P26" s="8">
        <f>'WCLA Consolidated MTEF Budget'!P26-'CC summary'!P26</f>
        <v>0</v>
      </c>
      <c r="Q26" s="8">
        <f>'WCLA Consolidated MTEF Budget'!Q26-'CC summary'!Q26</f>
        <v>0</v>
      </c>
      <c r="R26" s="11"/>
    </row>
    <row r="27" spans="1:18" ht="5.4" customHeight="1" x14ac:dyDescent="0.3">
      <c r="A27" s="81"/>
      <c r="B27" s="81"/>
      <c r="C27" s="81"/>
      <c r="D27" s="85"/>
      <c r="E27" s="83"/>
      <c r="F27" s="83"/>
      <c r="G27" s="83"/>
      <c r="H27" s="83"/>
      <c r="I27" s="83"/>
      <c r="J27" s="83"/>
      <c r="K27" s="83"/>
      <c r="L27" s="83"/>
      <c r="M27" s="13"/>
      <c r="N27" s="83">
        <f t="shared" si="0"/>
        <v>0</v>
      </c>
      <c r="O27" s="81"/>
      <c r="P27" s="81"/>
      <c r="Q27" s="81"/>
      <c r="R27" s="81"/>
    </row>
    <row r="28" spans="1:18" x14ac:dyDescent="0.3">
      <c r="A28" s="4">
        <f>SUM(A20:A26)</f>
        <v>0</v>
      </c>
      <c r="B28" s="4">
        <f>SUM(B20:B26)</f>
        <v>0</v>
      </c>
      <c r="C28" s="4">
        <f t="shared" ref="C28:N28" si="2">SUM(C20:C26)</f>
        <v>0</v>
      </c>
      <c r="D28" s="4">
        <f t="shared" si="2"/>
        <v>0</v>
      </c>
      <c r="E28" s="4">
        <f t="shared" si="2"/>
        <v>0</v>
      </c>
      <c r="F28" s="4">
        <f t="shared" si="2"/>
        <v>0</v>
      </c>
      <c r="G28" s="4">
        <f t="shared" si="2"/>
        <v>0</v>
      </c>
      <c r="H28" s="4">
        <f t="shared" si="2"/>
        <v>0</v>
      </c>
      <c r="I28" s="4">
        <f t="shared" si="2"/>
        <v>0</v>
      </c>
      <c r="J28" s="4">
        <f t="shared" si="2"/>
        <v>0</v>
      </c>
      <c r="K28" s="4">
        <f t="shared" si="2"/>
        <v>0</v>
      </c>
      <c r="L28" s="4">
        <f t="shared" si="2"/>
        <v>0</v>
      </c>
      <c r="M28" s="13" t="s">
        <v>97</v>
      </c>
      <c r="N28" s="4">
        <f t="shared" si="2"/>
        <v>0</v>
      </c>
      <c r="O28" s="4"/>
      <c r="P28" s="4"/>
      <c r="Q28" s="4"/>
      <c r="R28" s="4"/>
    </row>
    <row r="29" spans="1:18" ht="3.6" customHeight="1" x14ac:dyDescent="0.3">
      <c r="A29" s="81"/>
      <c r="B29" s="81"/>
      <c r="C29" s="81"/>
      <c r="D29" s="82"/>
      <c r="E29" s="86"/>
      <c r="F29" s="86"/>
      <c r="G29" s="86"/>
      <c r="H29" s="86"/>
      <c r="I29" s="86"/>
      <c r="J29" s="86"/>
      <c r="K29" s="86"/>
      <c r="L29" s="86"/>
      <c r="M29" s="80"/>
      <c r="N29" s="87">
        <f t="shared" si="0"/>
        <v>0</v>
      </c>
      <c r="O29" s="81"/>
      <c r="P29" s="81"/>
      <c r="Q29" s="81"/>
      <c r="R29" s="81"/>
    </row>
    <row r="30" spans="1:18" x14ac:dyDescent="0.3">
      <c r="A30" s="8">
        <f>'WCLA Consolidated MTEF Budget'!A30-'CC summary'!A30</f>
        <v>0</v>
      </c>
      <c r="B30" s="8">
        <f>'WCLA Consolidated MTEF Budget'!B30-'CC summary'!B30</f>
        <v>0</v>
      </c>
      <c r="C30" s="8">
        <f>'WCLA Consolidated MTEF Budget'!C30-'CC summary'!C30</f>
        <v>0</v>
      </c>
      <c r="D30" s="8">
        <f>'WCLA Consolidated MTEF Budget'!D30-'CC summary'!D30</f>
        <v>0</v>
      </c>
      <c r="E30" s="8">
        <f>'WCLA Consolidated MTEF Budget'!E30-'CC summary'!E30</f>
        <v>0</v>
      </c>
      <c r="F30" s="8">
        <f>'WCLA Consolidated MTEF Budget'!F30-'CC summary'!F30</f>
        <v>0</v>
      </c>
      <c r="G30" s="8">
        <f>'WCLA Consolidated MTEF Budget'!G30-'CC summary'!G30</f>
        <v>0</v>
      </c>
      <c r="H30" s="8">
        <f>'WCLA Consolidated MTEF Budget'!H30-'CC summary'!H30</f>
        <v>0</v>
      </c>
      <c r="I30" s="8">
        <f>'WCLA Consolidated MTEF Budget'!I30-'CC summary'!I30</f>
        <v>0</v>
      </c>
      <c r="J30" s="8">
        <f>'WCLA Consolidated MTEF Budget'!J30-'CC summary'!J30</f>
        <v>0</v>
      </c>
      <c r="K30" s="8">
        <f>'WCLA Consolidated MTEF Budget'!K30-'CC summary'!K30</f>
        <v>0</v>
      </c>
      <c r="L30" s="8">
        <f>'WCLA Consolidated MTEF Budget'!L30-'CC summary'!L30</f>
        <v>0</v>
      </c>
      <c r="M30" s="238" t="s">
        <v>98</v>
      </c>
      <c r="N30" s="8">
        <f>'Budget Report DOCs'!M30-'WCLA Consolidated MTEF Budget'!N30</f>
        <v>0</v>
      </c>
      <c r="O30" s="8">
        <f>'WCLA Consolidated MTEF Budget'!O30-'CC summary'!O30</f>
        <v>0</v>
      </c>
      <c r="P30" s="8">
        <f>'WCLA Consolidated MTEF Budget'!P30-'CC summary'!P30</f>
        <v>0</v>
      </c>
      <c r="Q30" s="8">
        <f>'WCLA Consolidated MTEF Budget'!Q30-'CC summary'!Q30</f>
        <v>376799.54936000006</v>
      </c>
      <c r="R30" s="8"/>
    </row>
    <row r="31" spans="1:18" x14ac:dyDescent="0.3">
      <c r="A31" s="8">
        <f>'WCLA Consolidated MTEF Budget'!A31-'CC summary'!A31</f>
        <v>0</v>
      </c>
      <c r="B31" s="8">
        <f>'WCLA Consolidated MTEF Budget'!B31-'CC summary'!B31</f>
        <v>0</v>
      </c>
      <c r="C31" s="8">
        <f>'WCLA Consolidated MTEF Budget'!C31-'CC summary'!C31</f>
        <v>0</v>
      </c>
      <c r="D31" s="8">
        <f>'WCLA Consolidated MTEF Budget'!D31-'CC summary'!D31</f>
        <v>0</v>
      </c>
      <c r="E31" s="8">
        <f>'WCLA Consolidated MTEF Budget'!E31-'CC summary'!E31</f>
        <v>0</v>
      </c>
      <c r="F31" s="8">
        <f>'WCLA Consolidated MTEF Budget'!F31-'CC summary'!F31</f>
        <v>0</v>
      </c>
      <c r="G31" s="8">
        <f>'WCLA Consolidated MTEF Budget'!G31-'CC summary'!G31</f>
        <v>0</v>
      </c>
      <c r="H31" s="8">
        <f>'WCLA Consolidated MTEF Budget'!H31-'CC summary'!H31</f>
        <v>0</v>
      </c>
      <c r="I31" s="8">
        <f>'WCLA Consolidated MTEF Budget'!I31-'CC summary'!I31</f>
        <v>0</v>
      </c>
      <c r="J31" s="8">
        <f>'WCLA Consolidated MTEF Budget'!J31-'CC summary'!J31</f>
        <v>0</v>
      </c>
      <c r="K31" s="8">
        <f>'WCLA Consolidated MTEF Budget'!K31-'CC summary'!K31</f>
        <v>0</v>
      </c>
      <c r="L31" s="8">
        <f>'WCLA Consolidated MTEF Budget'!L31-'CC summary'!L31</f>
        <v>0</v>
      </c>
      <c r="M31" s="13" t="s">
        <v>99</v>
      </c>
      <c r="N31" s="8">
        <f>'Budget Report DOCs'!M31-'WCLA Consolidated MTEF Budget'!N31</f>
        <v>0</v>
      </c>
      <c r="O31" s="8">
        <f>'WCLA Consolidated MTEF Budget'!O31-'CC summary'!O31</f>
        <v>-9215.0640000000021</v>
      </c>
      <c r="P31" s="8">
        <f>'WCLA Consolidated MTEF Budget'!P31-'CC summary'!P31</f>
        <v>0</v>
      </c>
      <c r="Q31" s="8">
        <f>'WCLA Consolidated MTEF Budget'!Q31-'CC summary'!Q31</f>
        <v>85497.127431560002</v>
      </c>
      <c r="R31" s="7"/>
    </row>
    <row r="32" spans="1:18" x14ac:dyDescent="0.3">
      <c r="A32" s="8">
        <f>'WCLA Consolidated MTEF Budget'!A32-'CC summary'!A32</f>
        <v>0</v>
      </c>
      <c r="B32" s="8">
        <f>'WCLA Consolidated MTEF Budget'!B32-'CC summary'!B32</f>
        <v>0</v>
      </c>
      <c r="C32" s="8">
        <f>'WCLA Consolidated MTEF Budget'!C32-'CC summary'!C32</f>
        <v>0</v>
      </c>
      <c r="D32" s="8">
        <f>'WCLA Consolidated MTEF Budget'!D32-'CC summary'!D32</f>
        <v>0</v>
      </c>
      <c r="E32" s="8">
        <f>'WCLA Consolidated MTEF Budget'!E32-'CC summary'!E32</f>
        <v>0</v>
      </c>
      <c r="F32" s="8">
        <f>'WCLA Consolidated MTEF Budget'!F32-'CC summary'!F32</f>
        <v>0</v>
      </c>
      <c r="G32" s="8">
        <f>'WCLA Consolidated MTEF Budget'!G32-'CC summary'!G32</f>
        <v>0</v>
      </c>
      <c r="H32" s="8">
        <f>'WCLA Consolidated MTEF Budget'!H32-'CC summary'!H32</f>
        <v>0</v>
      </c>
      <c r="I32" s="8">
        <f>'WCLA Consolidated MTEF Budget'!I32-'CC summary'!I32</f>
        <v>0</v>
      </c>
      <c r="J32" s="8">
        <f>'WCLA Consolidated MTEF Budget'!J32-'CC summary'!J32</f>
        <v>0</v>
      </c>
      <c r="K32" s="8">
        <f>'WCLA Consolidated MTEF Budget'!K32-'CC summary'!K32</f>
        <v>0</v>
      </c>
      <c r="L32" s="8">
        <f>'WCLA Consolidated MTEF Budget'!L32-'CC summary'!L32</f>
        <v>0</v>
      </c>
      <c r="M32" s="13" t="s">
        <v>100</v>
      </c>
      <c r="N32" s="8">
        <f>'Budget Report DOCs'!M32-'WCLA Consolidated MTEF Budget'!N32</f>
        <v>0</v>
      </c>
      <c r="O32" s="8">
        <f>'WCLA Consolidated MTEF Budget'!O32-'CC summary'!O32</f>
        <v>-74534.80799999999</v>
      </c>
      <c r="P32" s="8">
        <f>'WCLA Consolidated MTEF Budget'!P32-'CC summary'!P32</f>
        <v>0</v>
      </c>
      <c r="Q32" s="8">
        <f>'WCLA Consolidated MTEF Budget'!Q32-'CC summary'!Q32</f>
        <v>-152581.18968256004</v>
      </c>
      <c r="R32" s="7"/>
    </row>
    <row r="33" spans="1:18" x14ac:dyDescent="0.3">
      <c r="A33" s="8">
        <f>'WCLA Consolidated MTEF Budget'!A33-'CC summary'!A33</f>
        <v>0</v>
      </c>
      <c r="B33" s="8">
        <f>'WCLA Consolidated MTEF Budget'!B33-'CC summary'!B33</f>
        <v>0</v>
      </c>
      <c r="C33" s="8">
        <f>'WCLA Consolidated MTEF Budget'!C33-'CC summary'!C33</f>
        <v>0</v>
      </c>
      <c r="D33" s="8">
        <f>'WCLA Consolidated MTEF Budget'!D33-'CC summary'!D33</f>
        <v>0</v>
      </c>
      <c r="E33" s="8">
        <f>'WCLA Consolidated MTEF Budget'!E33-'CC summary'!E33</f>
        <v>0</v>
      </c>
      <c r="F33" s="8">
        <f>'WCLA Consolidated MTEF Budget'!F33-'CC summary'!F33</f>
        <v>0</v>
      </c>
      <c r="G33" s="8">
        <f>'WCLA Consolidated MTEF Budget'!G33-'CC summary'!G33</f>
        <v>0</v>
      </c>
      <c r="H33" s="8">
        <f>'WCLA Consolidated MTEF Budget'!H33-'CC summary'!H33</f>
        <v>0</v>
      </c>
      <c r="I33" s="8">
        <f>'WCLA Consolidated MTEF Budget'!I33-'CC summary'!I33</f>
        <v>0</v>
      </c>
      <c r="J33" s="8">
        <f>'WCLA Consolidated MTEF Budget'!J33-'CC summary'!J33</f>
        <v>0</v>
      </c>
      <c r="K33" s="8">
        <f>'WCLA Consolidated MTEF Budget'!K33-'CC summary'!K33</f>
        <v>0</v>
      </c>
      <c r="L33" s="8">
        <f>'WCLA Consolidated MTEF Budget'!L33-'CC summary'!L33</f>
        <v>0</v>
      </c>
      <c r="M33" s="13" t="s">
        <v>101</v>
      </c>
      <c r="N33" s="8">
        <f>'Budget Report DOCs'!M33-'WCLA Consolidated MTEF Budget'!N33</f>
        <v>0</v>
      </c>
      <c r="O33" s="8">
        <f>'WCLA Consolidated MTEF Budget'!O33-'CC summary'!O33</f>
        <v>-4377.496000000001</v>
      </c>
      <c r="P33" s="8">
        <f>'WCLA Consolidated MTEF Budget'!P33-'CC summary'!P33</f>
        <v>0</v>
      </c>
      <c r="Q33" s="8">
        <f>'WCLA Consolidated MTEF Budget'!Q33-'CC summary'!Q33</f>
        <v>52531</v>
      </c>
      <c r="R33" s="7"/>
    </row>
    <row r="34" spans="1:18" x14ac:dyDescent="0.3">
      <c r="A34" s="8">
        <f>'WCLA Consolidated MTEF Budget'!A34-'CC summary'!A34</f>
        <v>0</v>
      </c>
      <c r="B34" s="8">
        <f>'WCLA Consolidated MTEF Budget'!B34-'CC summary'!B34</f>
        <v>0</v>
      </c>
      <c r="C34" s="8">
        <f>'WCLA Consolidated MTEF Budget'!C34-'CC summary'!C34</f>
        <v>0</v>
      </c>
      <c r="D34" s="8">
        <f>'WCLA Consolidated MTEF Budget'!D34-'CC summary'!D34</f>
        <v>0</v>
      </c>
      <c r="E34" s="8">
        <f>'WCLA Consolidated MTEF Budget'!E34-'CC summary'!E34</f>
        <v>0</v>
      </c>
      <c r="F34" s="8">
        <f>'WCLA Consolidated MTEF Budget'!F34-'CC summary'!F34</f>
        <v>0</v>
      </c>
      <c r="G34" s="8">
        <f>'WCLA Consolidated MTEF Budget'!G34-'CC summary'!G34</f>
        <v>0</v>
      </c>
      <c r="H34" s="8">
        <f>'WCLA Consolidated MTEF Budget'!H34-'CC summary'!H34</f>
        <v>0</v>
      </c>
      <c r="I34" s="8">
        <f>'WCLA Consolidated MTEF Budget'!I34-'CC summary'!I34</f>
        <v>0</v>
      </c>
      <c r="J34" s="8">
        <f>'WCLA Consolidated MTEF Budget'!J34-'CC summary'!J34</f>
        <v>0</v>
      </c>
      <c r="K34" s="8">
        <f>'WCLA Consolidated MTEF Budget'!K34-'CC summary'!K34</f>
        <v>0</v>
      </c>
      <c r="L34" s="8">
        <f>'WCLA Consolidated MTEF Budget'!L34-'CC summary'!L34</f>
        <v>0</v>
      </c>
      <c r="M34" s="13" t="s">
        <v>102</v>
      </c>
      <c r="N34" s="8">
        <f>'Budget Report DOCs'!M34-'WCLA Consolidated MTEF Budget'!N34</f>
        <v>0</v>
      </c>
      <c r="O34" s="8">
        <f>'WCLA Consolidated MTEF Budget'!O34-'CC summary'!O34</f>
        <v>-34273.792000000001</v>
      </c>
      <c r="P34" s="8">
        <f>'WCLA Consolidated MTEF Budget'!P34-'CC summary'!P34</f>
        <v>0</v>
      </c>
      <c r="Q34" s="8">
        <f>'WCLA Consolidated MTEF Budget'!Q34-'CC summary'!Q34</f>
        <v>-276861.78737073601</v>
      </c>
      <c r="R34" s="7"/>
    </row>
    <row r="35" spans="1:18" x14ac:dyDescent="0.3">
      <c r="A35" s="8">
        <f>'WCLA Consolidated MTEF Budget'!A35-'CC summary'!A35</f>
        <v>0</v>
      </c>
      <c r="B35" s="8">
        <f>'WCLA Consolidated MTEF Budget'!B35-'CC summary'!B35</f>
        <v>0</v>
      </c>
      <c r="C35" s="8">
        <f>'WCLA Consolidated MTEF Budget'!C35-'CC summary'!C35</f>
        <v>0</v>
      </c>
      <c r="D35" s="8">
        <f>'WCLA Consolidated MTEF Budget'!D35-'CC summary'!D35</f>
        <v>0</v>
      </c>
      <c r="E35" s="8">
        <f>'WCLA Consolidated MTEF Budget'!E35-'CC summary'!E35</f>
        <v>0</v>
      </c>
      <c r="F35" s="8">
        <f>'WCLA Consolidated MTEF Budget'!F35-'CC summary'!F35</f>
        <v>0</v>
      </c>
      <c r="G35" s="8">
        <f>'WCLA Consolidated MTEF Budget'!G35-'CC summary'!G35</f>
        <v>0</v>
      </c>
      <c r="H35" s="8">
        <f>'WCLA Consolidated MTEF Budget'!H35-'CC summary'!H35</f>
        <v>0</v>
      </c>
      <c r="I35" s="8">
        <f>'WCLA Consolidated MTEF Budget'!I35-'CC summary'!I35</f>
        <v>0</v>
      </c>
      <c r="J35" s="8">
        <f>'WCLA Consolidated MTEF Budget'!J35-'CC summary'!J35</f>
        <v>0</v>
      </c>
      <c r="K35" s="8">
        <f>'WCLA Consolidated MTEF Budget'!K35-'CC summary'!K35</f>
        <v>0</v>
      </c>
      <c r="L35" s="8">
        <f>'WCLA Consolidated MTEF Budget'!L35-'CC summary'!L35</f>
        <v>0</v>
      </c>
      <c r="M35" s="13" t="s">
        <v>104</v>
      </c>
      <c r="N35" s="8">
        <f>'Budget Report DOCs'!M35-'WCLA Consolidated MTEF Budget'!N35</f>
        <v>0</v>
      </c>
      <c r="O35" s="8">
        <f>'WCLA Consolidated MTEF Budget'!O35-'CC summary'!O35</f>
        <v>0</v>
      </c>
      <c r="P35" s="8">
        <f>'WCLA Consolidated MTEF Budget'!P35-'CC summary'!P35</f>
        <v>0</v>
      </c>
      <c r="Q35" s="8">
        <f>'WCLA Consolidated MTEF Budget'!Q35-'CC summary'!Q35</f>
        <v>0</v>
      </c>
      <c r="R35" s="7"/>
    </row>
    <row r="36" spans="1:18" x14ac:dyDescent="0.3">
      <c r="A36" s="8">
        <f>'WCLA Consolidated MTEF Budget'!A36-'CC summary'!A36</f>
        <v>0</v>
      </c>
      <c r="B36" s="8">
        <f>'WCLA Consolidated MTEF Budget'!B36-'CC summary'!B36</f>
        <v>0</v>
      </c>
      <c r="C36" s="8">
        <f>'WCLA Consolidated MTEF Budget'!C36-'CC summary'!C36</f>
        <v>0</v>
      </c>
      <c r="D36" s="8">
        <f>'WCLA Consolidated MTEF Budget'!D36-'CC summary'!D36</f>
        <v>0</v>
      </c>
      <c r="E36" s="8">
        <f>'WCLA Consolidated MTEF Budget'!E36-'CC summary'!E36</f>
        <v>0</v>
      </c>
      <c r="F36" s="8">
        <f>'WCLA Consolidated MTEF Budget'!F36-'CC summary'!F36</f>
        <v>0</v>
      </c>
      <c r="G36" s="8">
        <f>'WCLA Consolidated MTEF Budget'!G36-'CC summary'!G36</f>
        <v>0</v>
      </c>
      <c r="H36" s="8">
        <f>'WCLA Consolidated MTEF Budget'!H36-'CC summary'!H36</f>
        <v>0</v>
      </c>
      <c r="I36" s="8">
        <f>'WCLA Consolidated MTEF Budget'!I36-'CC summary'!I36</f>
        <v>0</v>
      </c>
      <c r="J36" s="8">
        <f>'WCLA Consolidated MTEF Budget'!J36-'CC summary'!J36</f>
        <v>0</v>
      </c>
      <c r="K36" s="8">
        <f>'WCLA Consolidated MTEF Budget'!K36-'CC summary'!K36</f>
        <v>0</v>
      </c>
      <c r="L36" s="8">
        <f>'WCLA Consolidated MTEF Budget'!L36-'CC summary'!L36</f>
        <v>0</v>
      </c>
      <c r="M36" s="13" t="s">
        <v>105</v>
      </c>
      <c r="N36" s="8">
        <f>'Budget Report DOCs'!M36-'WCLA Consolidated MTEF Budget'!N36</f>
        <v>0</v>
      </c>
      <c r="O36" s="8">
        <f>'WCLA Consolidated MTEF Budget'!O36-'CC summary'!O36</f>
        <v>0</v>
      </c>
      <c r="P36" s="8">
        <f>'WCLA Consolidated MTEF Budget'!P36-'CC summary'!P36</f>
        <v>0</v>
      </c>
      <c r="Q36" s="8">
        <f>'WCLA Consolidated MTEF Budget'!Q36-'CC summary'!Q36</f>
        <v>-40246.807649999995</v>
      </c>
      <c r="R36" s="7"/>
    </row>
    <row r="37" spans="1:18" x14ac:dyDescent="0.3">
      <c r="A37" s="8">
        <f>'WCLA Consolidated MTEF Budget'!A37-'CC summary'!A37</f>
        <v>0</v>
      </c>
      <c r="B37" s="8">
        <f>'WCLA Consolidated MTEF Budget'!B37-'CC summary'!B37</f>
        <v>0</v>
      </c>
      <c r="C37" s="8">
        <f>'WCLA Consolidated MTEF Budget'!C37-'CC summary'!C37</f>
        <v>0</v>
      </c>
      <c r="D37" s="8">
        <f>'WCLA Consolidated MTEF Budget'!D37-'CC summary'!D37</f>
        <v>0</v>
      </c>
      <c r="E37" s="8">
        <f>'WCLA Consolidated MTEF Budget'!E37-'CC summary'!E37</f>
        <v>0</v>
      </c>
      <c r="F37" s="8">
        <f>'WCLA Consolidated MTEF Budget'!F37-'CC summary'!F37</f>
        <v>0</v>
      </c>
      <c r="G37" s="8">
        <f>'WCLA Consolidated MTEF Budget'!G37-'CC summary'!G37</f>
        <v>0</v>
      </c>
      <c r="H37" s="8">
        <f>'WCLA Consolidated MTEF Budget'!H37-'CC summary'!H37</f>
        <v>0</v>
      </c>
      <c r="I37" s="8">
        <f>'WCLA Consolidated MTEF Budget'!I37-'CC summary'!I37</f>
        <v>0</v>
      </c>
      <c r="J37" s="8">
        <f>'WCLA Consolidated MTEF Budget'!J37-'CC summary'!J37</f>
        <v>0</v>
      </c>
      <c r="K37" s="8">
        <f>'WCLA Consolidated MTEF Budget'!K37-'CC summary'!K37</f>
        <v>0</v>
      </c>
      <c r="L37" s="8">
        <f>'WCLA Consolidated MTEF Budget'!L37-'CC summary'!L37</f>
        <v>0</v>
      </c>
      <c r="M37" s="238" t="s">
        <v>106</v>
      </c>
      <c r="N37" s="8">
        <f>'Budget Report DOCs'!M37-'WCLA Consolidated MTEF Budget'!N37</f>
        <v>0</v>
      </c>
      <c r="O37" s="8">
        <f>'WCLA Consolidated MTEF Budget'!O37-'CC summary'!O37</f>
        <v>-23763.400000000009</v>
      </c>
      <c r="P37" s="8">
        <f>'WCLA Consolidated MTEF Budget'!P37-'CC summary'!P37</f>
        <v>0</v>
      </c>
      <c r="Q37" s="8">
        <f>'WCLA Consolidated MTEF Budget'!Q37-'CC summary'!Q37</f>
        <v>-76598.203980000049</v>
      </c>
      <c r="R37" s="7"/>
    </row>
    <row r="38" spans="1:18" x14ac:dyDescent="0.3">
      <c r="A38" s="8">
        <f>'WCLA Consolidated MTEF Budget'!A38-'CC summary'!A38</f>
        <v>0</v>
      </c>
      <c r="B38" s="8">
        <f>'WCLA Consolidated MTEF Budget'!B38-'CC summary'!B38</f>
        <v>0</v>
      </c>
      <c r="C38" s="8">
        <f>'WCLA Consolidated MTEF Budget'!C38-'CC summary'!C38</f>
        <v>0</v>
      </c>
      <c r="D38" s="8">
        <f>'WCLA Consolidated MTEF Budget'!D38-'CC summary'!D38</f>
        <v>0</v>
      </c>
      <c r="E38" s="8">
        <f>'WCLA Consolidated MTEF Budget'!E38-'CC summary'!E38</f>
        <v>0</v>
      </c>
      <c r="F38" s="8">
        <f>'WCLA Consolidated MTEF Budget'!F38-'CC summary'!F38</f>
        <v>0</v>
      </c>
      <c r="G38" s="8">
        <f>'WCLA Consolidated MTEF Budget'!G38-'CC summary'!G38</f>
        <v>0</v>
      </c>
      <c r="H38" s="8">
        <f>'WCLA Consolidated MTEF Budget'!H38-'CC summary'!H38</f>
        <v>0</v>
      </c>
      <c r="I38" s="8">
        <f>'WCLA Consolidated MTEF Budget'!I38-'CC summary'!I38</f>
        <v>0</v>
      </c>
      <c r="J38" s="8">
        <f>'WCLA Consolidated MTEF Budget'!J38-'CC summary'!J38</f>
        <v>0</v>
      </c>
      <c r="K38" s="8">
        <f>'WCLA Consolidated MTEF Budget'!K38-'CC summary'!K38</f>
        <v>0</v>
      </c>
      <c r="L38" s="8">
        <f>'WCLA Consolidated MTEF Budget'!L38-'CC summary'!L38</f>
        <v>0</v>
      </c>
      <c r="M38" s="13" t="s">
        <v>107</v>
      </c>
      <c r="N38" s="8">
        <f>'Budget Report DOCs'!M38-'WCLA Consolidated MTEF Budget'!N38</f>
        <v>0</v>
      </c>
      <c r="O38" s="8">
        <f>'WCLA Consolidated MTEF Budget'!O38-'CC summary'!O38</f>
        <v>-249170.38399999996</v>
      </c>
      <c r="P38" s="8">
        <f>'WCLA Consolidated MTEF Budget'!P38-'CC summary'!P38</f>
        <v>0</v>
      </c>
      <c r="Q38" s="8">
        <f>'WCLA Consolidated MTEF Budget'!Q38-'CC summary'!Q38</f>
        <v>408705.65656000003</v>
      </c>
      <c r="R38" s="7"/>
    </row>
    <row r="39" spans="1:18" x14ac:dyDescent="0.3">
      <c r="A39" s="8">
        <f>'WCLA Consolidated MTEF Budget'!A39-'CC summary'!A39</f>
        <v>0</v>
      </c>
      <c r="B39" s="8">
        <f>'WCLA Consolidated MTEF Budget'!B39-'CC summary'!B39</f>
        <v>0</v>
      </c>
      <c r="C39" s="8">
        <f>'WCLA Consolidated MTEF Budget'!C39-'CC summary'!C39</f>
        <v>0</v>
      </c>
      <c r="D39" s="8">
        <f>'WCLA Consolidated MTEF Budget'!D39-'CC summary'!D39</f>
        <v>0</v>
      </c>
      <c r="E39" s="8">
        <f>'WCLA Consolidated MTEF Budget'!E39-'CC summary'!E39</f>
        <v>0</v>
      </c>
      <c r="F39" s="8">
        <f>'WCLA Consolidated MTEF Budget'!F39-'CC summary'!F39</f>
        <v>0</v>
      </c>
      <c r="G39" s="8">
        <f>'WCLA Consolidated MTEF Budget'!G39-'CC summary'!G39</f>
        <v>0</v>
      </c>
      <c r="H39" s="8">
        <f>'WCLA Consolidated MTEF Budget'!H39-'CC summary'!H39</f>
        <v>0</v>
      </c>
      <c r="I39" s="8">
        <f>'WCLA Consolidated MTEF Budget'!I39-'CC summary'!I39</f>
        <v>0</v>
      </c>
      <c r="J39" s="8">
        <f>'WCLA Consolidated MTEF Budget'!J39-'CC summary'!J39</f>
        <v>0</v>
      </c>
      <c r="K39" s="8">
        <f>'WCLA Consolidated MTEF Budget'!K39-'CC summary'!K39</f>
        <v>0</v>
      </c>
      <c r="L39" s="8">
        <f>'WCLA Consolidated MTEF Budget'!L39-'CC summary'!L39</f>
        <v>0</v>
      </c>
      <c r="M39" s="13" t="s">
        <v>108</v>
      </c>
      <c r="N39" s="8">
        <f>'Budget Report DOCs'!M39-'WCLA Consolidated MTEF Budget'!N39</f>
        <v>0</v>
      </c>
      <c r="O39" s="8">
        <f>'WCLA Consolidated MTEF Budget'!O39-'CC summary'!O39</f>
        <v>-60451.784000000014</v>
      </c>
      <c r="P39" s="8">
        <f>'WCLA Consolidated MTEF Budget'!P39-'CC summary'!P39</f>
        <v>0</v>
      </c>
      <c r="Q39" s="8">
        <f>'WCLA Consolidated MTEF Budget'!Q39-'CC summary'!Q39</f>
        <v>63225.475584096042</v>
      </c>
      <c r="R39" s="7"/>
    </row>
    <row r="40" spans="1:18" x14ac:dyDescent="0.3">
      <c r="A40" s="8">
        <f>'WCLA Consolidated MTEF Budget'!A40-'CC summary'!A40</f>
        <v>0</v>
      </c>
      <c r="B40" s="8">
        <f>'WCLA Consolidated MTEF Budget'!B40-'CC summary'!B40</f>
        <v>0</v>
      </c>
      <c r="C40" s="8">
        <f>'WCLA Consolidated MTEF Budget'!C40-'CC summary'!C40</f>
        <v>0</v>
      </c>
      <c r="D40" s="8">
        <f>'WCLA Consolidated MTEF Budget'!D40-'CC summary'!D40</f>
        <v>0</v>
      </c>
      <c r="E40" s="8">
        <f>'WCLA Consolidated MTEF Budget'!E40-'CC summary'!E40</f>
        <v>0</v>
      </c>
      <c r="F40" s="8">
        <f>'WCLA Consolidated MTEF Budget'!F40-'CC summary'!F40</f>
        <v>0</v>
      </c>
      <c r="G40" s="8">
        <f>'WCLA Consolidated MTEF Budget'!G40-'CC summary'!G40</f>
        <v>0</v>
      </c>
      <c r="H40" s="8">
        <f>'WCLA Consolidated MTEF Budget'!H40-'CC summary'!H40</f>
        <v>0</v>
      </c>
      <c r="I40" s="8">
        <f>'WCLA Consolidated MTEF Budget'!I40-'CC summary'!I40</f>
        <v>0</v>
      </c>
      <c r="J40" s="8">
        <f>'WCLA Consolidated MTEF Budget'!J40-'CC summary'!J40</f>
        <v>0</v>
      </c>
      <c r="K40" s="8">
        <f>'WCLA Consolidated MTEF Budget'!K40-'CC summary'!K40</f>
        <v>0</v>
      </c>
      <c r="L40" s="8">
        <f>'WCLA Consolidated MTEF Budget'!L40-'CC summary'!L40</f>
        <v>0</v>
      </c>
      <c r="M40" s="13" t="s">
        <v>109</v>
      </c>
      <c r="N40" s="8">
        <f>'Budget Report DOCs'!M40-'WCLA Consolidated MTEF Budget'!N40</f>
        <v>0</v>
      </c>
      <c r="O40" s="8">
        <f>'WCLA Consolidated MTEF Budget'!O40-'CC summary'!O40</f>
        <v>-1180.0480000000002</v>
      </c>
      <c r="P40" s="8">
        <f>'WCLA Consolidated MTEF Budget'!P40-'CC summary'!P40</f>
        <v>0</v>
      </c>
      <c r="Q40" s="8">
        <f>'WCLA Consolidated MTEF Budget'!Q40-'CC summary'!Q40</f>
        <v>-6096.2068803673574</v>
      </c>
      <c r="R40" s="7"/>
    </row>
    <row r="41" spans="1:18" x14ac:dyDescent="0.3">
      <c r="A41" s="8">
        <f>'WCLA Consolidated MTEF Budget'!A41-'CC summary'!A41</f>
        <v>0</v>
      </c>
      <c r="B41" s="8">
        <f>'WCLA Consolidated MTEF Budget'!B41-'CC summary'!B41</f>
        <v>0</v>
      </c>
      <c r="C41" s="8">
        <f>'WCLA Consolidated MTEF Budget'!C41-'CC summary'!C41</f>
        <v>0</v>
      </c>
      <c r="D41" s="8">
        <f>'WCLA Consolidated MTEF Budget'!D41-'CC summary'!D41</f>
        <v>0</v>
      </c>
      <c r="E41" s="8">
        <f>'WCLA Consolidated MTEF Budget'!E41-'CC summary'!E41</f>
        <v>0</v>
      </c>
      <c r="F41" s="8">
        <f>'WCLA Consolidated MTEF Budget'!F41-'CC summary'!F41</f>
        <v>0</v>
      </c>
      <c r="G41" s="8">
        <f>'WCLA Consolidated MTEF Budget'!G41-'CC summary'!G41</f>
        <v>0</v>
      </c>
      <c r="H41" s="8">
        <f>'WCLA Consolidated MTEF Budget'!H41-'CC summary'!H41</f>
        <v>0</v>
      </c>
      <c r="I41" s="8">
        <f>'WCLA Consolidated MTEF Budget'!I41-'CC summary'!I41</f>
        <v>0</v>
      </c>
      <c r="J41" s="8">
        <f>'WCLA Consolidated MTEF Budget'!J41-'CC summary'!J41</f>
        <v>0</v>
      </c>
      <c r="K41" s="8">
        <f>'WCLA Consolidated MTEF Budget'!K41-'CC summary'!K41</f>
        <v>0</v>
      </c>
      <c r="L41" s="8">
        <f>'WCLA Consolidated MTEF Budget'!L41-'CC summary'!L41</f>
        <v>0</v>
      </c>
      <c r="M41" s="13" t="s">
        <v>110</v>
      </c>
      <c r="N41" s="8">
        <f>'Budget Report DOCs'!M41-'WCLA Consolidated MTEF Budget'!N41</f>
        <v>0</v>
      </c>
      <c r="O41" s="8">
        <f>'WCLA Consolidated MTEF Budget'!O41-'CC summary'!O41</f>
        <v>-19656.288</v>
      </c>
      <c r="P41" s="8">
        <f>'WCLA Consolidated MTEF Budget'!P41-'CC summary'!P41</f>
        <v>0</v>
      </c>
      <c r="Q41" s="8">
        <f>'WCLA Consolidated MTEF Budget'!Q41-'CC summary'!Q41</f>
        <v>13770.322921392013</v>
      </c>
      <c r="R41" s="7"/>
    </row>
    <row r="42" spans="1:18" x14ac:dyDescent="0.3">
      <c r="A42" s="8">
        <f>'WCLA Consolidated MTEF Budget'!A42-'CC summary'!A42</f>
        <v>0</v>
      </c>
      <c r="B42" s="8">
        <f>'WCLA Consolidated MTEF Budget'!B42-'CC summary'!B42</f>
        <v>0</v>
      </c>
      <c r="C42" s="8">
        <f>'WCLA Consolidated MTEF Budget'!C42-'CC summary'!C42</f>
        <v>0</v>
      </c>
      <c r="D42" s="8">
        <f>'WCLA Consolidated MTEF Budget'!D42-'CC summary'!D42</f>
        <v>0</v>
      </c>
      <c r="E42" s="8">
        <f>'WCLA Consolidated MTEF Budget'!E42-'CC summary'!E42</f>
        <v>0</v>
      </c>
      <c r="F42" s="8">
        <f>'WCLA Consolidated MTEF Budget'!F42-'CC summary'!F42</f>
        <v>0</v>
      </c>
      <c r="G42" s="8">
        <f>'WCLA Consolidated MTEF Budget'!G42-'CC summary'!G42</f>
        <v>0</v>
      </c>
      <c r="H42" s="8">
        <f>'WCLA Consolidated MTEF Budget'!H42-'CC summary'!H42</f>
        <v>0</v>
      </c>
      <c r="I42" s="8">
        <f>'WCLA Consolidated MTEF Budget'!I42-'CC summary'!I42</f>
        <v>0</v>
      </c>
      <c r="J42" s="8">
        <f>'WCLA Consolidated MTEF Budget'!J42-'CC summary'!J42</f>
        <v>0</v>
      </c>
      <c r="K42" s="8">
        <f>'WCLA Consolidated MTEF Budget'!K42-'CC summary'!K42</f>
        <v>0</v>
      </c>
      <c r="L42" s="8">
        <f>'WCLA Consolidated MTEF Budget'!L42-'CC summary'!L42</f>
        <v>0</v>
      </c>
      <c r="M42" s="13" t="s">
        <v>111</v>
      </c>
      <c r="N42" s="8">
        <f>'Budget Report DOCs'!M42-'WCLA Consolidated MTEF Budget'!N42</f>
        <v>0</v>
      </c>
      <c r="O42" s="8">
        <f>'WCLA Consolidated MTEF Budget'!O42-'CC summary'!O42</f>
        <v>-13516.056000000004</v>
      </c>
      <c r="P42" s="8">
        <f>'WCLA Consolidated MTEF Budget'!P42-'CC summary'!P42</f>
        <v>0</v>
      </c>
      <c r="Q42" s="8">
        <f>'WCLA Consolidated MTEF Budget'!Q42-'CC summary'!Q42</f>
        <v>-285032.23650095996</v>
      </c>
      <c r="R42" s="7"/>
    </row>
    <row r="43" spans="1:18" x14ac:dyDescent="0.3">
      <c r="A43" s="8">
        <f>'WCLA Consolidated MTEF Budget'!A43-'CC summary'!A43</f>
        <v>0</v>
      </c>
      <c r="B43" s="8">
        <f>'WCLA Consolidated MTEF Budget'!B43-'CC summary'!B43</f>
        <v>0</v>
      </c>
      <c r="C43" s="8">
        <f>'WCLA Consolidated MTEF Budget'!C43-'CC summary'!C43</f>
        <v>0</v>
      </c>
      <c r="D43" s="8">
        <f>'WCLA Consolidated MTEF Budget'!D43-'CC summary'!D43</f>
        <v>0</v>
      </c>
      <c r="E43" s="8">
        <f>'WCLA Consolidated MTEF Budget'!E43-'CC summary'!E43</f>
        <v>0</v>
      </c>
      <c r="F43" s="8">
        <f>'WCLA Consolidated MTEF Budget'!F43-'CC summary'!F43</f>
        <v>0</v>
      </c>
      <c r="G43" s="8">
        <f>'WCLA Consolidated MTEF Budget'!G43-'CC summary'!G43</f>
        <v>0</v>
      </c>
      <c r="H43" s="8">
        <f>'WCLA Consolidated MTEF Budget'!H43-'CC summary'!H43</f>
        <v>0</v>
      </c>
      <c r="I43" s="8">
        <f>'WCLA Consolidated MTEF Budget'!I43-'CC summary'!I43</f>
        <v>0</v>
      </c>
      <c r="J43" s="8">
        <f>'WCLA Consolidated MTEF Budget'!J43-'CC summary'!J43</f>
        <v>0</v>
      </c>
      <c r="K43" s="8">
        <f>'WCLA Consolidated MTEF Budget'!K43-'CC summary'!K43</f>
        <v>0</v>
      </c>
      <c r="L43" s="8">
        <f>'WCLA Consolidated MTEF Budget'!L43-'CC summary'!L43</f>
        <v>0</v>
      </c>
      <c r="M43" s="13" t="s">
        <v>112</v>
      </c>
      <c r="N43" s="8">
        <f>'Budget Report DOCs'!M43-'WCLA Consolidated MTEF Budget'!N43</f>
        <v>0</v>
      </c>
      <c r="O43" s="8">
        <f>'WCLA Consolidated MTEF Budget'!O43-'CC summary'!O43</f>
        <v>-12851.624000000003</v>
      </c>
      <c r="P43" s="8">
        <f>'WCLA Consolidated MTEF Budget'!P43-'CC summary'!P43</f>
        <v>0</v>
      </c>
      <c r="Q43" s="8">
        <f>'WCLA Consolidated MTEF Budget'!Q43-'CC summary'!Q43</f>
        <v>-13099.435976640001</v>
      </c>
      <c r="R43" s="7"/>
    </row>
    <row r="44" spans="1:18" x14ac:dyDescent="0.3">
      <c r="A44" s="8">
        <f>'WCLA Consolidated MTEF Budget'!A44-'CC summary'!A44</f>
        <v>0</v>
      </c>
      <c r="B44" s="8">
        <f>'WCLA Consolidated MTEF Budget'!B44-'CC summary'!B44</f>
        <v>0</v>
      </c>
      <c r="C44" s="8">
        <f>'WCLA Consolidated MTEF Budget'!C44-'CC summary'!C44</f>
        <v>0</v>
      </c>
      <c r="D44" s="8">
        <f>'WCLA Consolidated MTEF Budget'!D44-'CC summary'!D44</f>
        <v>0</v>
      </c>
      <c r="E44" s="8">
        <f>'WCLA Consolidated MTEF Budget'!E44-'CC summary'!E44</f>
        <v>0</v>
      </c>
      <c r="F44" s="8">
        <f>'WCLA Consolidated MTEF Budget'!F44-'CC summary'!F44</f>
        <v>0</v>
      </c>
      <c r="G44" s="8">
        <f>'WCLA Consolidated MTEF Budget'!G44-'CC summary'!G44</f>
        <v>0</v>
      </c>
      <c r="H44" s="8">
        <f>'WCLA Consolidated MTEF Budget'!H44-'CC summary'!H44</f>
        <v>0</v>
      </c>
      <c r="I44" s="8">
        <f>'WCLA Consolidated MTEF Budget'!I44-'CC summary'!I44</f>
        <v>0</v>
      </c>
      <c r="J44" s="8">
        <f>'WCLA Consolidated MTEF Budget'!J44-'CC summary'!J44</f>
        <v>0</v>
      </c>
      <c r="K44" s="8">
        <f>'WCLA Consolidated MTEF Budget'!K44-'CC summary'!K44</f>
        <v>0</v>
      </c>
      <c r="L44" s="8">
        <f>'WCLA Consolidated MTEF Budget'!L44-'CC summary'!L44</f>
        <v>0</v>
      </c>
      <c r="M44" s="238" t="s">
        <v>113</v>
      </c>
      <c r="N44" s="8">
        <f>'Budget Report DOCs'!M44-'WCLA Consolidated MTEF Budget'!N44</f>
        <v>0</v>
      </c>
      <c r="O44" s="8">
        <f>'WCLA Consolidated MTEF Budget'!O44-'CC summary'!O44</f>
        <v>0</v>
      </c>
      <c r="P44" s="8">
        <f>'WCLA Consolidated MTEF Budget'!P44-'CC summary'!P44</f>
        <v>0</v>
      </c>
      <c r="Q44" s="8">
        <f>'WCLA Consolidated MTEF Budget'!Q44-'CC summary'!Q44</f>
        <v>0</v>
      </c>
      <c r="R44" s="11"/>
    </row>
    <row r="45" spans="1:18" ht="4.2" customHeight="1" x14ac:dyDescent="0.3">
      <c r="A45" s="86"/>
      <c r="B45" s="86"/>
      <c r="C45" s="86"/>
      <c r="D45" s="85"/>
      <c r="E45" s="83"/>
      <c r="F45" s="83"/>
      <c r="G45" s="83"/>
      <c r="H45" s="83"/>
      <c r="I45" s="83"/>
      <c r="J45" s="83"/>
      <c r="K45" s="83"/>
      <c r="L45" s="83"/>
      <c r="M45" s="13"/>
      <c r="N45" s="83">
        <f t="shared" si="0"/>
        <v>0</v>
      </c>
      <c r="O45" s="86"/>
      <c r="P45" s="86"/>
      <c r="Q45" s="86"/>
      <c r="R45" s="86"/>
    </row>
    <row r="46" spans="1:18" x14ac:dyDescent="0.3">
      <c r="A46" s="4">
        <f>SUM(A30:A44)</f>
        <v>0</v>
      </c>
      <c r="B46" s="4">
        <f>SUM(B30:B44)</f>
        <v>0</v>
      </c>
      <c r="C46" s="4">
        <f>SUM(C30:C44)</f>
        <v>0</v>
      </c>
      <c r="D46" s="4">
        <f t="shared" ref="D46:N46" si="3">SUM(D30:D44)</f>
        <v>0</v>
      </c>
      <c r="E46" s="4">
        <f t="shared" si="3"/>
        <v>0</v>
      </c>
      <c r="F46" s="4">
        <f t="shared" si="3"/>
        <v>0</v>
      </c>
      <c r="G46" s="4">
        <f t="shared" si="3"/>
        <v>0</v>
      </c>
      <c r="H46" s="4">
        <f t="shared" si="3"/>
        <v>0</v>
      </c>
      <c r="I46" s="4">
        <f t="shared" si="3"/>
        <v>0</v>
      </c>
      <c r="J46" s="4">
        <f t="shared" si="3"/>
        <v>0</v>
      </c>
      <c r="K46" s="4">
        <f t="shared" si="3"/>
        <v>0</v>
      </c>
      <c r="L46" s="4">
        <f t="shared" si="3"/>
        <v>0</v>
      </c>
      <c r="M46" s="13" t="s">
        <v>114</v>
      </c>
      <c r="N46" s="4">
        <f t="shared" si="3"/>
        <v>0</v>
      </c>
      <c r="O46" s="4"/>
      <c r="P46" s="4"/>
      <c r="Q46" s="4"/>
      <c r="R46" s="4"/>
    </row>
    <row r="47" spans="1:18" x14ac:dyDescent="0.3">
      <c r="A47" s="81"/>
      <c r="B47" s="81"/>
      <c r="C47" s="81"/>
      <c r="D47" s="82"/>
      <c r="E47" s="86"/>
      <c r="F47" s="86"/>
      <c r="G47" s="86"/>
      <c r="H47" s="86"/>
      <c r="I47" s="86"/>
      <c r="J47" s="86"/>
      <c r="K47" s="86"/>
      <c r="L47" s="86"/>
      <c r="M47" s="80"/>
      <c r="N47" s="87">
        <f t="shared" si="0"/>
        <v>0</v>
      </c>
      <c r="O47" s="81"/>
      <c r="P47" s="81"/>
      <c r="Q47" s="81"/>
      <c r="R47" s="81"/>
    </row>
    <row r="48" spans="1:18" x14ac:dyDescent="0.3">
      <c r="A48" s="8">
        <f>'WCLA Consolidated MTEF Budget'!A48-'CC summary'!A48</f>
        <v>0</v>
      </c>
      <c r="B48" s="8">
        <f>'WCLA Consolidated MTEF Budget'!B48-'CC summary'!B48</f>
        <v>0</v>
      </c>
      <c r="C48" s="8">
        <f>'WCLA Consolidated MTEF Budget'!C48-'CC summary'!C48</f>
        <v>0</v>
      </c>
      <c r="D48" s="8">
        <f>'WCLA Consolidated MTEF Budget'!D48-'CC summary'!D48</f>
        <v>0</v>
      </c>
      <c r="E48" s="8">
        <f>'WCLA Consolidated MTEF Budget'!E48-'CC summary'!E48</f>
        <v>0</v>
      </c>
      <c r="F48" s="8">
        <f>'WCLA Consolidated MTEF Budget'!F48-'CC summary'!F48</f>
        <v>0</v>
      </c>
      <c r="G48" s="8">
        <f>'WCLA Consolidated MTEF Budget'!G48-'CC summary'!G48</f>
        <v>0</v>
      </c>
      <c r="H48" s="8">
        <f>'WCLA Consolidated MTEF Budget'!H48-'CC summary'!H48</f>
        <v>0</v>
      </c>
      <c r="I48" s="8">
        <f>'WCLA Consolidated MTEF Budget'!I48-'CC summary'!I48</f>
        <v>0</v>
      </c>
      <c r="J48" s="8">
        <f>'WCLA Consolidated MTEF Budget'!J48-'CC summary'!J48</f>
        <v>0</v>
      </c>
      <c r="K48" s="8">
        <f>'WCLA Consolidated MTEF Budget'!K48-'CC summary'!K48</f>
        <v>0</v>
      </c>
      <c r="L48" s="8">
        <f>'WCLA Consolidated MTEF Budget'!L48-'CC summary'!L48</f>
        <v>0</v>
      </c>
      <c r="M48" s="238" t="s">
        <v>115</v>
      </c>
      <c r="N48" s="8">
        <f>'Budget Report DOCs'!M48-'WCLA Consolidated MTEF Budget'!N48</f>
        <v>0</v>
      </c>
      <c r="O48" s="8">
        <f>'WCLA Consolidated MTEF Budget'!O48-'CC summary'!O48</f>
        <v>0</v>
      </c>
      <c r="P48" s="8">
        <f>'WCLA Consolidated MTEF Budget'!P48-'CC summary'!P48</f>
        <v>0</v>
      </c>
      <c r="Q48" s="8">
        <f>'WCLA Consolidated MTEF Budget'!Q48-'CC summary'!Q48</f>
        <v>0</v>
      </c>
      <c r="R48" s="8"/>
    </row>
    <row r="49" spans="1:18" x14ac:dyDescent="0.3">
      <c r="A49" s="8">
        <f>'WCLA Consolidated MTEF Budget'!A49-'CC summary'!A49</f>
        <v>0</v>
      </c>
      <c r="B49" s="8">
        <f>'WCLA Consolidated MTEF Budget'!B49-'CC summary'!B49</f>
        <v>0</v>
      </c>
      <c r="C49" s="8">
        <f>'WCLA Consolidated MTEF Budget'!C49-'CC summary'!C49</f>
        <v>0</v>
      </c>
      <c r="D49" s="8">
        <f>'WCLA Consolidated MTEF Budget'!D49-'CC summary'!D49</f>
        <v>0</v>
      </c>
      <c r="E49" s="8">
        <f>'WCLA Consolidated MTEF Budget'!E49-'CC summary'!E49</f>
        <v>0</v>
      </c>
      <c r="F49" s="8">
        <f>'WCLA Consolidated MTEF Budget'!F49-'CC summary'!F49</f>
        <v>0</v>
      </c>
      <c r="G49" s="8">
        <f>'WCLA Consolidated MTEF Budget'!G49-'CC summary'!G49</f>
        <v>0</v>
      </c>
      <c r="H49" s="8">
        <f>'WCLA Consolidated MTEF Budget'!H49-'CC summary'!H49</f>
        <v>0</v>
      </c>
      <c r="I49" s="8">
        <f>'WCLA Consolidated MTEF Budget'!I49-'CC summary'!I49</f>
        <v>0</v>
      </c>
      <c r="J49" s="8">
        <f>'WCLA Consolidated MTEF Budget'!J49-'CC summary'!J49</f>
        <v>0</v>
      </c>
      <c r="K49" s="8">
        <f>'WCLA Consolidated MTEF Budget'!K49-'CC summary'!K49</f>
        <v>0</v>
      </c>
      <c r="L49" s="8">
        <f>'WCLA Consolidated MTEF Budget'!L49-'CC summary'!L49</f>
        <v>0</v>
      </c>
      <c r="M49" s="13" t="s">
        <v>116</v>
      </c>
      <c r="N49" s="8">
        <f>'Budget Report DOCs'!M49-'WCLA Consolidated MTEF Budget'!N49</f>
        <v>0</v>
      </c>
      <c r="O49" s="8">
        <f>'WCLA Consolidated MTEF Budget'!O49-'CC summary'!O49</f>
        <v>-4277.9359999999997</v>
      </c>
      <c r="P49" s="8">
        <f>'WCLA Consolidated MTEF Budget'!P49-'CC summary'!P49</f>
        <v>0</v>
      </c>
      <c r="Q49" s="8">
        <f>'WCLA Consolidated MTEF Budget'!Q49-'CC summary'!Q49</f>
        <v>23553.802499772741</v>
      </c>
      <c r="R49" s="7"/>
    </row>
    <row r="50" spans="1:18" x14ac:dyDescent="0.3">
      <c r="A50" s="8">
        <f>'WCLA Consolidated MTEF Budget'!A50-'CC summary'!A50</f>
        <v>0</v>
      </c>
      <c r="B50" s="8">
        <f>'WCLA Consolidated MTEF Budget'!B50-'CC summary'!B50</f>
        <v>0</v>
      </c>
      <c r="C50" s="8">
        <f>'WCLA Consolidated MTEF Budget'!C50-'CC summary'!C50</f>
        <v>0</v>
      </c>
      <c r="D50" s="8">
        <f>'WCLA Consolidated MTEF Budget'!D50-'CC summary'!D50</f>
        <v>0</v>
      </c>
      <c r="E50" s="8">
        <f>'WCLA Consolidated MTEF Budget'!E50-'CC summary'!E50</f>
        <v>0</v>
      </c>
      <c r="F50" s="8">
        <f>'WCLA Consolidated MTEF Budget'!F50-'CC summary'!F50</f>
        <v>0</v>
      </c>
      <c r="G50" s="8">
        <f>'WCLA Consolidated MTEF Budget'!G50-'CC summary'!G50</f>
        <v>0</v>
      </c>
      <c r="H50" s="8">
        <f>'WCLA Consolidated MTEF Budget'!H50-'CC summary'!H50</f>
        <v>0</v>
      </c>
      <c r="I50" s="8">
        <f>'WCLA Consolidated MTEF Budget'!I50-'CC summary'!I50</f>
        <v>0</v>
      </c>
      <c r="J50" s="8">
        <f>'WCLA Consolidated MTEF Budget'!J50-'CC summary'!J50</f>
        <v>0</v>
      </c>
      <c r="K50" s="8">
        <f>'WCLA Consolidated MTEF Budget'!K50-'CC summary'!K50</f>
        <v>0</v>
      </c>
      <c r="L50" s="8">
        <f>'WCLA Consolidated MTEF Budget'!L50-'CC summary'!L50</f>
        <v>0</v>
      </c>
      <c r="M50" s="13" t="s">
        <v>117</v>
      </c>
      <c r="N50" s="8">
        <f>'Budget Report DOCs'!M50-'WCLA Consolidated MTEF Budget'!N50</f>
        <v>0</v>
      </c>
      <c r="O50" s="8">
        <f>'WCLA Consolidated MTEF Budget'!O50-'CC summary'!O50</f>
        <v>-4308.3280000000013</v>
      </c>
      <c r="P50" s="8">
        <f>'WCLA Consolidated MTEF Budget'!P50-'CC summary'!P50</f>
        <v>0</v>
      </c>
      <c r="Q50" s="8">
        <f>'WCLA Consolidated MTEF Budget'!Q50-'CC summary'!Q50</f>
        <v>15217.038894439225</v>
      </c>
      <c r="R50" s="7"/>
    </row>
    <row r="51" spans="1:18" x14ac:dyDescent="0.3">
      <c r="A51" s="8">
        <f>'WCLA Consolidated MTEF Budget'!A51-'CC summary'!A51</f>
        <v>0</v>
      </c>
      <c r="B51" s="8">
        <f>'WCLA Consolidated MTEF Budget'!B51-'CC summary'!B51</f>
        <v>0</v>
      </c>
      <c r="C51" s="8">
        <f>'WCLA Consolidated MTEF Budget'!C51-'CC summary'!C51</f>
        <v>0</v>
      </c>
      <c r="D51" s="8">
        <f>'WCLA Consolidated MTEF Budget'!D51-'CC summary'!D51</f>
        <v>0</v>
      </c>
      <c r="E51" s="8">
        <f>'WCLA Consolidated MTEF Budget'!E51-'CC summary'!E51</f>
        <v>0</v>
      </c>
      <c r="F51" s="8">
        <f>'WCLA Consolidated MTEF Budget'!F51-'CC summary'!F51</f>
        <v>0</v>
      </c>
      <c r="G51" s="8">
        <f>'WCLA Consolidated MTEF Budget'!G51-'CC summary'!G51</f>
        <v>0</v>
      </c>
      <c r="H51" s="8">
        <f>'WCLA Consolidated MTEF Budget'!H51-'CC summary'!H51</f>
        <v>0</v>
      </c>
      <c r="I51" s="8">
        <f>'WCLA Consolidated MTEF Budget'!I51-'CC summary'!I51</f>
        <v>0</v>
      </c>
      <c r="J51" s="8">
        <f>'WCLA Consolidated MTEF Budget'!J51-'CC summary'!J51</f>
        <v>0</v>
      </c>
      <c r="K51" s="8">
        <f>'WCLA Consolidated MTEF Budget'!K51-'CC summary'!K51</f>
        <v>0</v>
      </c>
      <c r="L51" s="8">
        <f>'WCLA Consolidated MTEF Budget'!L51-'CC summary'!L51</f>
        <v>0</v>
      </c>
      <c r="M51" s="13" t="s">
        <v>118</v>
      </c>
      <c r="N51" s="8">
        <f>'Budget Report DOCs'!M51-'WCLA Consolidated MTEF Budget'!N51</f>
        <v>0</v>
      </c>
      <c r="O51" s="8">
        <f>'WCLA Consolidated MTEF Budget'!O51-'CC summary'!O51</f>
        <v>0</v>
      </c>
      <c r="P51" s="8">
        <f>'WCLA Consolidated MTEF Budget'!P51-'CC summary'!P51</f>
        <v>0</v>
      </c>
      <c r="Q51" s="8">
        <f>'WCLA Consolidated MTEF Budget'!Q51-'CC summary'!Q51</f>
        <v>-2000</v>
      </c>
      <c r="R51" s="7"/>
    </row>
    <row r="52" spans="1:18" x14ac:dyDescent="0.3">
      <c r="A52" s="8">
        <f>'WCLA Consolidated MTEF Budget'!A52-'CC summary'!A52</f>
        <v>0</v>
      </c>
      <c r="B52" s="8">
        <f>'WCLA Consolidated MTEF Budget'!B52-'CC summary'!B52</f>
        <v>0</v>
      </c>
      <c r="C52" s="8">
        <f>'WCLA Consolidated MTEF Budget'!C52-'CC summary'!C52</f>
        <v>0</v>
      </c>
      <c r="D52" s="8">
        <f>'WCLA Consolidated MTEF Budget'!D52-'CC summary'!D52</f>
        <v>0</v>
      </c>
      <c r="E52" s="8">
        <f>'WCLA Consolidated MTEF Budget'!E52-'CC summary'!E52</f>
        <v>0</v>
      </c>
      <c r="F52" s="8">
        <f>'WCLA Consolidated MTEF Budget'!F52-'CC summary'!F52</f>
        <v>0</v>
      </c>
      <c r="G52" s="8">
        <f>'WCLA Consolidated MTEF Budget'!G52-'CC summary'!G52</f>
        <v>0</v>
      </c>
      <c r="H52" s="8">
        <f>'WCLA Consolidated MTEF Budget'!H52-'CC summary'!H52</f>
        <v>0</v>
      </c>
      <c r="I52" s="8">
        <f>'WCLA Consolidated MTEF Budget'!I52-'CC summary'!I52</f>
        <v>0</v>
      </c>
      <c r="J52" s="8">
        <f>'WCLA Consolidated MTEF Budget'!J52-'CC summary'!J52</f>
        <v>0</v>
      </c>
      <c r="K52" s="8">
        <f>'WCLA Consolidated MTEF Budget'!K52-'CC summary'!K52</f>
        <v>0</v>
      </c>
      <c r="L52" s="8">
        <f>'WCLA Consolidated MTEF Budget'!L52-'CC summary'!L52</f>
        <v>0</v>
      </c>
      <c r="M52" s="13" t="s">
        <v>119</v>
      </c>
      <c r="N52" s="8">
        <f>'Budget Report DOCs'!M52-'WCLA Consolidated MTEF Budget'!N52</f>
        <v>0</v>
      </c>
      <c r="O52" s="8">
        <f>'WCLA Consolidated MTEF Budget'!O52-'CC summary'!O52</f>
        <v>-1210.4400000000005</v>
      </c>
      <c r="P52" s="8">
        <f>'WCLA Consolidated MTEF Budget'!P52-'CC summary'!P52</f>
        <v>0</v>
      </c>
      <c r="Q52" s="8">
        <f>'WCLA Consolidated MTEF Budget'!Q52-'CC summary'!Q52</f>
        <v>8973.4414208797098</v>
      </c>
      <c r="R52" s="7"/>
    </row>
    <row r="53" spans="1:18" x14ac:dyDescent="0.3">
      <c r="A53" s="8">
        <f>'WCLA Consolidated MTEF Budget'!A53-'CC summary'!A53</f>
        <v>0</v>
      </c>
      <c r="B53" s="8">
        <f>'WCLA Consolidated MTEF Budget'!B53-'CC summary'!B53</f>
        <v>0</v>
      </c>
      <c r="C53" s="8">
        <f>'WCLA Consolidated MTEF Budget'!C53-'CC summary'!C53</f>
        <v>0</v>
      </c>
      <c r="D53" s="8">
        <f>'WCLA Consolidated MTEF Budget'!D53-'CC summary'!D53</f>
        <v>0</v>
      </c>
      <c r="E53" s="8">
        <f>'WCLA Consolidated MTEF Budget'!E53-'CC summary'!E53</f>
        <v>0</v>
      </c>
      <c r="F53" s="8">
        <f>'WCLA Consolidated MTEF Budget'!F53-'CC summary'!F53</f>
        <v>0</v>
      </c>
      <c r="G53" s="8">
        <f>'WCLA Consolidated MTEF Budget'!G53-'CC summary'!G53</f>
        <v>0</v>
      </c>
      <c r="H53" s="8">
        <f>'WCLA Consolidated MTEF Budget'!H53-'CC summary'!H53</f>
        <v>0</v>
      </c>
      <c r="I53" s="8">
        <f>'WCLA Consolidated MTEF Budget'!I53-'CC summary'!I53</f>
        <v>0</v>
      </c>
      <c r="J53" s="8">
        <f>'WCLA Consolidated MTEF Budget'!J53-'CC summary'!J53</f>
        <v>0</v>
      </c>
      <c r="K53" s="8">
        <f>'WCLA Consolidated MTEF Budget'!K53-'CC summary'!K53</f>
        <v>0</v>
      </c>
      <c r="L53" s="8">
        <f>'WCLA Consolidated MTEF Budget'!L53-'CC summary'!L53</f>
        <v>0</v>
      </c>
      <c r="M53" s="13" t="s">
        <v>120</v>
      </c>
      <c r="N53" s="8">
        <f>'Budget Report DOCs'!M53-'WCLA Consolidated MTEF Budget'!N53</f>
        <v>0</v>
      </c>
      <c r="O53" s="8">
        <f>'WCLA Consolidated MTEF Budget'!O53-'CC summary'!O53</f>
        <v>-8247.6726666666691</v>
      </c>
      <c r="P53" s="8">
        <f>'WCLA Consolidated MTEF Budget'!P53-'CC summary'!P53</f>
        <v>0</v>
      </c>
      <c r="Q53" s="8">
        <f>'WCLA Consolidated MTEF Budget'!Q53-'CC summary'!Q53</f>
        <v>37495.136234844758</v>
      </c>
      <c r="R53" s="7"/>
    </row>
    <row r="54" spans="1:18" x14ac:dyDescent="0.3">
      <c r="A54" s="8">
        <f>'WCLA Consolidated MTEF Budget'!A54-'CC summary'!A54</f>
        <v>0</v>
      </c>
      <c r="B54" s="8">
        <f>'WCLA Consolidated MTEF Budget'!B54-'CC summary'!B54</f>
        <v>0</v>
      </c>
      <c r="C54" s="8">
        <f>'WCLA Consolidated MTEF Budget'!C54-'CC summary'!C54</f>
        <v>0</v>
      </c>
      <c r="D54" s="8">
        <f>'WCLA Consolidated MTEF Budget'!D54-'CC summary'!D54</f>
        <v>0</v>
      </c>
      <c r="E54" s="8">
        <f>'WCLA Consolidated MTEF Budget'!E54-'CC summary'!E54</f>
        <v>0</v>
      </c>
      <c r="F54" s="8">
        <f>'WCLA Consolidated MTEF Budget'!F54-'CC summary'!F54</f>
        <v>0</v>
      </c>
      <c r="G54" s="8">
        <f>'WCLA Consolidated MTEF Budget'!G54-'CC summary'!G54</f>
        <v>0</v>
      </c>
      <c r="H54" s="8">
        <f>'WCLA Consolidated MTEF Budget'!H54-'CC summary'!H54</f>
        <v>0</v>
      </c>
      <c r="I54" s="8">
        <f>'WCLA Consolidated MTEF Budget'!I54-'CC summary'!I54</f>
        <v>0</v>
      </c>
      <c r="J54" s="8">
        <f>'WCLA Consolidated MTEF Budget'!J54-'CC summary'!J54</f>
        <v>0</v>
      </c>
      <c r="K54" s="8">
        <f>'WCLA Consolidated MTEF Budget'!K54-'CC summary'!K54</f>
        <v>0</v>
      </c>
      <c r="L54" s="8">
        <f>'WCLA Consolidated MTEF Budget'!L54-'CC summary'!L54</f>
        <v>0</v>
      </c>
      <c r="M54" s="13" t="s">
        <v>121</v>
      </c>
      <c r="N54" s="8">
        <f>'Budget Report DOCs'!M54-'WCLA Consolidated MTEF Budget'!N54</f>
        <v>0</v>
      </c>
      <c r="O54" s="8">
        <f>'WCLA Consolidated MTEF Budget'!O54-'CC summary'!O54</f>
        <v>0</v>
      </c>
      <c r="P54" s="8">
        <f>'WCLA Consolidated MTEF Budget'!P54-'CC summary'!P54</f>
        <v>0</v>
      </c>
      <c r="Q54" s="8">
        <f>'WCLA Consolidated MTEF Budget'!Q54-'CC summary'!Q54</f>
        <v>0</v>
      </c>
      <c r="R54" s="7"/>
    </row>
    <row r="55" spans="1:18" x14ac:dyDescent="0.3">
      <c r="A55" s="8">
        <f>'WCLA Consolidated MTEF Budget'!A55-'CC summary'!A55</f>
        <v>0</v>
      </c>
      <c r="B55" s="8">
        <f>'WCLA Consolidated MTEF Budget'!B55-'CC summary'!B55</f>
        <v>0</v>
      </c>
      <c r="C55" s="8">
        <f>'WCLA Consolidated MTEF Budget'!C55-'CC summary'!C55</f>
        <v>0</v>
      </c>
      <c r="D55" s="8">
        <f>'WCLA Consolidated MTEF Budget'!D55-'CC summary'!D55</f>
        <v>0</v>
      </c>
      <c r="E55" s="8">
        <f>'WCLA Consolidated MTEF Budget'!E55-'CC summary'!E55</f>
        <v>0</v>
      </c>
      <c r="F55" s="8">
        <f>'WCLA Consolidated MTEF Budget'!F55-'CC summary'!F55</f>
        <v>0</v>
      </c>
      <c r="G55" s="8">
        <f>'WCLA Consolidated MTEF Budget'!G55-'CC summary'!G55</f>
        <v>0</v>
      </c>
      <c r="H55" s="8">
        <f>'WCLA Consolidated MTEF Budget'!H55-'CC summary'!H55</f>
        <v>0</v>
      </c>
      <c r="I55" s="8">
        <f>'WCLA Consolidated MTEF Budget'!I55-'CC summary'!I55</f>
        <v>0</v>
      </c>
      <c r="J55" s="8">
        <f>'WCLA Consolidated MTEF Budget'!J55-'CC summary'!J55</f>
        <v>0</v>
      </c>
      <c r="K55" s="8">
        <f>'WCLA Consolidated MTEF Budget'!K55-'CC summary'!K55</f>
        <v>0</v>
      </c>
      <c r="L55" s="8">
        <f>'WCLA Consolidated MTEF Budget'!L55-'CC summary'!L55</f>
        <v>0</v>
      </c>
      <c r="M55" s="238" t="s">
        <v>122</v>
      </c>
      <c r="N55" s="8">
        <f>'Budget Report DOCs'!M55-'WCLA Consolidated MTEF Budget'!N55</f>
        <v>0</v>
      </c>
      <c r="O55" s="8">
        <f>'WCLA Consolidated MTEF Budget'!O55-'CC summary'!O55</f>
        <v>-3265.1194214666675</v>
      </c>
      <c r="P55" s="8">
        <f>'WCLA Consolidated MTEF Budget'!P55-'CC summary'!P55</f>
        <v>0</v>
      </c>
      <c r="Q55" s="8">
        <f>'WCLA Consolidated MTEF Budget'!Q55-'CC summary'!Q55</f>
        <v>-5002.0472828351994</v>
      </c>
      <c r="R55" s="7"/>
    </row>
    <row r="56" spans="1:18" x14ac:dyDescent="0.3">
      <c r="A56" s="8">
        <f>'WCLA Consolidated MTEF Budget'!A56-'CC summary'!A56</f>
        <v>0</v>
      </c>
      <c r="B56" s="8">
        <f>'WCLA Consolidated MTEF Budget'!B56-'CC summary'!B56</f>
        <v>0</v>
      </c>
      <c r="C56" s="8">
        <f>'WCLA Consolidated MTEF Budget'!C56-'CC summary'!C56</f>
        <v>0</v>
      </c>
      <c r="D56" s="8">
        <f>'WCLA Consolidated MTEF Budget'!D56-'CC summary'!D56</f>
        <v>0</v>
      </c>
      <c r="E56" s="8">
        <f>'WCLA Consolidated MTEF Budget'!E56-'CC summary'!E56</f>
        <v>0</v>
      </c>
      <c r="F56" s="8">
        <f>'WCLA Consolidated MTEF Budget'!F56-'CC summary'!F56</f>
        <v>0</v>
      </c>
      <c r="G56" s="8">
        <f>'WCLA Consolidated MTEF Budget'!G56-'CC summary'!G56</f>
        <v>0</v>
      </c>
      <c r="H56" s="8">
        <f>'WCLA Consolidated MTEF Budget'!H56-'CC summary'!H56</f>
        <v>0</v>
      </c>
      <c r="I56" s="8">
        <f>'WCLA Consolidated MTEF Budget'!I56-'CC summary'!I56</f>
        <v>0</v>
      </c>
      <c r="J56" s="8">
        <f>'WCLA Consolidated MTEF Budget'!J56-'CC summary'!J56</f>
        <v>0</v>
      </c>
      <c r="K56" s="8">
        <f>'WCLA Consolidated MTEF Budget'!K56-'CC summary'!K56</f>
        <v>0</v>
      </c>
      <c r="L56" s="8">
        <f>'WCLA Consolidated MTEF Budget'!L56-'CC summary'!L56</f>
        <v>0</v>
      </c>
      <c r="M56" s="13" t="s">
        <v>123</v>
      </c>
      <c r="N56" s="8">
        <f>'Budget Report DOCs'!M56-'WCLA Consolidated MTEF Budget'!N56</f>
        <v>0</v>
      </c>
      <c r="O56" s="8">
        <f>'WCLA Consolidated MTEF Budget'!O56-'CC summary'!O56</f>
        <v>-8.0111324981165416E-14</v>
      </c>
      <c r="P56" s="8">
        <f>'WCLA Consolidated MTEF Budget'!P56-'CC summary'!P56</f>
        <v>0</v>
      </c>
      <c r="Q56" s="8">
        <f>'WCLA Consolidated MTEF Budget'!Q56-'CC summary'!Q56</f>
        <v>0</v>
      </c>
      <c r="R56" s="7"/>
    </row>
    <row r="57" spans="1:18" x14ac:dyDescent="0.3">
      <c r="A57" s="8">
        <f>'WCLA Consolidated MTEF Budget'!A57-'CC summary'!A57</f>
        <v>0</v>
      </c>
      <c r="B57" s="8">
        <f>'WCLA Consolidated MTEF Budget'!B57-'CC summary'!B57</f>
        <v>0</v>
      </c>
      <c r="C57" s="8">
        <f>'WCLA Consolidated MTEF Budget'!C57-'CC summary'!C57</f>
        <v>0</v>
      </c>
      <c r="D57" s="8">
        <f>'WCLA Consolidated MTEF Budget'!D57-'CC summary'!D57</f>
        <v>0</v>
      </c>
      <c r="E57" s="8">
        <f>'WCLA Consolidated MTEF Budget'!E57-'CC summary'!E57</f>
        <v>0</v>
      </c>
      <c r="F57" s="8">
        <f>'WCLA Consolidated MTEF Budget'!F57-'CC summary'!F57</f>
        <v>0</v>
      </c>
      <c r="G57" s="8">
        <f>'WCLA Consolidated MTEF Budget'!G57-'CC summary'!G57</f>
        <v>0</v>
      </c>
      <c r="H57" s="8">
        <f>'WCLA Consolidated MTEF Budget'!H57-'CC summary'!H57</f>
        <v>0</v>
      </c>
      <c r="I57" s="8">
        <f>'WCLA Consolidated MTEF Budget'!I57-'CC summary'!I57</f>
        <v>0</v>
      </c>
      <c r="J57" s="8">
        <f>'WCLA Consolidated MTEF Budget'!J57-'CC summary'!J57</f>
        <v>0</v>
      </c>
      <c r="K57" s="8">
        <f>'WCLA Consolidated MTEF Budget'!K57-'CC summary'!K57</f>
        <v>0</v>
      </c>
      <c r="L57" s="8">
        <f>'WCLA Consolidated MTEF Budget'!L57-'CC summary'!L57</f>
        <v>0</v>
      </c>
      <c r="M57" s="13" t="s">
        <v>124</v>
      </c>
      <c r="N57" s="8">
        <f>'Budget Report DOCs'!M57-'WCLA Consolidated MTEF Budget'!N57</f>
        <v>0</v>
      </c>
      <c r="O57" s="8">
        <f>'WCLA Consolidated MTEF Budget'!O57-'CC summary'!O57</f>
        <v>-8663.8160000000025</v>
      </c>
      <c r="P57" s="8">
        <f>'WCLA Consolidated MTEF Budget'!P57-'CC summary'!P57</f>
        <v>0</v>
      </c>
      <c r="Q57" s="8">
        <f>'WCLA Consolidated MTEF Budget'!Q57-'CC summary'!Q57</f>
        <v>13961.79200000003</v>
      </c>
      <c r="R57" s="7"/>
    </row>
    <row r="58" spans="1:18" x14ac:dyDescent="0.3">
      <c r="A58" s="8">
        <f>'WCLA Consolidated MTEF Budget'!A58-'CC summary'!A58</f>
        <v>0</v>
      </c>
      <c r="B58" s="8">
        <f>'WCLA Consolidated MTEF Budget'!B58-'CC summary'!B58</f>
        <v>0</v>
      </c>
      <c r="C58" s="8">
        <f>'WCLA Consolidated MTEF Budget'!C58-'CC summary'!C58</f>
        <v>0</v>
      </c>
      <c r="D58" s="8">
        <f>'WCLA Consolidated MTEF Budget'!D58-'CC summary'!D58</f>
        <v>0</v>
      </c>
      <c r="E58" s="8">
        <f>'WCLA Consolidated MTEF Budget'!E58-'CC summary'!E58</f>
        <v>0</v>
      </c>
      <c r="F58" s="8">
        <f>'WCLA Consolidated MTEF Budget'!F58-'CC summary'!F58</f>
        <v>0</v>
      </c>
      <c r="G58" s="8">
        <f>'WCLA Consolidated MTEF Budget'!G58-'CC summary'!G58</f>
        <v>0</v>
      </c>
      <c r="H58" s="8">
        <f>'WCLA Consolidated MTEF Budget'!H58-'CC summary'!H58</f>
        <v>0</v>
      </c>
      <c r="I58" s="8">
        <f>'WCLA Consolidated MTEF Budget'!I58-'CC summary'!I58</f>
        <v>0</v>
      </c>
      <c r="J58" s="8">
        <f>'WCLA Consolidated MTEF Budget'!J58-'CC summary'!J58</f>
        <v>0</v>
      </c>
      <c r="K58" s="8">
        <f>'WCLA Consolidated MTEF Budget'!K58-'CC summary'!K58</f>
        <v>0</v>
      </c>
      <c r="L58" s="8">
        <f>'WCLA Consolidated MTEF Budget'!L58-'CC summary'!L58</f>
        <v>0</v>
      </c>
      <c r="M58" s="13" t="s">
        <v>125</v>
      </c>
      <c r="N58" s="8">
        <f>'Budget Report DOCs'!M58-'WCLA Consolidated MTEF Budget'!N58</f>
        <v>0</v>
      </c>
      <c r="O58" s="8">
        <f>'WCLA Consolidated MTEF Budget'!O58-'CC summary'!O58</f>
        <v>-12697.393333333333</v>
      </c>
      <c r="P58" s="8">
        <f>'WCLA Consolidated MTEF Budget'!P58-'CC summary'!P58</f>
        <v>0</v>
      </c>
      <c r="Q58" s="8">
        <f>'WCLA Consolidated MTEF Budget'!Q58-'CC summary'!Q58</f>
        <v>53091.636083636346</v>
      </c>
      <c r="R58" s="7"/>
    </row>
    <row r="59" spans="1:18" x14ac:dyDescent="0.3">
      <c r="A59" s="8">
        <f>'WCLA Consolidated MTEF Budget'!A59-'CC summary'!A59</f>
        <v>0</v>
      </c>
      <c r="B59" s="8">
        <f>'WCLA Consolidated MTEF Budget'!B59-'CC summary'!B59</f>
        <v>0</v>
      </c>
      <c r="C59" s="8">
        <f>'WCLA Consolidated MTEF Budget'!C59-'CC summary'!C59</f>
        <v>0</v>
      </c>
      <c r="D59" s="8">
        <f>'WCLA Consolidated MTEF Budget'!D59-'CC summary'!D59</f>
        <v>0</v>
      </c>
      <c r="E59" s="8">
        <f>'WCLA Consolidated MTEF Budget'!E59-'CC summary'!E59</f>
        <v>0</v>
      </c>
      <c r="F59" s="8">
        <f>'WCLA Consolidated MTEF Budget'!F59-'CC summary'!F59</f>
        <v>0</v>
      </c>
      <c r="G59" s="8">
        <f>'WCLA Consolidated MTEF Budget'!G59-'CC summary'!G59</f>
        <v>0</v>
      </c>
      <c r="H59" s="8">
        <f>'WCLA Consolidated MTEF Budget'!H59-'CC summary'!H59</f>
        <v>0</v>
      </c>
      <c r="I59" s="8">
        <f>'WCLA Consolidated MTEF Budget'!I59-'CC summary'!I59</f>
        <v>0</v>
      </c>
      <c r="J59" s="8">
        <f>'WCLA Consolidated MTEF Budget'!J59-'CC summary'!J59</f>
        <v>0</v>
      </c>
      <c r="K59" s="8">
        <f>'WCLA Consolidated MTEF Budget'!K59-'CC summary'!K59</f>
        <v>0</v>
      </c>
      <c r="L59" s="8">
        <f>'WCLA Consolidated MTEF Budget'!L59-'CC summary'!L59</f>
        <v>0</v>
      </c>
      <c r="M59" s="13" t="s">
        <v>126</v>
      </c>
      <c r="N59" s="8">
        <f>'Budget Report DOCs'!M59-'WCLA Consolidated MTEF Budget'!N59</f>
        <v>0</v>
      </c>
      <c r="O59" s="8">
        <f>'WCLA Consolidated MTEF Budget'!O59-'CC summary'!O59</f>
        <v>0</v>
      </c>
      <c r="P59" s="8">
        <f>'WCLA Consolidated MTEF Budget'!P59-'CC summary'!P59</f>
        <v>0</v>
      </c>
      <c r="Q59" s="8">
        <f>'WCLA Consolidated MTEF Budget'!Q59-'CC summary'!Q59</f>
        <v>-8197.6049999999996</v>
      </c>
      <c r="R59" s="7"/>
    </row>
    <row r="60" spans="1:18" x14ac:dyDescent="0.3">
      <c r="A60" s="8">
        <f>'WCLA Consolidated MTEF Budget'!A60-'CC summary'!A60</f>
        <v>0</v>
      </c>
      <c r="B60" s="8">
        <f>'WCLA Consolidated MTEF Budget'!B60-'CC summary'!B60</f>
        <v>0</v>
      </c>
      <c r="C60" s="8">
        <f>'WCLA Consolidated MTEF Budget'!C60-'CC summary'!C60</f>
        <v>0</v>
      </c>
      <c r="D60" s="8">
        <f>'WCLA Consolidated MTEF Budget'!D60-'CC summary'!D60</f>
        <v>0</v>
      </c>
      <c r="E60" s="8">
        <f>'WCLA Consolidated MTEF Budget'!E60-'CC summary'!E60</f>
        <v>0</v>
      </c>
      <c r="F60" s="8">
        <f>'WCLA Consolidated MTEF Budget'!F60-'CC summary'!F60</f>
        <v>0</v>
      </c>
      <c r="G60" s="8">
        <f>'WCLA Consolidated MTEF Budget'!G60-'CC summary'!G60</f>
        <v>0</v>
      </c>
      <c r="H60" s="8">
        <f>'WCLA Consolidated MTEF Budget'!H60-'CC summary'!H60</f>
        <v>0</v>
      </c>
      <c r="I60" s="8">
        <f>'WCLA Consolidated MTEF Budget'!I60-'CC summary'!I60</f>
        <v>0</v>
      </c>
      <c r="J60" s="8">
        <f>'WCLA Consolidated MTEF Budget'!J60-'CC summary'!J60</f>
        <v>0</v>
      </c>
      <c r="K60" s="8">
        <f>'WCLA Consolidated MTEF Budget'!K60-'CC summary'!K60</f>
        <v>0</v>
      </c>
      <c r="L60" s="8">
        <f>'WCLA Consolidated MTEF Budget'!L60-'CC summary'!L60</f>
        <v>0</v>
      </c>
      <c r="M60" s="13" t="s">
        <v>128</v>
      </c>
      <c r="N60" s="8">
        <f>'Budget Report DOCs'!M60-'WCLA Consolidated MTEF Budget'!N60</f>
        <v>0</v>
      </c>
      <c r="O60" s="8">
        <f>'WCLA Consolidated MTEF Budget'!O60-'CC summary'!O60</f>
        <v>-3406</v>
      </c>
      <c r="P60" s="8">
        <f>'WCLA Consolidated MTEF Budget'!P60-'CC summary'!P60</f>
        <v>0</v>
      </c>
      <c r="Q60" s="8">
        <f>'WCLA Consolidated MTEF Budget'!Q60-'CC summary'!Q60</f>
        <v>1872</v>
      </c>
      <c r="R60" s="7"/>
    </row>
    <row r="61" spans="1:18" x14ac:dyDescent="0.3">
      <c r="A61" s="8">
        <f>'WCLA Consolidated MTEF Budget'!A61-'CC summary'!A61</f>
        <v>0</v>
      </c>
      <c r="B61" s="8">
        <f>'WCLA Consolidated MTEF Budget'!B61-'CC summary'!B61</f>
        <v>0</v>
      </c>
      <c r="C61" s="8">
        <f>'WCLA Consolidated MTEF Budget'!C61-'CC summary'!C61</f>
        <v>0</v>
      </c>
      <c r="D61" s="8">
        <f>'WCLA Consolidated MTEF Budget'!D61-'CC summary'!D61</f>
        <v>0</v>
      </c>
      <c r="E61" s="8">
        <f>'WCLA Consolidated MTEF Budget'!E61-'CC summary'!E61</f>
        <v>0</v>
      </c>
      <c r="F61" s="8">
        <f>'WCLA Consolidated MTEF Budget'!F61-'CC summary'!F61</f>
        <v>0</v>
      </c>
      <c r="G61" s="8">
        <f>'WCLA Consolidated MTEF Budget'!G61-'CC summary'!G61</f>
        <v>0</v>
      </c>
      <c r="H61" s="8">
        <f>'WCLA Consolidated MTEF Budget'!H61-'CC summary'!H61</f>
        <v>0</v>
      </c>
      <c r="I61" s="8">
        <f>'WCLA Consolidated MTEF Budget'!I61-'CC summary'!I61</f>
        <v>0</v>
      </c>
      <c r="J61" s="8">
        <f>'WCLA Consolidated MTEF Budget'!J61-'CC summary'!J61</f>
        <v>0</v>
      </c>
      <c r="K61" s="8">
        <f>'WCLA Consolidated MTEF Budget'!K61-'CC summary'!K61</f>
        <v>0</v>
      </c>
      <c r="L61" s="8">
        <f>'WCLA Consolidated MTEF Budget'!L61-'CC summary'!L61</f>
        <v>0</v>
      </c>
      <c r="M61" s="13" t="s">
        <v>129</v>
      </c>
      <c r="N61" s="8">
        <f>'Budget Report DOCs'!M61-'WCLA Consolidated MTEF Budget'!N61</f>
        <v>0</v>
      </c>
      <c r="O61" s="8">
        <f>'WCLA Consolidated MTEF Budget'!O61-'CC summary'!O61</f>
        <v>-9720.2000000000007</v>
      </c>
      <c r="P61" s="8">
        <f>'WCLA Consolidated MTEF Budget'!P61-'CC summary'!P61</f>
        <v>0</v>
      </c>
      <c r="Q61" s="8">
        <f>'WCLA Consolidated MTEF Budget'!Q61-'CC summary'!Q61</f>
        <v>5342.2999999999884</v>
      </c>
      <c r="R61" s="7"/>
    </row>
    <row r="62" spans="1:18" x14ac:dyDescent="0.3">
      <c r="A62" s="8">
        <f>'WCLA Consolidated MTEF Budget'!A62-'CC summary'!A62</f>
        <v>0</v>
      </c>
      <c r="B62" s="8">
        <f>'WCLA Consolidated MTEF Budget'!B62-'CC summary'!B62</f>
        <v>0</v>
      </c>
      <c r="C62" s="8">
        <f>'WCLA Consolidated MTEF Budget'!C62-'CC summary'!C62</f>
        <v>0</v>
      </c>
      <c r="D62" s="8">
        <f>'WCLA Consolidated MTEF Budget'!D62-'CC summary'!D62</f>
        <v>0</v>
      </c>
      <c r="E62" s="8">
        <f>'WCLA Consolidated MTEF Budget'!E62-'CC summary'!E62</f>
        <v>0</v>
      </c>
      <c r="F62" s="8">
        <f>'WCLA Consolidated MTEF Budget'!F62-'CC summary'!F62</f>
        <v>0</v>
      </c>
      <c r="G62" s="8">
        <f>'WCLA Consolidated MTEF Budget'!G62-'CC summary'!G62</f>
        <v>0</v>
      </c>
      <c r="H62" s="8">
        <f>'WCLA Consolidated MTEF Budget'!H62-'CC summary'!H62</f>
        <v>0</v>
      </c>
      <c r="I62" s="8">
        <f>'WCLA Consolidated MTEF Budget'!I62-'CC summary'!I62</f>
        <v>0</v>
      </c>
      <c r="J62" s="8">
        <f>'WCLA Consolidated MTEF Budget'!J62-'CC summary'!J62</f>
        <v>0</v>
      </c>
      <c r="K62" s="8">
        <f>'WCLA Consolidated MTEF Budget'!K62-'CC summary'!K62</f>
        <v>0</v>
      </c>
      <c r="L62" s="8">
        <f>'WCLA Consolidated MTEF Budget'!L62-'CC summary'!L62</f>
        <v>0</v>
      </c>
      <c r="M62" s="238" t="s">
        <v>130</v>
      </c>
      <c r="N62" s="8">
        <f>'Budget Report DOCs'!M62-'WCLA Consolidated MTEF Budget'!N62</f>
        <v>0</v>
      </c>
      <c r="O62" s="8">
        <f>'WCLA Consolidated MTEF Budget'!O62-'CC summary'!O62</f>
        <v>-5335.4204000000009</v>
      </c>
      <c r="P62" s="8">
        <f>'WCLA Consolidated MTEF Budget'!P62-'CC summary'!P62</f>
        <v>0</v>
      </c>
      <c r="Q62" s="8">
        <f>'WCLA Consolidated MTEF Budget'!Q62-'CC summary'!Q62</f>
        <v>109299.35229536801</v>
      </c>
      <c r="R62" s="7"/>
    </row>
    <row r="63" spans="1:18" x14ac:dyDescent="0.3">
      <c r="A63" s="8">
        <f>'WCLA Consolidated MTEF Budget'!A63-'CC summary'!A63</f>
        <v>0</v>
      </c>
      <c r="B63" s="8">
        <f>'WCLA Consolidated MTEF Budget'!B63-'CC summary'!B63</f>
        <v>0</v>
      </c>
      <c r="C63" s="8">
        <f>'WCLA Consolidated MTEF Budget'!C63-'CC summary'!C63</f>
        <v>0</v>
      </c>
      <c r="D63" s="8">
        <f>'WCLA Consolidated MTEF Budget'!D63-'CC summary'!D63</f>
        <v>0</v>
      </c>
      <c r="E63" s="8">
        <f>'WCLA Consolidated MTEF Budget'!E63-'CC summary'!E63</f>
        <v>0</v>
      </c>
      <c r="F63" s="8">
        <f>'WCLA Consolidated MTEF Budget'!F63-'CC summary'!F63</f>
        <v>0</v>
      </c>
      <c r="G63" s="8">
        <f>'WCLA Consolidated MTEF Budget'!G63-'CC summary'!G63</f>
        <v>0</v>
      </c>
      <c r="H63" s="8">
        <f>'WCLA Consolidated MTEF Budget'!H63-'CC summary'!H63</f>
        <v>0</v>
      </c>
      <c r="I63" s="8">
        <f>'WCLA Consolidated MTEF Budget'!I63-'CC summary'!I63</f>
        <v>0</v>
      </c>
      <c r="J63" s="8">
        <f>'WCLA Consolidated MTEF Budget'!J63-'CC summary'!J63</f>
        <v>0</v>
      </c>
      <c r="K63" s="8">
        <f>'WCLA Consolidated MTEF Budget'!K63-'CC summary'!K63</f>
        <v>0</v>
      </c>
      <c r="L63" s="8">
        <f>'WCLA Consolidated MTEF Budget'!L63-'CC summary'!L63</f>
        <v>0</v>
      </c>
      <c r="M63" s="238" t="s">
        <v>131</v>
      </c>
      <c r="N63" s="8">
        <f>'Budget Report DOCs'!M63-'WCLA Consolidated MTEF Budget'!N63</f>
        <v>0</v>
      </c>
      <c r="O63" s="8">
        <f>'WCLA Consolidated MTEF Budget'!O63-'CC summary'!O63</f>
        <v>-13189.079999999998</v>
      </c>
      <c r="P63" s="8">
        <f>'WCLA Consolidated MTEF Budget'!P63-'CC summary'!P63</f>
        <v>0</v>
      </c>
      <c r="Q63" s="8">
        <f>'WCLA Consolidated MTEF Budget'!Q63-'CC summary'!Q63</f>
        <v>-104712.64223</v>
      </c>
      <c r="R63" s="11"/>
    </row>
    <row r="64" spans="1:18" ht="4.95" customHeight="1" thickBot="1" x14ac:dyDescent="0.35">
      <c r="A64" s="89"/>
      <c r="B64" s="89"/>
      <c r="C64" s="89"/>
      <c r="D64" s="90"/>
      <c r="E64" s="91"/>
      <c r="F64" s="91"/>
      <c r="G64" s="91"/>
      <c r="H64" s="91"/>
      <c r="I64" s="91"/>
      <c r="J64" s="91"/>
      <c r="K64" s="91"/>
      <c r="L64" s="91"/>
      <c r="M64" s="13"/>
      <c r="N64" s="91">
        <f t="shared" si="0"/>
        <v>0</v>
      </c>
      <c r="O64" s="89"/>
      <c r="P64" s="89"/>
      <c r="Q64" s="89"/>
      <c r="R64" s="89"/>
    </row>
    <row r="65" spans="1:18" x14ac:dyDescent="0.3">
      <c r="A65" s="4">
        <f>SUM(A48:A63)</f>
        <v>0</v>
      </c>
      <c r="B65" s="4">
        <f>SUM(B48:B63)</f>
        <v>0</v>
      </c>
      <c r="C65" s="4">
        <f t="shared" ref="C65:N65" si="4">SUM(C48:C63)</f>
        <v>0</v>
      </c>
      <c r="D65" s="4">
        <f t="shared" si="4"/>
        <v>0</v>
      </c>
      <c r="E65" s="4">
        <f t="shared" si="4"/>
        <v>0</v>
      </c>
      <c r="F65" s="4">
        <f t="shared" si="4"/>
        <v>0</v>
      </c>
      <c r="G65" s="4">
        <f t="shared" si="4"/>
        <v>0</v>
      </c>
      <c r="H65" s="4">
        <f t="shared" si="4"/>
        <v>0</v>
      </c>
      <c r="I65" s="4">
        <f t="shared" si="4"/>
        <v>0</v>
      </c>
      <c r="J65" s="4">
        <f t="shared" si="4"/>
        <v>0</v>
      </c>
      <c r="K65" s="4">
        <f t="shared" si="4"/>
        <v>0</v>
      </c>
      <c r="L65" s="4">
        <f t="shared" si="4"/>
        <v>0</v>
      </c>
      <c r="M65" s="13" t="s">
        <v>132</v>
      </c>
      <c r="N65" s="4">
        <f t="shared" si="4"/>
        <v>0</v>
      </c>
      <c r="O65" s="4"/>
      <c r="P65" s="4"/>
      <c r="Q65" s="4"/>
      <c r="R65" s="4"/>
    </row>
    <row r="66" spans="1:18" x14ac:dyDescent="0.3">
      <c r="A66" s="81"/>
      <c r="B66" s="81"/>
      <c r="C66" s="81"/>
      <c r="D66" s="82"/>
      <c r="E66" s="86"/>
      <c r="F66" s="86"/>
      <c r="G66" s="86"/>
      <c r="H66" s="86"/>
      <c r="I66" s="86"/>
      <c r="J66" s="86"/>
      <c r="K66" s="86"/>
      <c r="L66" s="86"/>
      <c r="M66" s="80"/>
      <c r="N66" s="87">
        <f t="shared" si="0"/>
        <v>0</v>
      </c>
      <c r="O66" s="81"/>
      <c r="P66" s="81"/>
      <c r="Q66" s="81"/>
      <c r="R66" s="81"/>
    </row>
    <row r="67" spans="1:18" x14ac:dyDescent="0.3">
      <c r="A67" s="8">
        <f>'WCLA Consolidated MTEF Budget'!A67-'CC summary'!A67</f>
        <v>0</v>
      </c>
      <c r="B67" s="8">
        <f>'WCLA Consolidated MTEF Budget'!B67-'CC summary'!B67</f>
        <v>0</v>
      </c>
      <c r="C67" s="8">
        <f>'WCLA Consolidated MTEF Budget'!C67-'CC summary'!C67</f>
        <v>0</v>
      </c>
      <c r="D67" s="8">
        <f>'WCLA Consolidated MTEF Budget'!D67-'CC summary'!D67</f>
        <v>0</v>
      </c>
      <c r="E67" s="8">
        <f>'WCLA Consolidated MTEF Budget'!E67-'CC summary'!E67</f>
        <v>0</v>
      </c>
      <c r="F67" s="8">
        <f>'WCLA Consolidated MTEF Budget'!F67-'CC summary'!F67</f>
        <v>0</v>
      </c>
      <c r="G67" s="8">
        <f>'WCLA Consolidated MTEF Budget'!G67-'CC summary'!G67</f>
        <v>0</v>
      </c>
      <c r="H67" s="8">
        <f>'WCLA Consolidated MTEF Budget'!H67-'CC summary'!H67</f>
        <v>0</v>
      </c>
      <c r="I67" s="8">
        <f>'WCLA Consolidated MTEF Budget'!I67-'CC summary'!I67</f>
        <v>0</v>
      </c>
      <c r="J67" s="8">
        <f>'WCLA Consolidated MTEF Budget'!J67-'CC summary'!J67</f>
        <v>0</v>
      </c>
      <c r="K67" s="8">
        <f>'WCLA Consolidated MTEF Budget'!K67-'CC summary'!K67</f>
        <v>0</v>
      </c>
      <c r="L67" s="8">
        <f>'WCLA Consolidated MTEF Budget'!L67-'CC summary'!L67</f>
        <v>0</v>
      </c>
      <c r="M67" s="238" t="s">
        <v>133</v>
      </c>
      <c r="N67" s="8">
        <f>'Budget Report DOCs'!M67-'WCLA Consolidated MTEF Budget'!N67</f>
        <v>0</v>
      </c>
      <c r="O67" s="8">
        <f>'WCLA Consolidated MTEF Budget'!O67-'CC summary'!O67</f>
        <v>0</v>
      </c>
      <c r="P67" s="8">
        <f>'WCLA Consolidated MTEF Budget'!P67-'CC summary'!P67</f>
        <v>0</v>
      </c>
      <c r="Q67" s="8">
        <f>'WCLA Consolidated MTEF Budget'!Q67-'CC summary'!Q67</f>
        <v>9600</v>
      </c>
      <c r="R67" s="8"/>
    </row>
    <row r="68" spans="1:18" x14ac:dyDescent="0.3">
      <c r="A68" s="8">
        <f>'WCLA Consolidated MTEF Budget'!A68-'CC summary'!A68</f>
        <v>0</v>
      </c>
      <c r="B68" s="8">
        <f>'WCLA Consolidated MTEF Budget'!B68-'CC summary'!B68</f>
        <v>0</v>
      </c>
      <c r="C68" s="8">
        <f>'WCLA Consolidated MTEF Budget'!C68-'CC summary'!C68</f>
        <v>0</v>
      </c>
      <c r="D68" s="8">
        <f>'WCLA Consolidated MTEF Budget'!D68-'CC summary'!D68</f>
        <v>0</v>
      </c>
      <c r="E68" s="8">
        <f>'WCLA Consolidated MTEF Budget'!E68-'CC summary'!E68</f>
        <v>0</v>
      </c>
      <c r="F68" s="8">
        <f>'WCLA Consolidated MTEF Budget'!F68-'CC summary'!F68</f>
        <v>0</v>
      </c>
      <c r="G68" s="8">
        <f>'WCLA Consolidated MTEF Budget'!G68-'CC summary'!G68</f>
        <v>0</v>
      </c>
      <c r="H68" s="8">
        <f>'WCLA Consolidated MTEF Budget'!H68-'CC summary'!H68</f>
        <v>0</v>
      </c>
      <c r="I68" s="8">
        <f>'WCLA Consolidated MTEF Budget'!I68-'CC summary'!I68</f>
        <v>0</v>
      </c>
      <c r="J68" s="8">
        <f>'WCLA Consolidated MTEF Budget'!J68-'CC summary'!J68</f>
        <v>0</v>
      </c>
      <c r="K68" s="8">
        <f>'WCLA Consolidated MTEF Budget'!K68-'CC summary'!K68</f>
        <v>0</v>
      </c>
      <c r="L68" s="8">
        <f>'WCLA Consolidated MTEF Budget'!L68-'CC summary'!L68</f>
        <v>0</v>
      </c>
      <c r="M68" s="13" t="s">
        <v>134</v>
      </c>
      <c r="N68" s="8">
        <f>'Budget Report DOCs'!M68-'WCLA Consolidated MTEF Budget'!N68</f>
        <v>0</v>
      </c>
      <c r="O68" s="8">
        <f>'WCLA Consolidated MTEF Budget'!O68-'CC summary'!O68</f>
        <v>-20954.6897796333</v>
      </c>
      <c r="P68" s="8">
        <f>'WCLA Consolidated MTEF Budget'!P68-'CC summary'!P68</f>
        <v>0</v>
      </c>
      <c r="Q68" s="8">
        <f>'WCLA Consolidated MTEF Budget'!Q68-'CC summary'!Q68</f>
        <v>-19423.918594400311</v>
      </c>
      <c r="R68" s="7"/>
    </row>
    <row r="69" spans="1:18" x14ac:dyDescent="0.3">
      <c r="A69" s="8">
        <f>'WCLA Consolidated MTEF Budget'!A69-'CC summary'!A69</f>
        <v>0</v>
      </c>
      <c r="B69" s="8">
        <f>'WCLA Consolidated MTEF Budget'!B69-'CC summary'!B69</f>
        <v>0</v>
      </c>
      <c r="C69" s="8">
        <f>'WCLA Consolidated MTEF Budget'!C69-'CC summary'!C69</f>
        <v>0</v>
      </c>
      <c r="D69" s="8">
        <f>'WCLA Consolidated MTEF Budget'!D69-'CC summary'!D69</f>
        <v>0</v>
      </c>
      <c r="E69" s="8">
        <f>'WCLA Consolidated MTEF Budget'!E69-'CC summary'!E69</f>
        <v>0</v>
      </c>
      <c r="F69" s="8">
        <f>'WCLA Consolidated MTEF Budget'!F69-'CC summary'!F69</f>
        <v>0</v>
      </c>
      <c r="G69" s="8">
        <f>'WCLA Consolidated MTEF Budget'!G69-'CC summary'!G69</f>
        <v>0</v>
      </c>
      <c r="H69" s="8">
        <f>'WCLA Consolidated MTEF Budget'!H69-'CC summary'!H69</f>
        <v>0</v>
      </c>
      <c r="I69" s="8">
        <f>'WCLA Consolidated MTEF Budget'!I69-'CC summary'!I69</f>
        <v>0</v>
      </c>
      <c r="J69" s="8">
        <f>'WCLA Consolidated MTEF Budget'!J69-'CC summary'!J69</f>
        <v>0</v>
      </c>
      <c r="K69" s="8">
        <f>'WCLA Consolidated MTEF Budget'!K69-'CC summary'!K69</f>
        <v>0</v>
      </c>
      <c r="L69" s="8">
        <f>'WCLA Consolidated MTEF Budget'!L69-'CC summary'!L69</f>
        <v>0</v>
      </c>
      <c r="M69" s="13" t="s">
        <v>135</v>
      </c>
      <c r="N69" s="8">
        <f>'Budget Report DOCs'!M69-'WCLA Consolidated MTEF Budget'!N69</f>
        <v>0</v>
      </c>
      <c r="O69" s="8">
        <f>'WCLA Consolidated MTEF Budget'!O69-'CC summary'!O69</f>
        <v>-3492.9839999999995</v>
      </c>
      <c r="P69" s="8">
        <f>'WCLA Consolidated MTEF Budget'!P69-'CC summary'!P69</f>
        <v>0</v>
      </c>
      <c r="Q69" s="8">
        <f>'WCLA Consolidated MTEF Budget'!Q69-'CC summary'!Q69</f>
        <v>51519.80799999999</v>
      </c>
      <c r="R69" s="7"/>
    </row>
    <row r="70" spans="1:18" x14ac:dyDescent="0.3">
      <c r="A70" s="8">
        <f>'WCLA Consolidated MTEF Budget'!A70-'CC summary'!A70</f>
        <v>0</v>
      </c>
      <c r="B70" s="8">
        <f>'WCLA Consolidated MTEF Budget'!B70-'CC summary'!B70</f>
        <v>0</v>
      </c>
      <c r="C70" s="8">
        <f>'WCLA Consolidated MTEF Budget'!C70-'CC summary'!C70</f>
        <v>0</v>
      </c>
      <c r="D70" s="8">
        <f>'WCLA Consolidated MTEF Budget'!D70-'CC summary'!D70</f>
        <v>0</v>
      </c>
      <c r="E70" s="8">
        <f>'WCLA Consolidated MTEF Budget'!E70-'CC summary'!E70</f>
        <v>0</v>
      </c>
      <c r="F70" s="8">
        <f>'WCLA Consolidated MTEF Budget'!F70-'CC summary'!F70</f>
        <v>0</v>
      </c>
      <c r="G70" s="8">
        <f>'WCLA Consolidated MTEF Budget'!G70-'CC summary'!G70</f>
        <v>0</v>
      </c>
      <c r="H70" s="8">
        <f>'WCLA Consolidated MTEF Budget'!H70-'CC summary'!H70</f>
        <v>0</v>
      </c>
      <c r="I70" s="8">
        <f>'WCLA Consolidated MTEF Budget'!I70-'CC summary'!I70</f>
        <v>0</v>
      </c>
      <c r="J70" s="8">
        <f>'WCLA Consolidated MTEF Budget'!J70-'CC summary'!J70</f>
        <v>0</v>
      </c>
      <c r="K70" s="8">
        <f>'WCLA Consolidated MTEF Budget'!K70-'CC summary'!K70</f>
        <v>0</v>
      </c>
      <c r="L70" s="8">
        <f>'WCLA Consolidated MTEF Budget'!L70-'CC summary'!L70</f>
        <v>0</v>
      </c>
      <c r="M70" s="13" t="s">
        <v>136</v>
      </c>
      <c r="N70" s="8">
        <f>'Budget Report DOCs'!M70-'WCLA Consolidated MTEF Budget'!N70</f>
        <v>0</v>
      </c>
      <c r="O70" s="8">
        <f>'WCLA Consolidated MTEF Budget'!O70-'CC summary'!O70</f>
        <v>0</v>
      </c>
      <c r="P70" s="8">
        <f>'WCLA Consolidated MTEF Budget'!P70-'CC summary'!P70</f>
        <v>0</v>
      </c>
      <c r="Q70" s="8">
        <f>'WCLA Consolidated MTEF Budget'!Q70-'CC summary'!Q70</f>
        <v>0</v>
      </c>
      <c r="R70" s="7"/>
    </row>
    <row r="71" spans="1:18" x14ac:dyDescent="0.3">
      <c r="A71" s="8">
        <f>'WCLA Consolidated MTEF Budget'!A71-'CC summary'!A71</f>
        <v>0</v>
      </c>
      <c r="B71" s="8">
        <f>'WCLA Consolidated MTEF Budget'!B71-'CC summary'!B71</f>
        <v>0</v>
      </c>
      <c r="C71" s="8">
        <f>'WCLA Consolidated MTEF Budget'!C71-'CC summary'!C71</f>
        <v>0</v>
      </c>
      <c r="D71" s="8">
        <f>'WCLA Consolidated MTEF Budget'!D71-'CC summary'!D71</f>
        <v>0</v>
      </c>
      <c r="E71" s="8">
        <f>'WCLA Consolidated MTEF Budget'!E71-'CC summary'!E71</f>
        <v>0</v>
      </c>
      <c r="F71" s="8">
        <f>'WCLA Consolidated MTEF Budget'!F71-'CC summary'!F71</f>
        <v>0</v>
      </c>
      <c r="G71" s="8">
        <f>'WCLA Consolidated MTEF Budget'!G71-'CC summary'!G71</f>
        <v>0</v>
      </c>
      <c r="H71" s="8">
        <f>'WCLA Consolidated MTEF Budget'!H71-'CC summary'!H71</f>
        <v>0</v>
      </c>
      <c r="I71" s="8">
        <f>'WCLA Consolidated MTEF Budget'!I71-'CC summary'!I71</f>
        <v>0</v>
      </c>
      <c r="J71" s="8">
        <f>'WCLA Consolidated MTEF Budget'!J71-'CC summary'!J71</f>
        <v>0</v>
      </c>
      <c r="K71" s="8">
        <f>'WCLA Consolidated MTEF Budget'!K71-'CC summary'!K71</f>
        <v>0</v>
      </c>
      <c r="L71" s="8">
        <f>'WCLA Consolidated MTEF Budget'!L71-'CC summary'!L71</f>
        <v>0</v>
      </c>
      <c r="M71" s="13" t="s">
        <v>137</v>
      </c>
      <c r="N71" s="8">
        <f>'Budget Report DOCs'!M71-'WCLA Consolidated MTEF Budget'!N71</f>
        <v>0</v>
      </c>
      <c r="O71" s="8">
        <f>'WCLA Consolidated MTEF Budget'!O71-'CC summary'!O71</f>
        <v>-108537.92466666669</v>
      </c>
      <c r="P71" s="8">
        <f>'WCLA Consolidated MTEF Budget'!P71-'CC summary'!P71</f>
        <v>0</v>
      </c>
      <c r="Q71" s="8">
        <f>'WCLA Consolidated MTEF Budget'!Q71-'CC summary'!Q71</f>
        <v>178552.15113699972</v>
      </c>
      <c r="R71" s="7"/>
    </row>
    <row r="72" spans="1:18" x14ac:dyDescent="0.3">
      <c r="A72" s="8">
        <f>'WCLA Consolidated MTEF Budget'!A72-'CC summary'!A72</f>
        <v>0</v>
      </c>
      <c r="B72" s="8">
        <f>'WCLA Consolidated MTEF Budget'!B72-'CC summary'!B72</f>
        <v>0</v>
      </c>
      <c r="C72" s="8">
        <f>'WCLA Consolidated MTEF Budget'!C72-'CC summary'!C72</f>
        <v>0</v>
      </c>
      <c r="D72" s="8">
        <f>'WCLA Consolidated MTEF Budget'!D72-'CC summary'!D72</f>
        <v>0</v>
      </c>
      <c r="E72" s="8">
        <f>'WCLA Consolidated MTEF Budget'!E72-'CC summary'!E72</f>
        <v>0</v>
      </c>
      <c r="F72" s="8">
        <f>'WCLA Consolidated MTEF Budget'!F72-'CC summary'!F72</f>
        <v>0</v>
      </c>
      <c r="G72" s="8">
        <f>'WCLA Consolidated MTEF Budget'!G72-'CC summary'!G72</f>
        <v>0</v>
      </c>
      <c r="H72" s="8">
        <f>'WCLA Consolidated MTEF Budget'!H72-'CC summary'!H72</f>
        <v>0</v>
      </c>
      <c r="I72" s="8">
        <f>'WCLA Consolidated MTEF Budget'!I72-'CC summary'!I72</f>
        <v>0</v>
      </c>
      <c r="J72" s="8">
        <f>'WCLA Consolidated MTEF Budget'!J72-'CC summary'!J72</f>
        <v>0</v>
      </c>
      <c r="K72" s="8">
        <f>'WCLA Consolidated MTEF Budget'!K72-'CC summary'!K72</f>
        <v>0</v>
      </c>
      <c r="L72" s="8">
        <f>'WCLA Consolidated MTEF Budget'!L72-'CC summary'!L72</f>
        <v>0</v>
      </c>
      <c r="M72" s="13" t="s">
        <v>138</v>
      </c>
      <c r="N72" s="8">
        <f>'Budget Report DOCs'!M72-'WCLA Consolidated MTEF Budget'!N72</f>
        <v>0</v>
      </c>
      <c r="O72" s="8">
        <f>'WCLA Consolidated MTEF Budget'!O72-'CC summary'!O72</f>
        <v>-2380.0080000000007</v>
      </c>
      <c r="P72" s="8">
        <f>'WCLA Consolidated MTEF Budget'!P72-'CC summary'!P72</f>
        <v>0</v>
      </c>
      <c r="Q72" s="8">
        <f>'WCLA Consolidated MTEF Budget'!Q72-'CC summary'!Q72</f>
        <v>28559.096000000009</v>
      </c>
      <c r="R72" s="7"/>
    </row>
    <row r="73" spans="1:18" x14ac:dyDescent="0.3">
      <c r="A73" s="8">
        <f>'WCLA Consolidated MTEF Budget'!A73-'CC summary'!A73</f>
        <v>0</v>
      </c>
      <c r="B73" s="8">
        <f>'WCLA Consolidated MTEF Budget'!B73-'CC summary'!B73</f>
        <v>0</v>
      </c>
      <c r="C73" s="8">
        <f>'WCLA Consolidated MTEF Budget'!C73-'CC summary'!C73</f>
        <v>0</v>
      </c>
      <c r="D73" s="8">
        <f>'WCLA Consolidated MTEF Budget'!D73-'CC summary'!D73</f>
        <v>0</v>
      </c>
      <c r="E73" s="8">
        <f>'WCLA Consolidated MTEF Budget'!E73-'CC summary'!E73</f>
        <v>0</v>
      </c>
      <c r="F73" s="8">
        <f>'WCLA Consolidated MTEF Budget'!F73-'CC summary'!F73</f>
        <v>0</v>
      </c>
      <c r="G73" s="8">
        <f>'WCLA Consolidated MTEF Budget'!G73-'CC summary'!G73</f>
        <v>0</v>
      </c>
      <c r="H73" s="8">
        <f>'WCLA Consolidated MTEF Budget'!H73-'CC summary'!H73</f>
        <v>0</v>
      </c>
      <c r="I73" s="8">
        <f>'WCLA Consolidated MTEF Budget'!I73-'CC summary'!I73</f>
        <v>0</v>
      </c>
      <c r="J73" s="8">
        <f>'WCLA Consolidated MTEF Budget'!J73-'CC summary'!J73</f>
        <v>0</v>
      </c>
      <c r="K73" s="8">
        <f>'WCLA Consolidated MTEF Budget'!K73-'CC summary'!K73</f>
        <v>0</v>
      </c>
      <c r="L73" s="8">
        <f>'WCLA Consolidated MTEF Budget'!L73-'CC summary'!L73</f>
        <v>0</v>
      </c>
      <c r="M73" s="13" t="s">
        <v>123</v>
      </c>
      <c r="N73" s="8">
        <f>'Budget Report DOCs'!M73-'WCLA Consolidated MTEF Budget'!N73</f>
        <v>0</v>
      </c>
      <c r="O73" s="8">
        <f>'WCLA Consolidated MTEF Budget'!O73-'CC summary'!O73</f>
        <v>0</v>
      </c>
      <c r="P73" s="8">
        <f>'WCLA Consolidated MTEF Budget'!P73-'CC summary'!P73</f>
        <v>0</v>
      </c>
      <c r="Q73" s="8">
        <f>'WCLA Consolidated MTEF Budget'!Q73-'CC summary'!Q73</f>
        <v>0</v>
      </c>
      <c r="R73" s="7"/>
    </row>
    <row r="74" spans="1:18" x14ac:dyDescent="0.3">
      <c r="A74" s="8">
        <f>'WCLA Consolidated MTEF Budget'!A74-'CC summary'!A74</f>
        <v>0</v>
      </c>
      <c r="B74" s="8">
        <f>'WCLA Consolidated MTEF Budget'!B74-'CC summary'!B74</f>
        <v>0</v>
      </c>
      <c r="C74" s="8">
        <f>'WCLA Consolidated MTEF Budget'!C74-'CC summary'!C74</f>
        <v>0</v>
      </c>
      <c r="D74" s="8">
        <f>'WCLA Consolidated MTEF Budget'!D74-'CC summary'!D74</f>
        <v>0</v>
      </c>
      <c r="E74" s="8">
        <f>'WCLA Consolidated MTEF Budget'!E74-'CC summary'!E74</f>
        <v>0</v>
      </c>
      <c r="F74" s="8">
        <f>'WCLA Consolidated MTEF Budget'!F74-'CC summary'!F74</f>
        <v>0</v>
      </c>
      <c r="G74" s="8">
        <f>'WCLA Consolidated MTEF Budget'!G74-'CC summary'!G74</f>
        <v>0</v>
      </c>
      <c r="H74" s="8">
        <f>'WCLA Consolidated MTEF Budget'!H74-'CC summary'!H74</f>
        <v>0</v>
      </c>
      <c r="I74" s="8">
        <f>'WCLA Consolidated MTEF Budget'!I74-'CC summary'!I74</f>
        <v>0</v>
      </c>
      <c r="J74" s="8">
        <f>'WCLA Consolidated MTEF Budget'!J74-'CC summary'!J74</f>
        <v>0</v>
      </c>
      <c r="K74" s="8">
        <f>'WCLA Consolidated MTEF Budget'!K74-'CC summary'!K74</f>
        <v>0</v>
      </c>
      <c r="L74" s="8">
        <f>'WCLA Consolidated MTEF Budget'!L74-'CC summary'!L74</f>
        <v>0</v>
      </c>
      <c r="M74" s="238" t="s">
        <v>139</v>
      </c>
      <c r="N74" s="8">
        <f>'Budget Report DOCs'!M74-'WCLA Consolidated MTEF Budget'!N74</f>
        <v>0</v>
      </c>
      <c r="O74" s="8">
        <f>'WCLA Consolidated MTEF Budget'!O74-'CC summary'!O74</f>
        <v>-293473.53599999996</v>
      </c>
      <c r="P74" s="8">
        <f>'WCLA Consolidated MTEF Budget'!P74-'CC summary'!P74</f>
        <v>0</v>
      </c>
      <c r="Q74" s="8">
        <f>'WCLA Consolidated MTEF Budget'!Q74-'CC summary'!Q74</f>
        <v>59021.602369999979</v>
      </c>
      <c r="R74" s="7"/>
    </row>
    <row r="75" spans="1:18" x14ac:dyDescent="0.3">
      <c r="A75" s="8">
        <f>'WCLA Consolidated MTEF Budget'!A75-'CC summary'!A75</f>
        <v>0</v>
      </c>
      <c r="B75" s="8">
        <f>'WCLA Consolidated MTEF Budget'!B75-'CC summary'!B75</f>
        <v>0</v>
      </c>
      <c r="C75" s="8">
        <f>'WCLA Consolidated MTEF Budget'!C75-'CC summary'!C75</f>
        <v>0</v>
      </c>
      <c r="D75" s="8">
        <f>'WCLA Consolidated MTEF Budget'!D75-'CC summary'!D75</f>
        <v>0</v>
      </c>
      <c r="E75" s="8">
        <f>'WCLA Consolidated MTEF Budget'!E75-'CC summary'!E75</f>
        <v>0</v>
      </c>
      <c r="F75" s="8">
        <f>'WCLA Consolidated MTEF Budget'!F75-'CC summary'!F75</f>
        <v>0</v>
      </c>
      <c r="G75" s="8">
        <f>'WCLA Consolidated MTEF Budget'!G75-'CC summary'!G75</f>
        <v>0</v>
      </c>
      <c r="H75" s="8">
        <f>'WCLA Consolidated MTEF Budget'!H75-'CC summary'!H75</f>
        <v>0</v>
      </c>
      <c r="I75" s="8">
        <f>'WCLA Consolidated MTEF Budget'!I75-'CC summary'!I75</f>
        <v>0</v>
      </c>
      <c r="J75" s="8">
        <f>'WCLA Consolidated MTEF Budget'!J75-'CC summary'!J75</f>
        <v>0</v>
      </c>
      <c r="K75" s="8">
        <f>'WCLA Consolidated MTEF Budget'!K75-'CC summary'!K75</f>
        <v>0</v>
      </c>
      <c r="L75" s="8">
        <f>'WCLA Consolidated MTEF Budget'!L75-'CC summary'!L75</f>
        <v>0</v>
      </c>
      <c r="M75" s="13" t="s">
        <v>140</v>
      </c>
      <c r="N75" s="8">
        <f>'Budget Report DOCs'!M75-'WCLA Consolidated MTEF Budget'!N75</f>
        <v>0</v>
      </c>
      <c r="O75" s="8">
        <f>'WCLA Consolidated MTEF Budget'!O75-'CC summary'!O75</f>
        <v>-12241.687999999998</v>
      </c>
      <c r="P75" s="8">
        <f>'WCLA Consolidated MTEF Budget'!P75-'CC summary'!P75</f>
        <v>0</v>
      </c>
      <c r="Q75" s="8">
        <f>'WCLA Consolidated MTEF Budget'!Q75-'CC summary'!Q75</f>
        <v>-126224.86400000003</v>
      </c>
      <c r="R75" s="7"/>
    </row>
    <row r="76" spans="1:18" x14ac:dyDescent="0.3">
      <c r="A76" s="8">
        <f>'WCLA Consolidated MTEF Budget'!A76-'CC summary'!A76</f>
        <v>0</v>
      </c>
      <c r="B76" s="8">
        <f>'WCLA Consolidated MTEF Budget'!B76-'CC summary'!B76</f>
        <v>0</v>
      </c>
      <c r="C76" s="8">
        <f>'WCLA Consolidated MTEF Budget'!C76-'CC summary'!C76</f>
        <v>0</v>
      </c>
      <c r="D76" s="8">
        <f>'WCLA Consolidated MTEF Budget'!D76-'CC summary'!D76</f>
        <v>0</v>
      </c>
      <c r="E76" s="8">
        <f>'WCLA Consolidated MTEF Budget'!E76-'CC summary'!E76</f>
        <v>0</v>
      </c>
      <c r="F76" s="8">
        <f>'WCLA Consolidated MTEF Budget'!F76-'CC summary'!F76</f>
        <v>0</v>
      </c>
      <c r="G76" s="8">
        <f>'WCLA Consolidated MTEF Budget'!G76-'CC summary'!G76</f>
        <v>0</v>
      </c>
      <c r="H76" s="8">
        <f>'WCLA Consolidated MTEF Budget'!H76-'CC summary'!H76</f>
        <v>0</v>
      </c>
      <c r="I76" s="8">
        <f>'WCLA Consolidated MTEF Budget'!I76-'CC summary'!I76</f>
        <v>0</v>
      </c>
      <c r="J76" s="8">
        <f>'WCLA Consolidated MTEF Budget'!J76-'CC summary'!J76</f>
        <v>0</v>
      </c>
      <c r="K76" s="8">
        <f>'WCLA Consolidated MTEF Budget'!K76-'CC summary'!K76</f>
        <v>0</v>
      </c>
      <c r="L76" s="8">
        <f>'WCLA Consolidated MTEF Budget'!L76-'CC summary'!L76</f>
        <v>0</v>
      </c>
      <c r="M76" s="13" t="s">
        <v>141</v>
      </c>
      <c r="N76" s="8">
        <f>'Budget Report DOCs'!M76-'WCLA Consolidated MTEF Budget'!N76</f>
        <v>0</v>
      </c>
      <c r="O76" s="8">
        <f>'WCLA Consolidated MTEF Budget'!O76-'CC summary'!O76</f>
        <v>-2356.9520000000002</v>
      </c>
      <c r="P76" s="8">
        <f>'WCLA Consolidated MTEF Budget'!P76-'CC summary'!P76</f>
        <v>0</v>
      </c>
      <c r="Q76" s="8">
        <f>'WCLA Consolidated MTEF Budget'!Q76-'CC summary'!Q76</f>
        <v>15014.78300000001</v>
      </c>
      <c r="R76" s="7"/>
    </row>
    <row r="77" spans="1:18" x14ac:dyDescent="0.3">
      <c r="A77" s="8">
        <f>'WCLA Consolidated MTEF Budget'!A77-'CC summary'!A77</f>
        <v>0</v>
      </c>
      <c r="B77" s="8">
        <f>'WCLA Consolidated MTEF Budget'!B77-'CC summary'!B77</f>
        <v>0</v>
      </c>
      <c r="C77" s="8">
        <f>'WCLA Consolidated MTEF Budget'!C77-'CC summary'!C77</f>
        <v>0</v>
      </c>
      <c r="D77" s="8">
        <f>'WCLA Consolidated MTEF Budget'!D77-'CC summary'!D77</f>
        <v>0</v>
      </c>
      <c r="E77" s="8">
        <f>'WCLA Consolidated MTEF Budget'!E77-'CC summary'!E77</f>
        <v>0</v>
      </c>
      <c r="F77" s="8">
        <f>'WCLA Consolidated MTEF Budget'!F77-'CC summary'!F77</f>
        <v>0</v>
      </c>
      <c r="G77" s="8">
        <f>'WCLA Consolidated MTEF Budget'!G77-'CC summary'!G77</f>
        <v>0</v>
      </c>
      <c r="H77" s="8">
        <f>'WCLA Consolidated MTEF Budget'!H77-'CC summary'!H77</f>
        <v>0</v>
      </c>
      <c r="I77" s="8">
        <f>'WCLA Consolidated MTEF Budget'!I77-'CC summary'!I77</f>
        <v>0</v>
      </c>
      <c r="J77" s="8">
        <f>'WCLA Consolidated MTEF Budget'!J77-'CC summary'!J77</f>
        <v>0</v>
      </c>
      <c r="K77" s="8">
        <f>'WCLA Consolidated MTEF Budget'!K77-'CC summary'!K77</f>
        <v>0</v>
      </c>
      <c r="L77" s="8">
        <f>'WCLA Consolidated MTEF Budget'!L77-'CC summary'!L77</f>
        <v>0</v>
      </c>
      <c r="M77" s="13" t="s">
        <v>142</v>
      </c>
      <c r="N77" s="8">
        <f>'Budget Report DOCs'!M77-'WCLA Consolidated MTEF Budget'!N77</f>
        <v>0</v>
      </c>
      <c r="O77" s="8">
        <f>'WCLA Consolidated MTEF Budget'!O77-'CC summary'!O77</f>
        <v>0</v>
      </c>
      <c r="P77" s="8">
        <f>'WCLA Consolidated MTEF Budget'!P77-'CC summary'!P77</f>
        <v>0</v>
      </c>
      <c r="Q77" s="8">
        <f>'WCLA Consolidated MTEF Budget'!Q77-'CC summary'!Q77</f>
        <v>0</v>
      </c>
      <c r="R77" s="7"/>
    </row>
    <row r="78" spans="1:18" x14ac:dyDescent="0.3">
      <c r="A78" s="8">
        <f>'WCLA Consolidated MTEF Budget'!A78-'CC summary'!A78</f>
        <v>0</v>
      </c>
      <c r="B78" s="8">
        <f>'WCLA Consolidated MTEF Budget'!B78-'CC summary'!B78</f>
        <v>0</v>
      </c>
      <c r="C78" s="8">
        <f>'WCLA Consolidated MTEF Budget'!C78-'CC summary'!C78</f>
        <v>0</v>
      </c>
      <c r="D78" s="8">
        <f>'WCLA Consolidated MTEF Budget'!D78-'CC summary'!D78</f>
        <v>0</v>
      </c>
      <c r="E78" s="8">
        <f>'WCLA Consolidated MTEF Budget'!E78-'CC summary'!E78</f>
        <v>0</v>
      </c>
      <c r="F78" s="8">
        <f>'WCLA Consolidated MTEF Budget'!F78-'CC summary'!F78</f>
        <v>0</v>
      </c>
      <c r="G78" s="8">
        <f>'WCLA Consolidated MTEF Budget'!G78-'CC summary'!G78</f>
        <v>0</v>
      </c>
      <c r="H78" s="8">
        <f>'WCLA Consolidated MTEF Budget'!H78-'CC summary'!H78</f>
        <v>0</v>
      </c>
      <c r="I78" s="8">
        <f>'WCLA Consolidated MTEF Budget'!I78-'CC summary'!I78</f>
        <v>0</v>
      </c>
      <c r="J78" s="8">
        <f>'WCLA Consolidated MTEF Budget'!J78-'CC summary'!J78</f>
        <v>0</v>
      </c>
      <c r="K78" s="8">
        <f>'WCLA Consolidated MTEF Budget'!K78-'CC summary'!K78</f>
        <v>0</v>
      </c>
      <c r="L78" s="8">
        <f>'WCLA Consolidated MTEF Budget'!L78-'CC summary'!L78</f>
        <v>0</v>
      </c>
      <c r="M78" s="13" t="s">
        <v>143</v>
      </c>
      <c r="N78" s="8">
        <f>'Budget Report DOCs'!M78-'WCLA Consolidated MTEF Budget'!N78</f>
        <v>0</v>
      </c>
      <c r="O78" s="8">
        <f>'WCLA Consolidated MTEF Budget'!O78-'CC summary'!O78</f>
        <v>0</v>
      </c>
      <c r="P78" s="8">
        <f>'WCLA Consolidated MTEF Budget'!P78-'CC summary'!P78</f>
        <v>0</v>
      </c>
      <c r="Q78" s="8">
        <f>'WCLA Consolidated MTEF Budget'!Q78-'CC summary'!Q78</f>
        <v>0</v>
      </c>
      <c r="R78" s="7"/>
    </row>
    <row r="79" spans="1:18" x14ac:dyDescent="0.3">
      <c r="A79" s="8">
        <f>'WCLA Consolidated MTEF Budget'!A79-'CC summary'!A79</f>
        <v>0</v>
      </c>
      <c r="B79" s="8">
        <f>'WCLA Consolidated MTEF Budget'!B79-'CC summary'!B79</f>
        <v>0</v>
      </c>
      <c r="C79" s="8">
        <f>'WCLA Consolidated MTEF Budget'!C79-'CC summary'!C79</f>
        <v>0</v>
      </c>
      <c r="D79" s="8">
        <f>'WCLA Consolidated MTEF Budget'!D79-'CC summary'!D79</f>
        <v>0</v>
      </c>
      <c r="E79" s="8">
        <f>'WCLA Consolidated MTEF Budget'!E79-'CC summary'!E79</f>
        <v>0</v>
      </c>
      <c r="F79" s="8">
        <f>'WCLA Consolidated MTEF Budget'!F79-'CC summary'!F79</f>
        <v>0</v>
      </c>
      <c r="G79" s="8">
        <f>'WCLA Consolidated MTEF Budget'!G79-'CC summary'!G79</f>
        <v>0</v>
      </c>
      <c r="H79" s="8">
        <f>'WCLA Consolidated MTEF Budget'!H79-'CC summary'!H79</f>
        <v>0</v>
      </c>
      <c r="I79" s="8">
        <f>'WCLA Consolidated MTEF Budget'!I79-'CC summary'!I79</f>
        <v>0</v>
      </c>
      <c r="J79" s="8">
        <f>'WCLA Consolidated MTEF Budget'!J79-'CC summary'!J79</f>
        <v>0</v>
      </c>
      <c r="K79" s="8">
        <f>'WCLA Consolidated MTEF Budget'!K79-'CC summary'!K79</f>
        <v>0</v>
      </c>
      <c r="L79" s="8">
        <f>'WCLA Consolidated MTEF Budget'!L79-'CC summary'!L79</f>
        <v>0</v>
      </c>
      <c r="M79" s="13" t="s">
        <v>144</v>
      </c>
      <c r="N79" s="8">
        <f>'Budget Report DOCs'!M79-'WCLA Consolidated MTEF Budget'!N79</f>
        <v>0</v>
      </c>
      <c r="O79" s="8">
        <f>'WCLA Consolidated MTEF Budget'!O79-'CC summary'!O79</f>
        <v>-8732.9840000000004</v>
      </c>
      <c r="P79" s="8">
        <f>'WCLA Consolidated MTEF Budget'!P79-'CC summary'!P79</f>
        <v>0</v>
      </c>
      <c r="Q79" s="8">
        <f>'WCLA Consolidated MTEF Budget'!Q79-'CC summary'!Q79</f>
        <v>4799.8079999999754</v>
      </c>
      <c r="R79" s="7"/>
    </row>
    <row r="80" spans="1:18" x14ac:dyDescent="0.3">
      <c r="A80" s="8">
        <f>'WCLA Consolidated MTEF Budget'!A80-'CC summary'!A80</f>
        <v>0</v>
      </c>
      <c r="B80" s="8">
        <f>'WCLA Consolidated MTEF Budget'!B80-'CC summary'!B80</f>
        <v>0</v>
      </c>
      <c r="C80" s="8">
        <f>'WCLA Consolidated MTEF Budget'!C80-'CC summary'!C80</f>
        <v>0</v>
      </c>
      <c r="D80" s="8">
        <f>'WCLA Consolidated MTEF Budget'!D80-'CC summary'!D80</f>
        <v>0</v>
      </c>
      <c r="E80" s="8">
        <f>'WCLA Consolidated MTEF Budget'!E80-'CC summary'!E80</f>
        <v>0</v>
      </c>
      <c r="F80" s="8">
        <f>'WCLA Consolidated MTEF Budget'!F80-'CC summary'!F80</f>
        <v>0</v>
      </c>
      <c r="G80" s="8">
        <f>'WCLA Consolidated MTEF Budget'!G80-'CC summary'!G80</f>
        <v>0</v>
      </c>
      <c r="H80" s="8">
        <f>'WCLA Consolidated MTEF Budget'!H80-'CC summary'!H80</f>
        <v>0</v>
      </c>
      <c r="I80" s="8">
        <f>'WCLA Consolidated MTEF Budget'!I80-'CC summary'!I80</f>
        <v>0</v>
      </c>
      <c r="J80" s="8">
        <f>'WCLA Consolidated MTEF Budget'!J80-'CC summary'!J80</f>
        <v>0</v>
      </c>
      <c r="K80" s="8">
        <f>'WCLA Consolidated MTEF Budget'!K80-'CC summary'!K80</f>
        <v>0</v>
      </c>
      <c r="L80" s="8">
        <f>'WCLA Consolidated MTEF Budget'!L80-'CC summary'!L80</f>
        <v>0</v>
      </c>
      <c r="M80" s="13" t="s">
        <v>145</v>
      </c>
      <c r="N80" s="8">
        <f>'Budget Report DOCs'!M80-'WCLA Consolidated MTEF Budget'!N80</f>
        <v>0</v>
      </c>
      <c r="O80" s="8">
        <f>'WCLA Consolidated MTEF Budget'!O80-'CC summary'!O80</f>
        <v>0</v>
      </c>
      <c r="P80" s="8">
        <f>'WCLA Consolidated MTEF Budget'!P80-'CC summary'!P80</f>
        <v>0</v>
      </c>
      <c r="Q80" s="8">
        <f>'WCLA Consolidated MTEF Budget'!Q80-'CC summary'!Q80</f>
        <v>0</v>
      </c>
      <c r="R80" s="7"/>
    </row>
    <row r="81" spans="1:18" x14ac:dyDescent="0.3">
      <c r="A81" s="8">
        <f>'WCLA Consolidated MTEF Budget'!A81-'CC summary'!A81</f>
        <v>0</v>
      </c>
      <c r="B81" s="8">
        <f>'WCLA Consolidated MTEF Budget'!B81-'CC summary'!B81</f>
        <v>0</v>
      </c>
      <c r="C81" s="8">
        <f>'WCLA Consolidated MTEF Budget'!C81-'CC summary'!C81</f>
        <v>0</v>
      </c>
      <c r="D81" s="8">
        <f>'WCLA Consolidated MTEF Budget'!D81-'CC summary'!D81</f>
        <v>0</v>
      </c>
      <c r="E81" s="8">
        <f>'WCLA Consolidated MTEF Budget'!E81-'CC summary'!E81</f>
        <v>0</v>
      </c>
      <c r="F81" s="8">
        <f>'WCLA Consolidated MTEF Budget'!F81-'CC summary'!F81</f>
        <v>0</v>
      </c>
      <c r="G81" s="8">
        <f>'WCLA Consolidated MTEF Budget'!G81-'CC summary'!G81</f>
        <v>0</v>
      </c>
      <c r="H81" s="8">
        <f>'WCLA Consolidated MTEF Budget'!H81-'CC summary'!H81</f>
        <v>0</v>
      </c>
      <c r="I81" s="8">
        <f>'WCLA Consolidated MTEF Budget'!I81-'CC summary'!I81</f>
        <v>0</v>
      </c>
      <c r="J81" s="8">
        <f>'WCLA Consolidated MTEF Budget'!J81-'CC summary'!J81</f>
        <v>0</v>
      </c>
      <c r="K81" s="8">
        <f>'WCLA Consolidated MTEF Budget'!K81-'CC summary'!K81</f>
        <v>0</v>
      </c>
      <c r="L81" s="8">
        <f>'WCLA Consolidated MTEF Budget'!L81-'CC summary'!L81</f>
        <v>0</v>
      </c>
      <c r="M81" s="238" t="s">
        <v>146</v>
      </c>
      <c r="N81" s="8">
        <f>'Budget Report DOCs'!M81-'WCLA Consolidated MTEF Budget'!N81</f>
        <v>0</v>
      </c>
      <c r="O81" s="8">
        <f>'WCLA Consolidated MTEF Budget'!O81-'CC summary'!O81</f>
        <v>0</v>
      </c>
      <c r="P81" s="8">
        <f>'WCLA Consolidated MTEF Budget'!P81-'CC summary'!P81</f>
        <v>0</v>
      </c>
      <c r="Q81" s="8">
        <f>'WCLA Consolidated MTEF Budget'!Q81-'CC summary'!Q81</f>
        <v>-58958.129920000007</v>
      </c>
      <c r="R81" s="7"/>
    </row>
    <row r="82" spans="1:18" x14ac:dyDescent="0.3">
      <c r="A82" s="8">
        <f>'WCLA Consolidated MTEF Budget'!A82-'CC summary'!A82</f>
        <v>0</v>
      </c>
      <c r="B82" s="8">
        <f>'WCLA Consolidated MTEF Budget'!B82-'CC summary'!B82</f>
        <v>0</v>
      </c>
      <c r="C82" s="8">
        <f>'WCLA Consolidated MTEF Budget'!C82-'CC summary'!C82</f>
        <v>0</v>
      </c>
      <c r="D82" s="8">
        <f>'WCLA Consolidated MTEF Budget'!D82-'CC summary'!D82</f>
        <v>0</v>
      </c>
      <c r="E82" s="8">
        <f>'WCLA Consolidated MTEF Budget'!E82-'CC summary'!E82</f>
        <v>0</v>
      </c>
      <c r="F82" s="8">
        <f>'WCLA Consolidated MTEF Budget'!F82-'CC summary'!F82</f>
        <v>0</v>
      </c>
      <c r="G82" s="8">
        <f>'WCLA Consolidated MTEF Budget'!G82-'CC summary'!G82</f>
        <v>0</v>
      </c>
      <c r="H82" s="8">
        <f>'WCLA Consolidated MTEF Budget'!H82-'CC summary'!H82</f>
        <v>0</v>
      </c>
      <c r="I82" s="8">
        <f>'WCLA Consolidated MTEF Budget'!I82-'CC summary'!I82</f>
        <v>0</v>
      </c>
      <c r="J82" s="8">
        <f>'WCLA Consolidated MTEF Budget'!J82-'CC summary'!J82</f>
        <v>0</v>
      </c>
      <c r="K82" s="8">
        <f>'WCLA Consolidated MTEF Budget'!K82-'CC summary'!K82</f>
        <v>0</v>
      </c>
      <c r="L82" s="8">
        <f>'WCLA Consolidated MTEF Budget'!L82-'CC summary'!L82</f>
        <v>0</v>
      </c>
      <c r="M82" s="238" t="s">
        <v>147</v>
      </c>
      <c r="N82" s="8">
        <f>'Budget Report DOCs'!M82-'WCLA Consolidated MTEF Budget'!N82</f>
        <v>0</v>
      </c>
      <c r="O82" s="8">
        <f>'WCLA Consolidated MTEF Budget'!O82-'CC summary'!O82</f>
        <v>-126291.33600000001</v>
      </c>
      <c r="P82" s="8">
        <f>'WCLA Consolidated MTEF Budget'!P82-'CC summary'!P82</f>
        <v>0</v>
      </c>
      <c r="Q82" s="8">
        <f>'WCLA Consolidated MTEF Budget'!Q82-'CC summary'!Q82</f>
        <v>1349186.2081380007</v>
      </c>
      <c r="R82" s="7"/>
    </row>
    <row r="83" spans="1:18" x14ac:dyDescent="0.3">
      <c r="A83" s="8">
        <f>'WCLA Consolidated MTEF Budget'!A83-'CC summary'!A83</f>
        <v>0</v>
      </c>
      <c r="B83" s="8">
        <f>'WCLA Consolidated MTEF Budget'!B83-'CC summary'!B83</f>
        <v>0</v>
      </c>
      <c r="C83" s="8">
        <f>'WCLA Consolidated MTEF Budget'!C83-'CC summary'!C83</f>
        <v>0</v>
      </c>
      <c r="D83" s="8">
        <f>'WCLA Consolidated MTEF Budget'!D83-'CC summary'!D83</f>
        <v>0</v>
      </c>
      <c r="E83" s="8">
        <f>'WCLA Consolidated MTEF Budget'!E83-'CC summary'!E83</f>
        <v>0</v>
      </c>
      <c r="F83" s="8">
        <f>'WCLA Consolidated MTEF Budget'!F83-'CC summary'!F83</f>
        <v>0</v>
      </c>
      <c r="G83" s="8">
        <f>'WCLA Consolidated MTEF Budget'!G83-'CC summary'!G83</f>
        <v>0</v>
      </c>
      <c r="H83" s="8">
        <f>'WCLA Consolidated MTEF Budget'!H83-'CC summary'!H83</f>
        <v>0</v>
      </c>
      <c r="I83" s="8">
        <f>'WCLA Consolidated MTEF Budget'!I83-'CC summary'!I83</f>
        <v>0</v>
      </c>
      <c r="J83" s="8">
        <f>'WCLA Consolidated MTEF Budget'!J83-'CC summary'!J83</f>
        <v>0</v>
      </c>
      <c r="K83" s="8">
        <f>'WCLA Consolidated MTEF Budget'!K83-'CC summary'!K83</f>
        <v>0</v>
      </c>
      <c r="L83" s="8">
        <f>'WCLA Consolidated MTEF Budget'!L83-'CC summary'!L83</f>
        <v>0</v>
      </c>
      <c r="M83" s="238" t="s">
        <v>148</v>
      </c>
      <c r="N83" s="8">
        <f>'Budget Report DOCs'!M83-'WCLA Consolidated MTEF Budget'!N83</f>
        <v>0</v>
      </c>
      <c r="O83" s="8">
        <f>'WCLA Consolidated MTEF Budget'!O83-'CC summary'!O83</f>
        <v>0</v>
      </c>
      <c r="P83" s="8">
        <f>'WCLA Consolidated MTEF Budget'!P83-'CC summary'!P83</f>
        <v>0</v>
      </c>
      <c r="Q83" s="8">
        <f>'WCLA Consolidated MTEF Budget'!Q83-'CC summary'!Q83</f>
        <v>0</v>
      </c>
      <c r="R83" s="7"/>
    </row>
    <row r="84" spans="1:18" x14ac:dyDescent="0.3">
      <c r="A84" s="8">
        <f>'WCLA Consolidated MTEF Budget'!A84-'CC summary'!A84</f>
        <v>0</v>
      </c>
      <c r="B84" s="8">
        <f>'WCLA Consolidated MTEF Budget'!B84-'CC summary'!B84</f>
        <v>0</v>
      </c>
      <c r="C84" s="8">
        <f>'WCLA Consolidated MTEF Budget'!C84-'CC summary'!C84</f>
        <v>0</v>
      </c>
      <c r="D84" s="8">
        <f>'WCLA Consolidated MTEF Budget'!D84-'CC summary'!D84</f>
        <v>0</v>
      </c>
      <c r="E84" s="8">
        <f>'WCLA Consolidated MTEF Budget'!E84-'CC summary'!E84</f>
        <v>0</v>
      </c>
      <c r="F84" s="8">
        <f>'WCLA Consolidated MTEF Budget'!F84-'CC summary'!F84</f>
        <v>0</v>
      </c>
      <c r="G84" s="8">
        <f>'WCLA Consolidated MTEF Budget'!G84-'CC summary'!G84</f>
        <v>0</v>
      </c>
      <c r="H84" s="8">
        <f>'WCLA Consolidated MTEF Budget'!H84-'CC summary'!H84</f>
        <v>0</v>
      </c>
      <c r="I84" s="8">
        <f>'WCLA Consolidated MTEF Budget'!I84-'CC summary'!I84</f>
        <v>0</v>
      </c>
      <c r="J84" s="8">
        <f>'WCLA Consolidated MTEF Budget'!J84-'CC summary'!J84</f>
        <v>0</v>
      </c>
      <c r="K84" s="8">
        <f>'WCLA Consolidated MTEF Budget'!K84-'CC summary'!K84</f>
        <v>0</v>
      </c>
      <c r="L84" s="8">
        <f>'WCLA Consolidated MTEF Budget'!L84-'CC summary'!L84</f>
        <v>0</v>
      </c>
      <c r="M84" s="13" t="s">
        <v>149</v>
      </c>
      <c r="N84" s="8">
        <f>'Budget Report DOCs'!M84-'WCLA Consolidated MTEF Budget'!N84</f>
        <v>0</v>
      </c>
      <c r="O84" s="8">
        <f>'WCLA Consolidated MTEF Budget'!O84-'CC summary'!O84</f>
        <v>0</v>
      </c>
      <c r="P84" s="8">
        <f>'WCLA Consolidated MTEF Budget'!P84-'CC summary'!P84</f>
        <v>0</v>
      </c>
      <c r="Q84" s="8">
        <f>'WCLA Consolidated MTEF Budget'!Q84-'CC summary'!Q84</f>
        <v>0</v>
      </c>
      <c r="R84" s="7"/>
    </row>
    <row r="85" spans="1:18" x14ac:dyDescent="0.3">
      <c r="A85" s="8">
        <f>'WCLA Consolidated MTEF Budget'!A85-'CC summary'!A85</f>
        <v>0</v>
      </c>
      <c r="B85" s="8">
        <f>'WCLA Consolidated MTEF Budget'!B85-'CC summary'!B85</f>
        <v>0</v>
      </c>
      <c r="C85" s="8">
        <f>'WCLA Consolidated MTEF Budget'!C85-'CC summary'!C85</f>
        <v>0</v>
      </c>
      <c r="D85" s="8">
        <f>'WCLA Consolidated MTEF Budget'!D85-'CC summary'!D85</f>
        <v>0</v>
      </c>
      <c r="E85" s="8">
        <f>'WCLA Consolidated MTEF Budget'!E85-'CC summary'!E85</f>
        <v>0</v>
      </c>
      <c r="F85" s="8">
        <f>'WCLA Consolidated MTEF Budget'!F85-'CC summary'!F85</f>
        <v>0</v>
      </c>
      <c r="G85" s="8">
        <f>'WCLA Consolidated MTEF Budget'!G85-'CC summary'!G85</f>
        <v>0</v>
      </c>
      <c r="H85" s="8">
        <f>'WCLA Consolidated MTEF Budget'!H85-'CC summary'!H85</f>
        <v>0</v>
      </c>
      <c r="I85" s="8">
        <f>'WCLA Consolidated MTEF Budget'!I85-'CC summary'!I85</f>
        <v>0</v>
      </c>
      <c r="J85" s="8">
        <f>'WCLA Consolidated MTEF Budget'!J85-'CC summary'!J85</f>
        <v>0</v>
      </c>
      <c r="K85" s="8">
        <f>'WCLA Consolidated MTEF Budget'!K85-'CC summary'!K85</f>
        <v>0</v>
      </c>
      <c r="L85" s="8">
        <f>'WCLA Consolidated MTEF Budget'!L85-'CC summary'!L85</f>
        <v>0</v>
      </c>
      <c r="M85" s="13" t="s">
        <v>150</v>
      </c>
      <c r="N85" s="8">
        <f>'Budget Report DOCs'!M85-'WCLA Consolidated MTEF Budget'!N85</f>
        <v>0</v>
      </c>
      <c r="O85" s="8">
        <f>'WCLA Consolidated MTEF Budget'!O85-'CC summary'!O85</f>
        <v>0</v>
      </c>
      <c r="P85" s="8">
        <f>'WCLA Consolidated MTEF Budget'!P85-'CC summary'!P85</f>
        <v>0</v>
      </c>
      <c r="Q85" s="8">
        <f>'WCLA Consolidated MTEF Budget'!Q85-'CC summary'!Q85</f>
        <v>0</v>
      </c>
      <c r="R85" s="7"/>
    </row>
    <row r="86" spans="1:18" x14ac:dyDescent="0.3">
      <c r="A86" s="8">
        <f>'WCLA Consolidated MTEF Budget'!A86-'CC summary'!A86</f>
        <v>0</v>
      </c>
      <c r="B86" s="8">
        <f>'WCLA Consolidated MTEF Budget'!B86-'CC summary'!B86</f>
        <v>0</v>
      </c>
      <c r="C86" s="8">
        <f>'WCLA Consolidated MTEF Budget'!C86-'CC summary'!C86</f>
        <v>0</v>
      </c>
      <c r="D86" s="8">
        <f>'WCLA Consolidated MTEF Budget'!D86-'CC summary'!D86</f>
        <v>0</v>
      </c>
      <c r="E86" s="8">
        <f>'WCLA Consolidated MTEF Budget'!E86-'CC summary'!E86</f>
        <v>0</v>
      </c>
      <c r="F86" s="8">
        <f>'WCLA Consolidated MTEF Budget'!F86-'CC summary'!F86</f>
        <v>0</v>
      </c>
      <c r="G86" s="8">
        <f>'WCLA Consolidated MTEF Budget'!G86-'CC summary'!G86</f>
        <v>0</v>
      </c>
      <c r="H86" s="8">
        <f>'WCLA Consolidated MTEF Budget'!H86-'CC summary'!H86</f>
        <v>0</v>
      </c>
      <c r="I86" s="8">
        <f>'WCLA Consolidated MTEF Budget'!I86-'CC summary'!I86</f>
        <v>0</v>
      </c>
      <c r="J86" s="8">
        <f>'WCLA Consolidated MTEF Budget'!J86-'CC summary'!J86</f>
        <v>0</v>
      </c>
      <c r="K86" s="8">
        <f>'WCLA Consolidated MTEF Budget'!K86-'CC summary'!K86</f>
        <v>0</v>
      </c>
      <c r="L86" s="8">
        <f>'WCLA Consolidated MTEF Budget'!L86-'CC summary'!L86</f>
        <v>0</v>
      </c>
      <c r="M86" s="13" t="s">
        <v>151</v>
      </c>
      <c r="N86" s="8">
        <f>'Budget Report DOCs'!M86-'WCLA Consolidated MTEF Budget'!N86</f>
        <v>0</v>
      </c>
      <c r="O86" s="8">
        <f>'WCLA Consolidated MTEF Budget'!O86-'CC summary'!O86</f>
        <v>0</v>
      </c>
      <c r="P86" s="8">
        <f>'WCLA Consolidated MTEF Budget'!P86-'CC summary'!P86</f>
        <v>0</v>
      </c>
      <c r="Q86" s="8">
        <f>'WCLA Consolidated MTEF Budget'!Q86-'CC summary'!Q86</f>
        <v>0</v>
      </c>
      <c r="R86" s="7"/>
    </row>
    <row r="87" spans="1:18" x14ac:dyDescent="0.3">
      <c r="A87" s="8">
        <f>'WCLA Consolidated MTEF Budget'!A87-'CC summary'!A87</f>
        <v>0</v>
      </c>
      <c r="B87" s="8">
        <f>'WCLA Consolidated MTEF Budget'!B87-'CC summary'!B87</f>
        <v>0</v>
      </c>
      <c r="C87" s="8">
        <f>'WCLA Consolidated MTEF Budget'!C87-'CC summary'!C87</f>
        <v>0</v>
      </c>
      <c r="D87" s="8">
        <f>'WCLA Consolidated MTEF Budget'!D87-'CC summary'!D87</f>
        <v>0</v>
      </c>
      <c r="E87" s="8">
        <f>'WCLA Consolidated MTEF Budget'!E87-'CC summary'!E87</f>
        <v>0</v>
      </c>
      <c r="F87" s="8">
        <f>'WCLA Consolidated MTEF Budget'!F87-'CC summary'!F87</f>
        <v>0</v>
      </c>
      <c r="G87" s="8">
        <f>'WCLA Consolidated MTEF Budget'!G87-'CC summary'!G87</f>
        <v>0</v>
      </c>
      <c r="H87" s="8">
        <f>'WCLA Consolidated MTEF Budget'!H87-'CC summary'!H87</f>
        <v>0</v>
      </c>
      <c r="I87" s="8">
        <f>'WCLA Consolidated MTEF Budget'!I87-'CC summary'!I87</f>
        <v>0</v>
      </c>
      <c r="J87" s="8">
        <f>'WCLA Consolidated MTEF Budget'!J87-'CC summary'!J87</f>
        <v>0</v>
      </c>
      <c r="K87" s="8">
        <f>'WCLA Consolidated MTEF Budget'!K87-'CC summary'!K87</f>
        <v>0</v>
      </c>
      <c r="L87" s="8">
        <f>'WCLA Consolidated MTEF Budget'!L87-'CC summary'!L87</f>
        <v>0</v>
      </c>
      <c r="M87" s="13" t="s">
        <v>152</v>
      </c>
      <c r="N87" s="8">
        <f>'Budget Report DOCs'!M87-'WCLA Consolidated MTEF Budget'!N87</f>
        <v>0</v>
      </c>
      <c r="O87" s="8">
        <f>'WCLA Consolidated MTEF Budget'!O87-'CC summary'!O87</f>
        <v>-4318.8079999999991</v>
      </c>
      <c r="P87" s="8">
        <f>'WCLA Consolidated MTEF Budget'!P87-'CC summary'!P87</f>
        <v>0</v>
      </c>
      <c r="Q87" s="8">
        <f>'WCLA Consolidated MTEF Budget'!Q87-'CC summary'!Q87</f>
        <v>51825.695999999989</v>
      </c>
      <c r="R87" s="7"/>
    </row>
    <row r="88" spans="1:18" x14ac:dyDescent="0.3">
      <c r="A88" s="8">
        <f>'WCLA Consolidated MTEF Budget'!A88-'CC summary'!A88</f>
        <v>0</v>
      </c>
      <c r="B88" s="8">
        <f>'WCLA Consolidated MTEF Budget'!B88-'CC summary'!B88</f>
        <v>0</v>
      </c>
      <c r="C88" s="8">
        <f>'WCLA Consolidated MTEF Budget'!C88-'CC summary'!C88</f>
        <v>0</v>
      </c>
      <c r="D88" s="8">
        <f>'WCLA Consolidated MTEF Budget'!D88-'CC summary'!D88</f>
        <v>0</v>
      </c>
      <c r="E88" s="8">
        <f>'WCLA Consolidated MTEF Budget'!E88-'CC summary'!E88</f>
        <v>0</v>
      </c>
      <c r="F88" s="8">
        <f>'WCLA Consolidated MTEF Budget'!F88-'CC summary'!F88</f>
        <v>0</v>
      </c>
      <c r="G88" s="8">
        <f>'WCLA Consolidated MTEF Budget'!G88-'CC summary'!G88</f>
        <v>0</v>
      </c>
      <c r="H88" s="8">
        <f>'WCLA Consolidated MTEF Budget'!H88-'CC summary'!H88</f>
        <v>0</v>
      </c>
      <c r="I88" s="8">
        <f>'WCLA Consolidated MTEF Budget'!I88-'CC summary'!I88</f>
        <v>0</v>
      </c>
      <c r="J88" s="8">
        <f>'WCLA Consolidated MTEF Budget'!J88-'CC summary'!J88</f>
        <v>0</v>
      </c>
      <c r="K88" s="8">
        <f>'WCLA Consolidated MTEF Budget'!K88-'CC summary'!K88</f>
        <v>0</v>
      </c>
      <c r="L88" s="8">
        <f>'WCLA Consolidated MTEF Budget'!L88-'CC summary'!L88</f>
        <v>0</v>
      </c>
      <c r="M88" s="13" t="s">
        <v>153</v>
      </c>
      <c r="N88" s="8">
        <f>'Budget Report DOCs'!M88-'WCLA Consolidated MTEF Budget'!N88</f>
        <v>0</v>
      </c>
      <c r="O88" s="8">
        <f>'WCLA Consolidated MTEF Budget'!O88-'CC summary'!O88</f>
        <v>0</v>
      </c>
      <c r="P88" s="8">
        <f>'WCLA Consolidated MTEF Budget'!P88-'CC summary'!P88</f>
        <v>0</v>
      </c>
      <c r="Q88" s="8">
        <f>'WCLA Consolidated MTEF Budget'!Q88-'CC summary'!Q88</f>
        <v>-16103.362572296999</v>
      </c>
      <c r="R88" s="7"/>
    </row>
    <row r="89" spans="1:18" x14ac:dyDescent="0.3">
      <c r="A89" s="8">
        <f>'WCLA Consolidated MTEF Budget'!A89-'CC summary'!A89</f>
        <v>0</v>
      </c>
      <c r="B89" s="8">
        <f>'WCLA Consolidated MTEF Budget'!B89-'CC summary'!B89</f>
        <v>0</v>
      </c>
      <c r="C89" s="8">
        <f>'WCLA Consolidated MTEF Budget'!C89-'CC summary'!C89</f>
        <v>0</v>
      </c>
      <c r="D89" s="8">
        <f>'WCLA Consolidated MTEF Budget'!D89-'CC summary'!D89</f>
        <v>0</v>
      </c>
      <c r="E89" s="8">
        <f>'WCLA Consolidated MTEF Budget'!E89-'CC summary'!E89</f>
        <v>0</v>
      </c>
      <c r="F89" s="8">
        <f>'WCLA Consolidated MTEF Budget'!F89-'CC summary'!F89</f>
        <v>0</v>
      </c>
      <c r="G89" s="8">
        <f>'WCLA Consolidated MTEF Budget'!G89-'CC summary'!G89</f>
        <v>0</v>
      </c>
      <c r="H89" s="8">
        <f>'WCLA Consolidated MTEF Budget'!H89-'CC summary'!H89</f>
        <v>0</v>
      </c>
      <c r="I89" s="8">
        <f>'WCLA Consolidated MTEF Budget'!I89-'CC summary'!I89</f>
        <v>0</v>
      </c>
      <c r="J89" s="8">
        <f>'WCLA Consolidated MTEF Budget'!J89-'CC summary'!J89</f>
        <v>0</v>
      </c>
      <c r="K89" s="8">
        <f>'WCLA Consolidated MTEF Budget'!K89-'CC summary'!K89</f>
        <v>0</v>
      </c>
      <c r="L89" s="8">
        <f>'WCLA Consolidated MTEF Budget'!L89-'CC summary'!L89</f>
        <v>0</v>
      </c>
      <c r="M89" s="238" t="s">
        <v>154</v>
      </c>
      <c r="N89" s="8">
        <f>'Budget Report DOCs'!M89-'WCLA Consolidated MTEF Budget'!N89</f>
        <v>0</v>
      </c>
      <c r="O89" s="8">
        <f>'WCLA Consolidated MTEF Budget'!O89-'CC summary'!O89</f>
        <v>0</v>
      </c>
      <c r="P89" s="8">
        <f>'WCLA Consolidated MTEF Budget'!P89-'CC summary'!P89</f>
        <v>0</v>
      </c>
      <c r="Q89" s="8">
        <f>'WCLA Consolidated MTEF Budget'!Q89-'CC summary'!Q89</f>
        <v>0</v>
      </c>
      <c r="R89" s="11"/>
    </row>
    <row r="90" spans="1:18" ht="4.2" customHeight="1" thickBot="1" x14ac:dyDescent="0.35">
      <c r="A90" s="93"/>
      <c r="B90" s="93"/>
      <c r="C90" s="93"/>
      <c r="D90" s="94"/>
      <c r="E90" s="91"/>
      <c r="F90" s="91"/>
      <c r="G90" s="91"/>
      <c r="H90" s="91"/>
      <c r="I90" s="91"/>
      <c r="J90" s="91"/>
      <c r="K90" s="91"/>
      <c r="L90" s="91"/>
      <c r="M90" s="13"/>
      <c r="N90" s="91">
        <f t="shared" ref="N90:N130" si="5">SUM(A90:H90)</f>
        <v>0</v>
      </c>
      <c r="O90" s="93"/>
      <c r="P90" s="93"/>
      <c r="Q90" s="93"/>
      <c r="R90" s="93"/>
    </row>
    <row r="91" spans="1:18" x14ac:dyDescent="0.3">
      <c r="A91" s="4">
        <f>SUM(A67:A89)</f>
        <v>0</v>
      </c>
      <c r="B91" s="4">
        <f>SUM(B67:B89)</f>
        <v>0</v>
      </c>
      <c r="C91" s="4">
        <f t="shared" ref="C91:N91" si="6">SUM(C67:C89)</f>
        <v>0</v>
      </c>
      <c r="D91" s="4">
        <f t="shared" si="6"/>
        <v>0</v>
      </c>
      <c r="E91" s="4">
        <f t="shared" si="6"/>
        <v>0</v>
      </c>
      <c r="F91" s="4">
        <f t="shared" si="6"/>
        <v>0</v>
      </c>
      <c r="G91" s="4">
        <f t="shared" si="6"/>
        <v>0</v>
      </c>
      <c r="H91" s="4">
        <f t="shared" si="6"/>
        <v>0</v>
      </c>
      <c r="I91" s="4">
        <f t="shared" si="6"/>
        <v>0</v>
      </c>
      <c r="J91" s="4">
        <f t="shared" si="6"/>
        <v>0</v>
      </c>
      <c r="K91" s="4">
        <f t="shared" si="6"/>
        <v>0</v>
      </c>
      <c r="L91" s="4">
        <f t="shared" si="6"/>
        <v>0</v>
      </c>
      <c r="M91" s="13" t="s">
        <v>155</v>
      </c>
      <c r="N91" s="4">
        <f t="shared" si="6"/>
        <v>0</v>
      </c>
      <c r="O91" s="4"/>
      <c r="P91" s="4"/>
      <c r="Q91" s="4"/>
      <c r="R91" s="4"/>
    </row>
    <row r="92" spans="1:18" x14ac:dyDescent="0.3">
      <c r="A92" s="81"/>
      <c r="B92" s="81"/>
      <c r="C92" s="81"/>
      <c r="D92" s="82"/>
      <c r="E92" s="86"/>
      <c r="F92" s="86"/>
      <c r="G92" s="86"/>
      <c r="H92" s="86"/>
      <c r="I92" s="86"/>
      <c r="J92" s="86"/>
      <c r="K92" s="86"/>
      <c r="L92" s="86"/>
      <c r="M92" s="80"/>
      <c r="N92" s="87">
        <f t="shared" si="5"/>
        <v>0</v>
      </c>
      <c r="O92" s="81"/>
      <c r="P92" s="81"/>
      <c r="Q92" s="81"/>
      <c r="R92" s="81"/>
    </row>
    <row r="93" spans="1:18" x14ac:dyDescent="0.3">
      <c r="A93" s="8">
        <f>'WCLA Consolidated MTEF Budget'!A93-'CC summary'!A93</f>
        <v>0</v>
      </c>
      <c r="B93" s="8">
        <f>'WCLA Consolidated MTEF Budget'!B93-'CC summary'!B93</f>
        <v>0</v>
      </c>
      <c r="C93" s="8">
        <f>'WCLA Consolidated MTEF Budget'!C93-'CC summary'!C93</f>
        <v>0</v>
      </c>
      <c r="D93" s="8">
        <f>'WCLA Consolidated MTEF Budget'!D93-'CC summary'!D93</f>
        <v>0</v>
      </c>
      <c r="E93" s="8">
        <f>'WCLA Consolidated MTEF Budget'!E93-'CC summary'!E93</f>
        <v>0</v>
      </c>
      <c r="F93" s="8">
        <f>'WCLA Consolidated MTEF Budget'!F93-'CC summary'!F93</f>
        <v>0</v>
      </c>
      <c r="G93" s="8">
        <f>'WCLA Consolidated MTEF Budget'!G93-'CC summary'!G93</f>
        <v>0</v>
      </c>
      <c r="H93" s="8">
        <f>'WCLA Consolidated MTEF Budget'!H93-'CC summary'!H93</f>
        <v>0</v>
      </c>
      <c r="I93" s="8">
        <f>'WCLA Consolidated MTEF Budget'!I93-'CC summary'!I93</f>
        <v>0</v>
      </c>
      <c r="J93" s="8">
        <f>'WCLA Consolidated MTEF Budget'!J93-'CC summary'!J93</f>
        <v>0</v>
      </c>
      <c r="K93" s="8">
        <f>'WCLA Consolidated MTEF Budget'!K93-'CC summary'!K93</f>
        <v>0</v>
      </c>
      <c r="L93" s="8">
        <f>'WCLA Consolidated MTEF Budget'!L93-'CC summary'!L93</f>
        <v>0</v>
      </c>
      <c r="M93" s="238" t="s">
        <v>156</v>
      </c>
      <c r="N93" s="8">
        <f>'Budget Report DOCs'!M93-'WCLA Consolidated MTEF Budget'!N93</f>
        <v>0</v>
      </c>
      <c r="O93" s="8">
        <f>'WCLA Consolidated MTEF Budget'!O93-'CC summary'!O93</f>
        <v>-3806.3359999999811</v>
      </c>
      <c r="P93" s="8">
        <f>'WCLA Consolidated MTEF Budget'!P93-'CC summary'!P93</f>
        <v>3806.3360000000393</v>
      </c>
      <c r="Q93" s="8">
        <f>'WCLA Consolidated MTEF Budget'!Q93-'CC summary'!Q93</f>
        <v>34813.324666</v>
      </c>
      <c r="R93" s="8"/>
    </row>
    <row r="94" spans="1:18" x14ac:dyDescent="0.3">
      <c r="A94" s="8">
        <f>'WCLA Consolidated MTEF Budget'!A94-'CC summary'!A94</f>
        <v>0</v>
      </c>
      <c r="B94" s="8">
        <f>'WCLA Consolidated MTEF Budget'!B94-'CC summary'!B94</f>
        <v>0</v>
      </c>
      <c r="C94" s="8">
        <f>'WCLA Consolidated MTEF Budget'!C94-'CC summary'!C94</f>
        <v>0</v>
      </c>
      <c r="D94" s="8">
        <f>'WCLA Consolidated MTEF Budget'!D94-'CC summary'!D94</f>
        <v>0</v>
      </c>
      <c r="E94" s="8">
        <f>'WCLA Consolidated MTEF Budget'!E94-'CC summary'!E94</f>
        <v>0</v>
      </c>
      <c r="F94" s="8">
        <f>'WCLA Consolidated MTEF Budget'!F94-'CC summary'!F94</f>
        <v>0</v>
      </c>
      <c r="G94" s="8">
        <f>'WCLA Consolidated MTEF Budget'!G94-'CC summary'!G94</f>
        <v>0</v>
      </c>
      <c r="H94" s="8">
        <f>'WCLA Consolidated MTEF Budget'!H94-'CC summary'!H94</f>
        <v>0</v>
      </c>
      <c r="I94" s="8">
        <f>'WCLA Consolidated MTEF Budget'!I94-'CC summary'!I94</f>
        <v>0</v>
      </c>
      <c r="J94" s="8">
        <f>'WCLA Consolidated MTEF Budget'!J94-'CC summary'!J94</f>
        <v>0</v>
      </c>
      <c r="K94" s="8">
        <f>'WCLA Consolidated MTEF Budget'!K94-'CC summary'!K94</f>
        <v>0</v>
      </c>
      <c r="L94" s="8">
        <f>'WCLA Consolidated MTEF Budget'!L94-'CC summary'!L94</f>
        <v>0</v>
      </c>
      <c r="M94" s="13" t="s">
        <v>158</v>
      </c>
      <c r="N94" s="7">
        <f>'Budget Report DOCs'!M94-'WCLA Consolidated MTEF Budget'!N94</f>
        <v>0</v>
      </c>
      <c r="O94" s="8">
        <f>'WCLA Consolidated MTEF Budget'!O94-'CC summary'!O94</f>
        <v>-4641.4369212393303</v>
      </c>
      <c r="P94" s="8">
        <f>'WCLA Consolidated MTEF Budget'!P94-'CC summary'!P94</f>
        <v>4641.4369212393212</v>
      </c>
      <c r="Q94" s="8">
        <f>'WCLA Consolidated MTEF Budget'!Q94-'CC summary'!Q94</f>
        <v>-16536.985226128032</v>
      </c>
      <c r="R94" s="7"/>
    </row>
    <row r="95" spans="1:18" x14ac:dyDescent="0.3">
      <c r="A95" s="8">
        <f>'WCLA Consolidated MTEF Budget'!A95-'CC summary'!A95</f>
        <v>0</v>
      </c>
      <c r="B95" s="8">
        <f>'WCLA Consolidated MTEF Budget'!B95-'CC summary'!B95</f>
        <v>0</v>
      </c>
      <c r="C95" s="8">
        <f>'WCLA Consolidated MTEF Budget'!C95-'CC summary'!C95</f>
        <v>0</v>
      </c>
      <c r="D95" s="8">
        <f>'WCLA Consolidated MTEF Budget'!D95-'CC summary'!D95</f>
        <v>0</v>
      </c>
      <c r="E95" s="8">
        <f>'WCLA Consolidated MTEF Budget'!E95-'CC summary'!E95</f>
        <v>0</v>
      </c>
      <c r="F95" s="8">
        <f>'WCLA Consolidated MTEF Budget'!F95-'CC summary'!F95</f>
        <v>0</v>
      </c>
      <c r="G95" s="8">
        <f>'WCLA Consolidated MTEF Budget'!G95-'CC summary'!G95</f>
        <v>0</v>
      </c>
      <c r="H95" s="8">
        <f>'WCLA Consolidated MTEF Budget'!H95-'CC summary'!H95</f>
        <v>0</v>
      </c>
      <c r="I95" s="8">
        <f>'WCLA Consolidated MTEF Budget'!I95-'CC summary'!I95</f>
        <v>0</v>
      </c>
      <c r="J95" s="8">
        <f>'WCLA Consolidated MTEF Budget'!J95-'CC summary'!J95</f>
        <v>0</v>
      </c>
      <c r="K95" s="8">
        <f>'WCLA Consolidated MTEF Budget'!K95-'CC summary'!K95</f>
        <v>0</v>
      </c>
      <c r="L95" s="8">
        <f>'WCLA Consolidated MTEF Budget'!L95-'CC summary'!L95</f>
        <v>0</v>
      </c>
      <c r="M95" s="13" t="s">
        <v>159</v>
      </c>
      <c r="N95" s="7">
        <f>'Budget Report DOCs'!M95-'WCLA Consolidated MTEF Budget'!N95</f>
        <v>0</v>
      </c>
      <c r="O95" s="8">
        <f>'WCLA Consolidated MTEF Budget'!O95-'CC summary'!O95</f>
        <v>0</v>
      </c>
      <c r="P95" s="8">
        <f>'WCLA Consolidated MTEF Budget'!P95-'CC summary'!P95</f>
        <v>0</v>
      </c>
      <c r="Q95" s="8">
        <f>'WCLA Consolidated MTEF Budget'!Q95-'CC summary'!Q95</f>
        <v>0</v>
      </c>
      <c r="R95" s="7"/>
    </row>
    <row r="96" spans="1:18" x14ac:dyDescent="0.3">
      <c r="A96" s="8">
        <f>'WCLA Consolidated MTEF Budget'!A96-'CC summary'!A96</f>
        <v>0</v>
      </c>
      <c r="B96" s="8">
        <f>'WCLA Consolidated MTEF Budget'!B96-'CC summary'!B96</f>
        <v>0</v>
      </c>
      <c r="C96" s="8">
        <f>'WCLA Consolidated MTEF Budget'!C96-'CC summary'!C96</f>
        <v>0</v>
      </c>
      <c r="D96" s="8">
        <f>'WCLA Consolidated MTEF Budget'!D96-'CC summary'!D96</f>
        <v>0</v>
      </c>
      <c r="E96" s="8">
        <f>'WCLA Consolidated MTEF Budget'!E96-'CC summary'!E96</f>
        <v>0</v>
      </c>
      <c r="F96" s="8">
        <f>'WCLA Consolidated MTEF Budget'!F96-'CC summary'!F96</f>
        <v>0</v>
      </c>
      <c r="G96" s="8">
        <f>'WCLA Consolidated MTEF Budget'!G96-'CC summary'!G96</f>
        <v>0</v>
      </c>
      <c r="H96" s="8">
        <f>'WCLA Consolidated MTEF Budget'!H96-'CC summary'!H96</f>
        <v>0</v>
      </c>
      <c r="I96" s="8">
        <f>'WCLA Consolidated MTEF Budget'!I96-'CC summary'!I96</f>
        <v>0</v>
      </c>
      <c r="J96" s="8">
        <f>'WCLA Consolidated MTEF Budget'!J96-'CC summary'!J96</f>
        <v>0</v>
      </c>
      <c r="K96" s="8">
        <f>'WCLA Consolidated MTEF Budget'!K96-'CC summary'!K96</f>
        <v>0</v>
      </c>
      <c r="L96" s="8">
        <f>'WCLA Consolidated MTEF Budget'!L96-'CC summary'!L96</f>
        <v>0</v>
      </c>
      <c r="M96" s="13" t="s">
        <v>160</v>
      </c>
      <c r="N96" s="7">
        <f>'Budget Report DOCs'!M96-'WCLA Consolidated MTEF Budget'!N96</f>
        <v>0</v>
      </c>
      <c r="O96" s="8">
        <f>'WCLA Consolidated MTEF Budget'!O96-'CC summary'!O96</f>
        <v>-1210.44</v>
      </c>
      <c r="P96" s="8">
        <f>'WCLA Consolidated MTEF Budget'!P96-'CC summary'!P96</f>
        <v>1210.4400000000005</v>
      </c>
      <c r="Q96" s="8">
        <f>'WCLA Consolidated MTEF Budget'!Q96-'CC summary'!Q96</f>
        <v>3615.6053878880011</v>
      </c>
      <c r="R96" s="7"/>
    </row>
    <row r="97" spans="1:18" x14ac:dyDescent="0.3">
      <c r="A97" s="8">
        <f>'WCLA Consolidated MTEF Budget'!A97-'CC summary'!A97</f>
        <v>0</v>
      </c>
      <c r="B97" s="8">
        <f>'WCLA Consolidated MTEF Budget'!B97-'CC summary'!B97</f>
        <v>0</v>
      </c>
      <c r="C97" s="8">
        <f>'WCLA Consolidated MTEF Budget'!C97-'CC summary'!C97</f>
        <v>0</v>
      </c>
      <c r="D97" s="8">
        <f>'WCLA Consolidated MTEF Budget'!D97-'CC summary'!D97</f>
        <v>0</v>
      </c>
      <c r="E97" s="8">
        <f>'WCLA Consolidated MTEF Budget'!E97-'CC summary'!E97</f>
        <v>0</v>
      </c>
      <c r="F97" s="8">
        <f>'WCLA Consolidated MTEF Budget'!F97-'CC summary'!F97</f>
        <v>0</v>
      </c>
      <c r="G97" s="8">
        <f>'WCLA Consolidated MTEF Budget'!G97-'CC summary'!G97</f>
        <v>0</v>
      </c>
      <c r="H97" s="8">
        <f>'WCLA Consolidated MTEF Budget'!H97-'CC summary'!H97</f>
        <v>0</v>
      </c>
      <c r="I97" s="8">
        <f>'WCLA Consolidated MTEF Budget'!I97-'CC summary'!I97</f>
        <v>0</v>
      </c>
      <c r="J97" s="8">
        <f>'WCLA Consolidated MTEF Budget'!J97-'CC summary'!J97</f>
        <v>0</v>
      </c>
      <c r="K97" s="8">
        <f>'WCLA Consolidated MTEF Budget'!K97-'CC summary'!K97</f>
        <v>0</v>
      </c>
      <c r="L97" s="8">
        <f>'WCLA Consolidated MTEF Budget'!L97-'CC summary'!L97</f>
        <v>0</v>
      </c>
      <c r="M97" s="13" t="s">
        <v>161</v>
      </c>
      <c r="N97" s="7">
        <f>'Budget Report DOCs'!M97-'WCLA Consolidated MTEF Budget'!N97</f>
        <v>0</v>
      </c>
      <c r="O97" s="8">
        <f>'WCLA Consolidated MTEF Budget'!O97-'CC summary'!O97</f>
        <v>-15157.223999999998</v>
      </c>
      <c r="P97" s="8">
        <f>'WCLA Consolidated MTEF Budget'!P97-'CC summary'!P97</f>
        <v>15157.223999999987</v>
      </c>
      <c r="Q97" s="8">
        <f>'WCLA Consolidated MTEF Budget'!Q97-'CC summary'!Q97</f>
        <v>-2114.6712300127838</v>
      </c>
      <c r="R97" s="7"/>
    </row>
    <row r="98" spans="1:18" x14ac:dyDescent="0.3">
      <c r="A98" s="8">
        <f>'WCLA Consolidated MTEF Budget'!A98-'CC summary'!A98</f>
        <v>0</v>
      </c>
      <c r="B98" s="8">
        <f>'WCLA Consolidated MTEF Budget'!B98-'CC summary'!B98</f>
        <v>0</v>
      </c>
      <c r="C98" s="8">
        <f>'WCLA Consolidated MTEF Budget'!C98-'CC summary'!C98</f>
        <v>0</v>
      </c>
      <c r="D98" s="8">
        <f>'WCLA Consolidated MTEF Budget'!D98-'CC summary'!D98</f>
        <v>0</v>
      </c>
      <c r="E98" s="8">
        <f>'WCLA Consolidated MTEF Budget'!E98-'CC summary'!E98</f>
        <v>0</v>
      </c>
      <c r="F98" s="8">
        <f>'WCLA Consolidated MTEF Budget'!F98-'CC summary'!F98</f>
        <v>0</v>
      </c>
      <c r="G98" s="8">
        <f>'WCLA Consolidated MTEF Budget'!G98-'CC summary'!G98</f>
        <v>0</v>
      </c>
      <c r="H98" s="8">
        <f>'WCLA Consolidated MTEF Budget'!H98-'CC summary'!H98</f>
        <v>0</v>
      </c>
      <c r="I98" s="8">
        <f>'WCLA Consolidated MTEF Budget'!I98-'CC summary'!I98</f>
        <v>0</v>
      </c>
      <c r="J98" s="8">
        <f>'WCLA Consolidated MTEF Budget'!J98-'CC summary'!J98</f>
        <v>0</v>
      </c>
      <c r="K98" s="8">
        <f>'WCLA Consolidated MTEF Budget'!K98-'CC summary'!K98</f>
        <v>0</v>
      </c>
      <c r="L98" s="8">
        <f>'WCLA Consolidated MTEF Budget'!L98-'CC summary'!L98</f>
        <v>0</v>
      </c>
      <c r="M98" s="13" t="s">
        <v>162</v>
      </c>
      <c r="N98" s="7">
        <f>'Budget Report DOCs'!M98-'WCLA Consolidated MTEF Budget'!N98</f>
        <v>0</v>
      </c>
      <c r="O98" s="8">
        <f>'WCLA Consolidated MTEF Budget'!O98-'CC summary'!O98</f>
        <v>-442.25600000000009</v>
      </c>
      <c r="P98" s="8">
        <f>'WCLA Consolidated MTEF Budget'!P98-'CC summary'!P98</f>
        <v>442.25600000000122</v>
      </c>
      <c r="Q98" s="8">
        <f>'WCLA Consolidated MTEF Budget'!Q98-'CC summary'!Q98</f>
        <v>-6260.2178410159995</v>
      </c>
      <c r="R98" s="7"/>
    </row>
    <row r="99" spans="1:18" x14ac:dyDescent="0.3">
      <c r="A99" s="8">
        <f>'WCLA Consolidated MTEF Budget'!A99-'CC summary'!A99</f>
        <v>0</v>
      </c>
      <c r="B99" s="8">
        <f>'WCLA Consolidated MTEF Budget'!B99-'CC summary'!B99</f>
        <v>0</v>
      </c>
      <c r="C99" s="8">
        <f>'WCLA Consolidated MTEF Budget'!C99-'CC summary'!C99</f>
        <v>0</v>
      </c>
      <c r="D99" s="8">
        <f>'WCLA Consolidated MTEF Budget'!D99-'CC summary'!D99</f>
        <v>0</v>
      </c>
      <c r="E99" s="8">
        <f>'WCLA Consolidated MTEF Budget'!E99-'CC summary'!E99</f>
        <v>0</v>
      </c>
      <c r="F99" s="8">
        <f>'WCLA Consolidated MTEF Budget'!F99-'CC summary'!F99</f>
        <v>0</v>
      </c>
      <c r="G99" s="8">
        <f>'WCLA Consolidated MTEF Budget'!G99-'CC summary'!G99</f>
        <v>0</v>
      </c>
      <c r="H99" s="8">
        <f>'WCLA Consolidated MTEF Budget'!H99-'CC summary'!H99</f>
        <v>0</v>
      </c>
      <c r="I99" s="8">
        <f>'WCLA Consolidated MTEF Budget'!I99-'CC summary'!I99</f>
        <v>0</v>
      </c>
      <c r="J99" s="8">
        <f>'WCLA Consolidated MTEF Budget'!J99-'CC summary'!J99</f>
        <v>0</v>
      </c>
      <c r="K99" s="8">
        <f>'WCLA Consolidated MTEF Budget'!K99-'CC summary'!K99</f>
        <v>0</v>
      </c>
      <c r="L99" s="8">
        <f>'WCLA Consolidated MTEF Budget'!L99-'CC summary'!L99</f>
        <v>0</v>
      </c>
      <c r="M99" s="13" t="s">
        <v>163</v>
      </c>
      <c r="N99" s="7">
        <f>'Budget Report DOCs'!M99-'WCLA Consolidated MTEF Budget'!N99</f>
        <v>0</v>
      </c>
      <c r="O99" s="8">
        <f>'WCLA Consolidated MTEF Budget'!O99-'CC summary'!O99</f>
        <v>-40422.40800000001</v>
      </c>
      <c r="P99" s="8">
        <f>'WCLA Consolidated MTEF Budget'!P99-'CC summary'!P99</f>
        <v>40422.407999999938</v>
      </c>
      <c r="Q99" s="8">
        <f>'WCLA Consolidated MTEF Budget'!Q99-'CC summary'!Q99</f>
        <v>-56546.588289999985</v>
      </c>
      <c r="R99" s="7"/>
    </row>
    <row r="100" spans="1:18" x14ac:dyDescent="0.3">
      <c r="A100" s="8">
        <f>'WCLA Consolidated MTEF Budget'!A100-'CC summary'!A100</f>
        <v>0</v>
      </c>
      <c r="B100" s="8">
        <f>'WCLA Consolidated MTEF Budget'!B100-'CC summary'!B100</f>
        <v>0</v>
      </c>
      <c r="C100" s="8">
        <f>'WCLA Consolidated MTEF Budget'!C100-'CC summary'!C100</f>
        <v>0</v>
      </c>
      <c r="D100" s="8">
        <f>'WCLA Consolidated MTEF Budget'!D100-'CC summary'!D100</f>
        <v>0</v>
      </c>
      <c r="E100" s="8">
        <f>'WCLA Consolidated MTEF Budget'!E100-'CC summary'!E100</f>
        <v>0</v>
      </c>
      <c r="F100" s="8">
        <f>'WCLA Consolidated MTEF Budget'!F100-'CC summary'!F100</f>
        <v>0</v>
      </c>
      <c r="G100" s="8">
        <f>'WCLA Consolidated MTEF Budget'!G100-'CC summary'!G100</f>
        <v>0</v>
      </c>
      <c r="H100" s="8">
        <f>'WCLA Consolidated MTEF Budget'!H100-'CC summary'!H100</f>
        <v>0</v>
      </c>
      <c r="I100" s="8">
        <f>'WCLA Consolidated MTEF Budget'!I100-'CC summary'!I100</f>
        <v>0</v>
      </c>
      <c r="J100" s="8">
        <f>'WCLA Consolidated MTEF Budget'!J100-'CC summary'!J100</f>
        <v>0</v>
      </c>
      <c r="K100" s="8">
        <f>'WCLA Consolidated MTEF Budget'!K100-'CC summary'!K100</f>
        <v>0</v>
      </c>
      <c r="L100" s="8">
        <f>'WCLA Consolidated MTEF Budget'!L100-'CC summary'!L100</f>
        <v>0</v>
      </c>
      <c r="M100" s="238" t="s">
        <v>164</v>
      </c>
      <c r="N100" s="11">
        <f>'Budget Report DOCs'!M100-'WCLA Consolidated MTEF Budget'!N100</f>
        <v>0</v>
      </c>
      <c r="O100" s="8">
        <f>'WCLA Consolidated MTEF Budget'!O100-'CC summary'!O100</f>
        <v>-2788.728000000001</v>
      </c>
      <c r="P100" s="8">
        <f>'WCLA Consolidated MTEF Budget'!P100-'CC summary'!P100</f>
        <v>2788.7280000000028</v>
      </c>
      <c r="Q100" s="8">
        <f>'WCLA Consolidated MTEF Budget'!Q100-'CC summary'!Q100</f>
        <v>-7762.6605315759953</v>
      </c>
      <c r="R100" s="11"/>
    </row>
    <row r="101" spans="1:18" ht="6" customHeight="1" thickBot="1" x14ac:dyDescent="0.35">
      <c r="A101" s="89"/>
      <c r="B101" s="89"/>
      <c r="C101" s="89"/>
      <c r="D101" s="90"/>
      <c r="E101" s="91"/>
      <c r="F101" s="91"/>
      <c r="G101" s="91"/>
      <c r="H101" s="91"/>
      <c r="I101" s="91"/>
      <c r="J101" s="91"/>
      <c r="K101" s="91"/>
      <c r="L101" s="91"/>
      <c r="M101" s="13"/>
      <c r="N101" s="91">
        <f t="shared" si="5"/>
        <v>0</v>
      </c>
      <c r="O101" s="89"/>
      <c r="P101" s="89"/>
      <c r="Q101" s="89"/>
      <c r="R101" s="89"/>
    </row>
    <row r="102" spans="1:18" x14ac:dyDescent="0.3">
      <c r="A102" s="4">
        <f>SUM(A93:A100)</f>
        <v>0</v>
      </c>
      <c r="B102" s="4">
        <f>SUM(B93:B100)</f>
        <v>0</v>
      </c>
      <c r="C102" s="4">
        <f t="shared" ref="C102:N102" si="7">SUM(C93:C100)</f>
        <v>0</v>
      </c>
      <c r="D102" s="4">
        <f t="shared" si="7"/>
        <v>0</v>
      </c>
      <c r="E102" s="4">
        <f t="shared" si="7"/>
        <v>0</v>
      </c>
      <c r="F102" s="4">
        <f t="shared" si="7"/>
        <v>0</v>
      </c>
      <c r="G102" s="4">
        <f t="shared" si="7"/>
        <v>0</v>
      </c>
      <c r="H102" s="4">
        <f t="shared" si="7"/>
        <v>0</v>
      </c>
      <c r="I102" s="4">
        <f t="shared" si="7"/>
        <v>0</v>
      </c>
      <c r="J102" s="4">
        <f t="shared" si="7"/>
        <v>0</v>
      </c>
      <c r="K102" s="4">
        <f t="shared" si="7"/>
        <v>0</v>
      </c>
      <c r="L102" s="4">
        <f t="shared" si="7"/>
        <v>0</v>
      </c>
      <c r="M102" s="13" t="s">
        <v>166</v>
      </c>
      <c r="N102" s="4">
        <f t="shared" si="7"/>
        <v>0</v>
      </c>
      <c r="O102" s="4"/>
      <c r="P102" s="4"/>
      <c r="Q102" s="4"/>
      <c r="R102" s="4"/>
    </row>
    <row r="103" spans="1:18" ht="6" customHeight="1" x14ac:dyDescent="0.3">
      <c r="A103" s="81"/>
      <c r="B103" s="81"/>
      <c r="C103" s="81"/>
      <c r="D103" s="82"/>
      <c r="E103" s="86"/>
      <c r="F103" s="86"/>
      <c r="G103" s="86"/>
      <c r="H103" s="86"/>
      <c r="I103" s="86"/>
      <c r="J103" s="86"/>
      <c r="K103" s="86"/>
      <c r="L103" s="86"/>
      <c r="M103" s="80"/>
      <c r="N103" s="87">
        <f t="shared" si="5"/>
        <v>0</v>
      </c>
      <c r="O103" s="81"/>
      <c r="P103" s="81"/>
      <c r="Q103" s="81"/>
      <c r="R103" s="81"/>
    </row>
    <row r="104" spans="1:18" x14ac:dyDescent="0.3">
      <c r="A104" s="8">
        <f>'WCLA Consolidated MTEF Budget'!A104-'CC summary'!A104</f>
        <v>0</v>
      </c>
      <c r="B104" s="8">
        <f>'WCLA Consolidated MTEF Budget'!B104-'CC summary'!B104</f>
        <v>0</v>
      </c>
      <c r="C104" s="8">
        <f>'WCLA Consolidated MTEF Budget'!C104-'CC summary'!C104</f>
        <v>0</v>
      </c>
      <c r="D104" s="8">
        <f>'WCLA Consolidated MTEF Budget'!D104-'CC summary'!D104</f>
        <v>0</v>
      </c>
      <c r="E104" s="8">
        <f>'WCLA Consolidated MTEF Budget'!E104-'CC summary'!E104</f>
        <v>0</v>
      </c>
      <c r="F104" s="8">
        <f>'WCLA Consolidated MTEF Budget'!F104-'CC summary'!F104</f>
        <v>0</v>
      </c>
      <c r="G104" s="8">
        <f>'WCLA Consolidated MTEF Budget'!G104-'CC summary'!G104</f>
        <v>0</v>
      </c>
      <c r="H104" s="8">
        <f>'WCLA Consolidated MTEF Budget'!H104-'CC summary'!H104</f>
        <v>0</v>
      </c>
      <c r="I104" s="8">
        <f>'WCLA Consolidated MTEF Budget'!I104-'CC summary'!I104</f>
        <v>0</v>
      </c>
      <c r="J104" s="8">
        <f>'WCLA Consolidated MTEF Budget'!J104-'CC summary'!J104</f>
        <v>0</v>
      </c>
      <c r="K104" s="8">
        <f>'WCLA Consolidated MTEF Budget'!K104-'CC summary'!K104</f>
        <v>0</v>
      </c>
      <c r="L104" s="8">
        <f>'WCLA Consolidated MTEF Budget'!L104-'CC summary'!L104</f>
        <v>0</v>
      </c>
      <c r="M104" s="238" t="s">
        <v>167</v>
      </c>
      <c r="N104" s="8">
        <f>'Budget Report DOCs'!M104-'WCLA Consolidated MTEF Budget'!N104</f>
        <v>0</v>
      </c>
      <c r="O104" s="8">
        <f>'WCLA Consolidated MTEF Budget'!O104-'CC summary'!O104</f>
        <v>-874.03200000000015</v>
      </c>
      <c r="P104" s="8">
        <f>'WCLA Consolidated MTEF Budget'!P104-'CC summary'!P104</f>
        <v>874.03199999999742</v>
      </c>
      <c r="Q104" s="8">
        <f>'WCLA Consolidated MTEF Budget'!Q104-'CC summary'!Q104</f>
        <v>672</v>
      </c>
      <c r="R104" s="8"/>
    </row>
    <row r="105" spans="1:18" x14ac:dyDescent="0.3">
      <c r="A105" s="8">
        <f>'WCLA Consolidated MTEF Budget'!A105-'CC summary'!A105</f>
        <v>0</v>
      </c>
      <c r="B105" s="8">
        <f>'WCLA Consolidated MTEF Budget'!B105-'CC summary'!B105</f>
        <v>0</v>
      </c>
      <c r="C105" s="8">
        <f>'WCLA Consolidated MTEF Budget'!C105-'CC summary'!C105</f>
        <v>0</v>
      </c>
      <c r="D105" s="8">
        <f>'WCLA Consolidated MTEF Budget'!D105-'CC summary'!D105</f>
        <v>0</v>
      </c>
      <c r="E105" s="8">
        <f>'WCLA Consolidated MTEF Budget'!E105-'CC summary'!E105</f>
        <v>0</v>
      </c>
      <c r="F105" s="8">
        <f>'WCLA Consolidated MTEF Budget'!F105-'CC summary'!F105</f>
        <v>0</v>
      </c>
      <c r="G105" s="8">
        <f>'WCLA Consolidated MTEF Budget'!G105-'CC summary'!G105</f>
        <v>0</v>
      </c>
      <c r="H105" s="8">
        <f>'WCLA Consolidated MTEF Budget'!H105-'CC summary'!H105</f>
        <v>0</v>
      </c>
      <c r="I105" s="8">
        <f>'WCLA Consolidated MTEF Budget'!I105-'CC summary'!I105</f>
        <v>0</v>
      </c>
      <c r="J105" s="8">
        <f>'WCLA Consolidated MTEF Budget'!J105-'CC summary'!J105</f>
        <v>0</v>
      </c>
      <c r="K105" s="8">
        <f>'WCLA Consolidated MTEF Budget'!K105-'CC summary'!K105</f>
        <v>0</v>
      </c>
      <c r="L105" s="8">
        <f>'WCLA Consolidated MTEF Budget'!L105-'CC summary'!L105</f>
        <v>0</v>
      </c>
      <c r="M105" s="13" t="s">
        <v>168</v>
      </c>
      <c r="N105" s="7">
        <f>'Budget Report DOCs'!M105-'WCLA Consolidated MTEF Budget'!N105</f>
        <v>0</v>
      </c>
      <c r="O105" s="8">
        <f>'WCLA Consolidated MTEF Budget'!O105-'CC summary'!O105</f>
        <v>-162.44</v>
      </c>
      <c r="P105" s="8">
        <f>'WCLA Consolidated MTEF Budget'!P105-'CC summary'!P105</f>
        <v>162.44000000000028</v>
      </c>
      <c r="Q105" s="8">
        <f>'WCLA Consolidated MTEF Budget'!Q105-'CC summary'!Q105</f>
        <v>1945.0880000000002</v>
      </c>
      <c r="R105" s="7"/>
    </row>
    <row r="106" spans="1:18" x14ac:dyDescent="0.3">
      <c r="A106" s="8">
        <f>'WCLA Consolidated MTEF Budget'!A106-'CC summary'!A106</f>
        <v>0</v>
      </c>
      <c r="B106" s="8">
        <f>'WCLA Consolidated MTEF Budget'!B106-'CC summary'!B106</f>
        <v>0</v>
      </c>
      <c r="C106" s="8">
        <f>'WCLA Consolidated MTEF Budget'!C106-'CC summary'!C106</f>
        <v>0</v>
      </c>
      <c r="D106" s="8">
        <f>'WCLA Consolidated MTEF Budget'!D106-'CC summary'!D106</f>
        <v>0</v>
      </c>
      <c r="E106" s="8">
        <f>'WCLA Consolidated MTEF Budget'!E106-'CC summary'!E106</f>
        <v>0</v>
      </c>
      <c r="F106" s="8">
        <f>'WCLA Consolidated MTEF Budget'!F106-'CC summary'!F106</f>
        <v>0</v>
      </c>
      <c r="G106" s="8">
        <f>'WCLA Consolidated MTEF Budget'!G106-'CC summary'!G106</f>
        <v>0</v>
      </c>
      <c r="H106" s="8">
        <f>'WCLA Consolidated MTEF Budget'!H106-'CC summary'!H106</f>
        <v>0</v>
      </c>
      <c r="I106" s="8">
        <f>'WCLA Consolidated MTEF Budget'!I106-'CC summary'!I106</f>
        <v>0</v>
      </c>
      <c r="J106" s="8">
        <f>'WCLA Consolidated MTEF Budget'!J106-'CC summary'!J106</f>
        <v>0</v>
      </c>
      <c r="K106" s="8">
        <f>'WCLA Consolidated MTEF Budget'!K106-'CC summary'!K106</f>
        <v>0</v>
      </c>
      <c r="L106" s="8">
        <f>'WCLA Consolidated MTEF Budget'!L106-'CC summary'!L106</f>
        <v>0</v>
      </c>
      <c r="M106" s="13" t="s">
        <v>169</v>
      </c>
      <c r="N106" s="11">
        <f>'Budget Report DOCs'!M106-'WCLA Consolidated MTEF Budget'!N106</f>
        <v>0</v>
      </c>
      <c r="O106" s="8">
        <f>'WCLA Consolidated MTEF Budget'!O106-'CC summary'!O106</f>
        <v>-325.928</v>
      </c>
      <c r="P106" s="8">
        <f>'WCLA Consolidated MTEF Budget'!P106-'CC summary'!P106</f>
        <v>325.92799999999988</v>
      </c>
      <c r="Q106" s="8">
        <f>'WCLA Consolidated MTEF Budget'!Q106-'CC summary'!Q106</f>
        <v>3910.0880000000002</v>
      </c>
      <c r="R106" s="11"/>
    </row>
    <row r="107" spans="1:18" ht="3.6" customHeight="1" thickBot="1" x14ac:dyDescent="0.35">
      <c r="A107" s="89"/>
      <c r="B107" s="89"/>
      <c r="C107" s="89"/>
      <c r="D107" s="90"/>
      <c r="E107" s="91"/>
      <c r="F107" s="91"/>
      <c r="G107" s="91"/>
      <c r="H107" s="91"/>
      <c r="I107" s="91"/>
      <c r="J107" s="91"/>
      <c r="K107" s="91"/>
      <c r="L107" s="91"/>
      <c r="M107" s="13"/>
      <c r="N107" s="91">
        <f t="shared" si="5"/>
        <v>0</v>
      </c>
      <c r="O107" s="89"/>
      <c r="P107" s="89"/>
      <c r="Q107" s="89"/>
      <c r="R107" s="89"/>
    </row>
    <row r="108" spans="1:18" x14ac:dyDescent="0.3">
      <c r="A108" s="4">
        <f>SUM(A104:A106)</f>
        <v>0</v>
      </c>
      <c r="B108" s="4">
        <f>SUM(B104:B106)</f>
        <v>0</v>
      </c>
      <c r="C108" s="4">
        <f t="shared" ref="C108:N108" si="8">SUM(C104:C106)</f>
        <v>0</v>
      </c>
      <c r="D108" s="4">
        <f t="shared" si="8"/>
        <v>0</v>
      </c>
      <c r="E108" s="4">
        <f t="shared" si="8"/>
        <v>0</v>
      </c>
      <c r="F108" s="4">
        <f t="shared" si="8"/>
        <v>0</v>
      </c>
      <c r="G108" s="4">
        <f t="shared" si="8"/>
        <v>0</v>
      </c>
      <c r="H108" s="4">
        <f t="shared" si="8"/>
        <v>0</v>
      </c>
      <c r="I108" s="4">
        <f t="shared" si="8"/>
        <v>0</v>
      </c>
      <c r="J108" s="4">
        <f t="shared" si="8"/>
        <v>0</v>
      </c>
      <c r="K108" s="4">
        <f t="shared" si="8"/>
        <v>0</v>
      </c>
      <c r="L108" s="4">
        <f t="shared" si="8"/>
        <v>0</v>
      </c>
      <c r="M108" s="13" t="s">
        <v>170</v>
      </c>
      <c r="N108" s="4">
        <f t="shared" si="8"/>
        <v>0</v>
      </c>
      <c r="O108" s="4"/>
      <c r="P108" s="4"/>
      <c r="Q108" s="4"/>
      <c r="R108" s="4"/>
    </row>
    <row r="109" spans="1:18" ht="6" customHeight="1" x14ac:dyDescent="0.3">
      <c r="A109" s="81"/>
      <c r="B109" s="81"/>
      <c r="C109" s="81"/>
      <c r="D109" s="82"/>
      <c r="E109" s="81"/>
      <c r="F109" s="81"/>
      <c r="G109" s="81"/>
      <c r="H109" s="81"/>
      <c r="I109" s="81"/>
      <c r="J109" s="81"/>
      <c r="K109" s="81"/>
      <c r="L109" s="81"/>
      <c r="M109" s="80"/>
      <c r="N109" s="87">
        <f t="shared" si="5"/>
        <v>0</v>
      </c>
      <c r="O109" s="81"/>
      <c r="P109" s="81"/>
      <c r="Q109" s="81"/>
      <c r="R109" s="81"/>
    </row>
    <row r="110" spans="1:18" x14ac:dyDescent="0.3">
      <c r="A110" s="4">
        <f>A28+A46+A65+A91+A102+A108</f>
        <v>0</v>
      </c>
      <c r="B110" s="4">
        <f>B28+B46+B65+B91+B102+B108</f>
        <v>0</v>
      </c>
      <c r="C110" s="4">
        <f t="shared" ref="C110:N110" si="9">C28+C46+C65+C91+C102+C108</f>
        <v>0</v>
      </c>
      <c r="D110" s="4">
        <f t="shared" si="9"/>
        <v>0</v>
      </c>
      <c r="E110" s="4">
        <f t="shared" si="9"/>
        <v>0</v>
      </c>
      <c r="F110" s="4">
        <f t="shared" si="9"/>
        <v>0</v>
      </c>
      <c r="G110" s="4">
        <f t="shared" si="9"/>
        <v>0</v>
      </c>
      <c r="H110" s="4">
        <f t="shared" si="9"/>
        <v>0</v>
      </c>
      <c r="I110" s="4">
        <f t="shared" si="9"/>
        <v>0</v>
      </c>
      <c r="J110" s="4">
        <f t="shared" si="9"/>
        <v>0</v>
      </c>
      <c r="K110" s="4">
        <f t="shared" si="9"/>
        <v>0</v>
      </c>
      <c r="L110" s="4">
        <f t="shared" si="9"/>
        <v>0</v>
      </c>
      <c r="M110" s="238" t="s">
        <v>171</v>
      </c>
      <c r="N110" s="4">
        <f t="shared" si="9"/>
        <v>0</v>
      </c>
      <c r="O110" s="4"/>
      <c r="P110" s="4"/>
      <c r="Q110" s="4"/>
      <c r="R110" s="4"/>
    </row>
    <row r="111" spans="1:18" ht="5.4" customHeight="1" x14ac:dyDescent="0.3">
      <c r="A111" s="81"/>
      <c r="B111" s="81"/>
      <c r="C111" s="81"/>
      <c r="D111" s="82"/>
      <c r="E111" s="81"/>
      <c r="F111" s="81"/>
      <c r="G111" s="81"/>
      <c r="H111" s="81"/>
      <c r="I111" s="81"/>
      <c r="J111" s="81"/>
      <c r="K111" s="81"/>
      <c r="L111" s="81"/>
      <c r="M111" s="122"/>
      <c r="N111" s="87">
        <f t="shared" si="5"/>
        <v>0</v>
      </c>
      <c r="O111" s="81"/>
      <c r="P111" s="81"/>
      <c r="Q111" s="81"/>
      <c r="R111" s="81"/>
    </row>
    <row r="112" spans="1:18" x14ac:dyDescent="0.3">
      <c r="A112" s="4">
        <f>A18+A110</f>
        <v>0</v>
      </c>
      <c r="B112" s="4">
        <f>B18+B110</f>
        <v>0</v>
      </c>
      <c r="C112" s="4">
        <f t="shared" ref="C112:N112" si="10">C18+C110</f>
        <v>0</v>
      </c>
      <c r="D112" s="4">
        <f t="shared" si="10"/>
        <v>0</v>
      </c>
      <c r="E112" s="4">
        <f t="shared" si="10"/>
        <v>0</v>
      </c>
      <c r="F112" s="4">
        <f t="shared" si="10"/>
        <v>0</v>
      </c>
      <c r="G112" s="4">
        <f t="shared" si="10"/>
        <v>0</v>
      </c>
      <c r="H112" s="4" t="e">
        <f t="shared" si="10"/>
        <v>#REF!</v>
      </c>
      <c r="I112" s="4">
        <f t="shared" si="10"/>
        <v>0</v>
      </c>
      <c r="J112" s="4">
        <f t="shared" si="10"/>
        <v>0</v>
      </c>
      <c r="K112" s="4">
        <f t="shared" si="10"/>
        <v>0</v>
      </c>
      <c r="L112" s="4">
        <f t="shared" si="10"/>
        <v>0</v>
      </c>
      <c r="M112" s="13" t="s">
        <v>240</v>
      </c>
      <c r="N112" s="4" t="e">
        <f t="shared" si="10"/>
        <v>#REF!</v>
      </c>
      <c r="O112" s="4"/>
      <c r="P112" s="4"/>
      <c r="Q112" s="4"/>
      <c r="R112" s="4"/>
    </row>
    <row r="113" spans="1:18" ht="6.6" customHeight="1" x14ac:dyDescent="0.3">
      <c r="A113" s="81"/>
      <c r="B113" s="81"/>
      <c r="C113" s="81"/>
      <c r="D113" s="82"/>
      <c r="E113" s="81"/>
      <c r="F113" s="81"/>
      <c r="G113" s="81"/>
      <c r="H113" s="81"/>
      <c r="I113" s="81"/>
      <c r="J113" s="81"/>
      <c r="K113" s="81"/>
      <c r="L113" s="81"/>
      <c r="M113" s="122"/>
      <c r="N113" s="87">
        <f t="shared" si="5"/>
        <v>0</v>
      </c>
      <c r="O113" s="81"/>
      <c r="P113" s="81"/>
      <c r="Q113" s="81"/>
      <c r="R113" s="81"/>
    </row>
    <row r="114" spans="1:18" x14ac:dyDescent="0.3">
      <c r="A114" s="8">
        <f>'WCLA Consolidated MTEF Budget'!A114-'CC summary'!A114</f>
        <v>0</v>
      </c>
      <c r="B114" s="8">
        <f>'WCLA Consolidated MTEF Budget'!B114-'CC summary'!B114</f>
        <v>0</v>
      </c>
      <c r="C114" s="8">
        <f>'WCLA Consolidated MTEF Budget'!C114-'CC summary'!C114</f>
        <v>0</v>
      </c>
      <c r="D114" s="8">
        <f>'WCLA Consolidated MTEF Budget'!D114-'CC summary'!D114</f>
        <v>0</v>
      </c>
      <c r="E114" s="8">
        <f>'WCLA Consolidated MTEF Budget'!E114-'CC summary'!E114</f>
        <v>-9089.9</v>
      </c>
      <c r="F114" s="8">
        <f>'WCLA Consolidated MTEF Budget'!F114-'CC summary'!F114</f>
        <v>-9288.9</v>
      </c>
      <c r="G114" s="8">
        <f>'WCLA Consolidated MTEF Budget'!G114-'CC summary'!G114</f>
        <v>-9288.9</v>
      </c>
      <c r="H114" s="8">
        <f>'WCLA Consolidated MTEF Budget'!H114-'CC summary'!H114</f>
        <v>0</v>
      </c>
      <c r="I114" s="8">
        <f>'WCLA Consolidated MTEF Budget'!I114-'CC summary'!I114</f>
        <v>0</v>
      </c>
      <c r="J114" s="8">
        <f>'WCLA Consolidated MTEF Budget'!J114-'CC summary'!J114</f>
        <v>0</v>
      </c>
      <c r="K114" s="8">
        <f>'WCLA Consolidated MTEF Budget'!K114-'CC summary'!K114</f>
        <v>0</v>
      </c>
      <c r="L114" s="8">
        <f>'WCLA Consolidated MTEF Budget'!L114-'CC summary'!L114</f>
        <v>0</v>
      </c>
      <c r="M114" s="238" t="s">
        <v>173</v>
      </c>
      <c r="N114" s="8">
        <f>'Budget Report DOCs'!M114-'WCLA Consolidated MTEF Budget'!N114</f>
        <v>0</v>
      </c>
      <c r="O114" s="8">
        <f>'WCLA Consolidated MTEF Budget'!O114-'CC summary'!O114</f>
        <v>0</v>
      </c>
      <c r="P114" s="8">
        <f>'WCLA Consolidated MTEF Budget'!P114-'CC summary'!P114</f>
        <v>-27667.699999999997</v>
      </c>
      <c r="Q114" s="8">
        <f>'WCLA Consolidated MTEF Budget'!Q114-'CC summary'!Q114</f>
        <v>50450.720000000001</v>
      </c>
      <c r="R114" s="8"/>
    </row>
    <row r="115" spans="1:18" x14ac:dyDescent="0.3">
      <c r="A115" s="8">
        <f>'WCLA Consolidated MTEF Budget'!A115-'CC summary'!A115</f>
        <v>0</v>
      </c>
      <c r="B115" s="8">
        <f>'WCLA Consolidated MTEF Budget'!B115-'CC summary'!B115</f>
        <v>0</v>
      </c>
      <c r="C115" s="8">
        <f>'WCLA Consolidated MTEF Budget'!C115-'CC summary'!C115</f>
        <v>0</v>
      </c>
      <c r="D115" s="8">
        <f>'WCLA Consolidated MTEF Budget'!D115-'CC summary'!D115</f>
        <v>0</v>
      </c>
      <c r="E115" s="8">
        <f>'WCLA Consolidated MTEF Budget'!E115-'CC summary'!E115</f>
        <v>-199</v>
      </c>
      <c r="F115" s="8">
        <f>'WCLA Consolidated MTEF Budget'!F115-'CC summary'!F115</f>
        <v>0</v>
      </c>
      <c r="G115" s="8">
        <f>'WCLA Consolidated MTEF Budget'!G115-'CC summary'!G115</f>
        <v>0</v>
      </c>
      <c r="H115" s="8">
        <f>'WCLA Consolidated MTEF Budget'!H115-'CC summary'!H115</f>
        <v>0</v>
      </c>
      <c r="I115" s="8">
        <f>'WCLA Consolidated MTEF Budget'!I115-'CC summary'!I115</f>
        <v>0</v>
      </c>
      <c r="J115" s="8">
        <f>'WCLA Consolidated MTEF Budget'!J115-'CC summary'!J115</f>
        <v>0</v>
      </c>
      <c r="K115" s="8">
        <f>'WCLA Consolidated MTEF Budget'!K115-'CC summary'!K115</f>
        <v>0</v>
      </c>
      <c r="L115" s="8">
        <f>'WCLA Consolidated MTEF Budget'!L115-'CC summary'!L115</f>
        <v>0</v>
      </c>
      <c r="M115" s="13" t="s">
        <v>174</v>
      </c>
      <c r="N115" s="7">
        <f>'Budget Report DOCs'!M115-'WCLA Consolidated MTEF Budget'!N115</f>
        <v>0</v>
      </c>
      <c r="O115" s="8">
        <f>'WCLA Consolidated MTEF Budget'!O115-'CC summary'!O115</f>
        <v>0</v>
      </c>
      <c r="P115" s="8">
        <f>'WCLA Consolidated MTEF Budget'!P115-'CC summary'!P115</f>
        <v>-199</v>
      </c>
      <c r="Q115" s="8">
        <f>'WCLA Consolidated MTEF Budget'!Q115-'CC summary'!Q115</f>
        <v>58233</v>
      </c>
      <c r="R115" s="7"/>
    </row>
    <row r="116" spans="1:18" x14ac:dyDescent="0.3">
      <c r="A116" s="8">
        <f>'WCLA Consolidated MTEF Budget'!A116-'CC summary'!A116</f>
        <v>0</v>
      </c>
      <c r="B116" s="8">
        <f>'WCLA Consolidated MTEF Budget'!B116-'CC summary'!B116</f>
        <v>0</v>
      </c>
      <c r="C116" s="8">
        <f>'WCLA Consolidated MTEF Budget'!C116-'CC summary'!C116</f>
        <v>0</v>
      </c>
      <c r="D116" s="8">
        <f>'WCLA Consolidated MTEF Budget'!D116-'CC summary'!D116</f>
        <v>0</v>
      </c>
      <c r="E116" s="8">
        <f>'WCLA Consolidated MTEF Budget'!E116-'CC summary'!E116</f>
        <v>0</v>
      </c>
      <c r="F116" s="8">
        <f>'WCLA Consolidated MTEF Budget'!F116-'CC summary'!F116</f>
        <v>0</v>
      </c>
      <c r="G116" s="8">
        <f>'WCLA Consolidated MTEF Budget'!G116-'CC summary'!G116</f>
        <v>0</v>
      </c>
      <c r="H116" s="8">
        <f>'WCLA Consolidated MTEF Budget'!H116-'CC summary'!H116</f>
        <v>0</v>
      </c>
      <c r="I116" s="8">
        <f>'WCLA Consolidated MTEF Budget'!I116-'CC summary'!I116</f>
        <v>0</v>
      </c>
      <c r="J116" s="8">
        <f>'WCLA Consolidated MTEF Budget'!J116-'CC summary'!J116</f>
        <v>0</v>
      </c>
      <c r="K116" s="8">
        <f>'WCLA Consolidated MTEF Budget'!K116-'CC summary'!K116</f>
        <v>0</v>
      </c>
      <c r="L116" s="8">
        <f>'WCLA Consolidated MTEF Budget'!L116-'CC summary'!L116</f>
        <v>0</v>
      </c>
      <c r="M116" s="13" t="s">
        <v>175</v>
      </c>
      <c r="N116" s="7">
        <f>'Budget Report DOCs'!M116-'WCLA Consolidated MTEF Budget'!N116</f>
        <v>0</v>
      </c>
      <c r="O116" s="8">
        <f>'WCLA Consolidated MTEF Budget'!O116-'CC summary'!O116</f>
        <v>0</v>
      </c>
      <c r="P116" s="8">
        <f>'WCLA Consolidated MTEF Budget'!P116-'CC summary'!P116</f>
        <v>0</v>
      </c>
      <c r="Q116" s="8">
        <f>'WCLA Consolidated MTEF Budget'!Q116-'CC summary'!Q116</f>
        <v>0</v>
      </c>
      <c r="R116" s="7"/>
    </row>
    <row r="117" spans="1:18" x14ac:dyDescent="0.3">
      <c r="A117" s="8">
        <f>'WCLA Consolidated MTEF Budget'!A117-'CC summary'!A117</f>
        <v>0</v>
      </c>
      <c r="B117" s="8">
        <f>'WCLA Consolidated MTEF Budget'!B117-'CC summary'!B117</f>
        <v>0</v>
      </c>
      <c r="C117" s="8">
        <f>'WCLA Consolidated MTEF Budget'!C117-'CC summary'!C117</f>
        <v>0</v>
      </c>
      <c r="D117" s="8">
        <f>'WCLA Consolidated MTEF Budget'!D117-'CC summary'!D117</f>
        <v>0</v>
      </c>
      <c r="E117" s="8">
        <f>'WCLA Consolidated MTEF Budget'!E117-'CC summary'!E117</f>
        <v>0</v>
      </c>
      <c r="F117" s="8">
        <f>'WCLA Consolidated MTEF Budget'!F117-'CC summary'!F117</f>
        <v>0</v>
      </c>
      <c r="G117" s="8">
        <f>'WCLA Consolidated MTEF Budget'!G117-'CC summary'!G117</f>
        <v>0</v>
      </c>
      <c r="H117" s="8">
        <f>'WCLA Consolidated MTEF Budget'!H117-'CC summary'!H117</f>
        <v>0</v>
      </c>
      <c r="I117" s="8">
        <f>'WCLA Consolidated MTEF Budget'!I117-'CC summary'!I117</f>
        <v>0</v>
      </c>
      <c r="J117" s="8">
        <f>'WCLA Consolidated MTEF Budget'!J117-'CC summary'!J117</f>
        <v>0</v>
      </c>
      <c r="K117" s="8">
        <f>'WCLA Consolidated MTEF Budget'!K117-'CC summary'!K117</f>
        <v>0</v>
      </c>
      <c r="L117" s="8">
        <f>'WCLA Consolidated MTEF Budget'!L117-'CC summary'!L117</f>
        <v>0</v>
      </c>
      <c r="M117" s="238" t="s">
        <v>176</v>
      </c>
      <c r="N117" s="7">
        <f>'Budget Report DOCs'!M117-'WCLA Consolidated MTEF Budget'!N117</f>
        <v>0</v>
      </c>
      <c r="O117" s="8">
        <f>'WCLA Consolidated MTEF Budget'!O117-'CC summary'!O117</f>
        <v>0</v>
      </c>
      <c r="P117" s="8">
        <f>'WCLA Consolidated MTEF Budget'!P117-'CC summary'!P117</f>
        <v>0</v>
      </c>
      <c r="Q117" s="8">
        <f>'WCLA Consolidated MTEF Budget'!Q117-'CC summary'!Q117</f>
        <v>0</v>
      </c>
      <c r="R117" s="7"/>
    </row>
    <row r="118" spans="1:18" x14ac:dyDescent="0.3">
      <c r="A118" s="8">
        <f>'WCLA Consolidated MTEF Budget'!A118-'CC summary'!A118</f>
        <v>0</v>
      </c>
      <c r="B118" s="8">
        <f>'WCLA Consolidated MTEF Budget'!B118-'CC summary'!B118</f>
        <v>0</v>
      </c>
      <c r="C118" s="8">
        <f>'WCLA Consolidated MTEF Budget'!C118-'CC summary'!C118</f>
        <v>0</v>
      </c>
      <c r="D118" s="8">
        <f>'WCLA Consolidated MTEF Budget'!D118-'CC summary'!D118</f>
        <v>0</v>
      </c>
      <c r="E118" s="8">
        <f>'WCLA Consolidated MTEF Budget'!E118-'CC summary'!E118</f>
        <v>0</v>
      </c>
      <c r="F118" s="8">
        <f>'WCLA Consolidated MTEF Budget'!F118-'CC summary'!F118</f>
        <v>0</v>
      </c>
      <c r="G118" s="8">
        <f>'WCLA Consolidated MTEF Budget'!G118-'CC summary'!G118</f>
        <v>0</v>
      </c>
      <c r="H118" s="8">
        <f>'WCLA Consolidated MTEF Budget'!H118-'CC summary'!H118</f>
        <v>0</v>
      </c>
      <c r="I118" s="8">
        <f>'WCLA Consolidated MTEF Budget'!I118-'CC summary'!I118</f>
        <v>0</v>
      </c>
      <c r="J118" s="8">
        <f>'WCLA Consolidated MTEF Budget'!J118-'CC summary'!J118</f>
        <v>0</v>
      </c>
      <c r="K118" s="8">
        <f>'WCLA Consolidated MTEF Budget'!K118-'CC summary'!K118</f>
        <v>0</v>
      </c>
      <c r="L118" s="8">
        <f>'WCLA Consolidated MTEF Budget'!L118-'CC summary'!L118</f>
        <v>0</v>
      </c>
      <c r="M118" s="13" t="s">
        <v>177</v>
      </c>
      <c r="N118" s="7">
        <f>'Budget Report DOCs'!M118-'WCLA Consolidated MTEF Budget'!N118</f>
        <v>0</v>
      </c>
      <c r="O118" s="8">
        <f>'WCLA Consolidated MTEF Budget'!O118-'CC summary'!O118</f>
        <v>0</v>
      </c>
      <c r="P118" s="8">
        <f>'WCLA Consolidated MTEF Budget'!P118-'CC summary'!P118</f>
        <v>0</v>
      </c>
      <c r="Q118" s="8">
        <f>'WCLA Consolidated MTEF Budget'!Q118-'CC summary'!Q118</f>
        <v>-45803.764999999999</v>
      </c>
      <c r="R118" s="7"/>
    </row>
    <row r="119" spans="1:18" x14ac:dyDescent="0.3">
      <c r="A119" s="8">
        <f>'WCLA Consolidated MTEF Budget'!A119-'CC summary'!A119</f>
        <v>0</v>
      </c>
      <c r="B119" s="8">
        <f>'WCLA Consolidated MTEF Budget'!B119-'CC summary'!B119</f>
        <v>0</v>
      </c>
      <c r="C119" s="8">
        <f>'WCLA Consolidated MTEF Budget'!C119-'CC summary'!C119</f>
        <v>0</v>
      </c>
      <c r="D119" s="8">
        <f>'WCLA Consolidated MTEF Budget'!D119-'CC summary'!D119</f>
        <v>0</v>
      </c>
      <c r="E119" s="8">
        <f>'WCLA Consolidated MTEF Budget'!E119-'CC summary'!E119</f>
        <v>0</v>
      </c>
      <c r="F119" s="8">
        <f>'WCLA Consolidated MTEF Budget'!F119-'CC summary'!F119</f>
        <v>0</v>
      </c>
      <c r="G119" s="8">
        <f>'WCLA Consolidated MTEF Budget'!G119-'CC summary'!G119</f>
        <v>0</v>
      </c>
      <c r="H119" s="8">
        <f>'WCLA Consolidated MTEF Budget'!H119-'CC summary'!H119</f>
        <v>0</v>
      </c>
      <c r="I119" s="8">
        <f>'WCLA Consolidated MTEF Budget'!I119-'CC summary'!I119</f>
        <v>0</v>
      </c>
      <c r="J119" s="8">
        <f>'WCLA Consolidated MTEF Budget'!J119-'CC summary'!J119</f>
        <v>0</v>
      </c>
      <c r="K119" s="8">
        <f>'WCLA Consolidated MTEF Budget'!K119-'CC summary'!K119</f>
        <v>0</v>
      </c>
      <c r="L119" s="8">
        <f>'WCLA Consolidated MTEF Budget'!L119-'CC summary'!L119</f>
        <v>0</v>
      </c>
      <c r="M119" s="13" t="s">
        <v>178</v>
      </c>
      <c r="N119" s="7">
        <f>'Budget Report DOCs'!M119-'WCLA Consolidated MTEF Budget'!N119</f>
        <v>0</v>
      </c>
      <c r="O119" s="8">
        <f>'WCLA Consolidated MTEF Budget'!O119-'CC summary'!O119</f>
        <v>-47820</v>
      </c>
      <c r="P119" s="8">
        <f>'WCLA Consolidated MTEF Budget'!P119-'CC summary'!P119</f>
        <v>0</v>
      </c>
      <c r="Q119" s="8">
        <f>'WCLA Consolidated MTEF Budget'!Q119-'CC summary'!Q119</f>
        <v>474840</v>
      </c>
      <c r="R119" s="7"/>
    </row>
    <row r="120" spans="1:18" hidden="1" x14ac:dyDescent="0.3">
      <c r="A120" s="8">
        <f>'WCLA Consolidated MTEF Budget'!A120-'CC summary'!A120</f>
        <v>0</v>
      </c>
      <c r="B120" s="8">
        <f>'WCLA Consolidated MTEF Budget'!B120-'CC summary'!B120</f>
        <v>0</v>
      </c>
      <c r="C120" s="8">
        <f>'WCLA Consolidated MTEF Budget'!C120-'CC summary'!C120</f>
        <v>0</v>
      </c>
      <c r="D120" s="8">
        <f>'WCLA Consolidated MTEF Budget'!D120-'CC summary'!D120</f>
        <v>0</v>
      </c>
      <c r="E120" s="8">
        <f>'WCLA Consolidated MTEF Budget'!E120-'CC summary'!E120</f>
        <v>0</v>
      </c>
      <c r="F120" s="8">
        <f>'WCLA Consolidated MTEF Budget'!F120-'CC summary'!F120</f>
        <v>0</v>
      </c>
      <c r="G120" s="8">
        <f>'WCLA Consolidated MTEF Budget'!G120-'CC summary'!G120</f>
        <v>0</v>
      </c>
      <c r="H120" s="8">
        <f>'WCLA Consolidated MTEF Budget'!H120-'CC summary'!H120</f>
        <v>0</v>
      </c>
      <c r="I120" s="8">
        <f>'WCLA Consolidated MTEF Budget'!I120-'CC summary'!I120</f>
        <v>0</v>
      </c>
      <c r="J120" s="8">
        <f>'WCLA Consolidated MTEF Budget'!J120-'CC summary'!J120</f>
        <v>0</v>
      </c>
      <c r="K120" s="8">
        <f>'WCLA Consolidated MTEF Budget'!K120-'CC summary'!K120</f>
        <v>0</v>
      </c>
      <c r="L120" s="8">
        <f>'WCLA Consolidated MTEF Budget'!L120-'CC summary'!L120</f>
        <v>0</v>
      </c>
      <c r="M120" s="238" t="s">
        <v>179</v>
      </c>
      <c r="N120" s="7">
        <f>'Budget Report DOCs'!M120-'WCLA Consolidated MTEF Budget'!N120</f>
        <v>0</v>
      </c>
      <c r="O120" s="8">
        <f>'WCLA Consolidated MTEF Budget'!O120-'CC summary'!O120</f>
        <v>0</v>
      </c>
      <c r="P120" s="8">
        <f>'WCLA Consolidated MTEF Budget'!P120-'CC summary'!P120</f>
        <v>0</v>
      </c>
      <c r="Q120" s="8">
        <f>'WCLA Consolidated MTEF Budget'!Q120-'CC summary'!Q120</f>
        <v>0</v>
      </c>
      <c r="R120" s="7"/>
    </row>
    <row r="121" spans="1:18" hidden="1" x14ac:dyDescent="0.3">
      <c r="A121" s="8">
        <f>'WCLA Consolidated MTEF Budget'!A121-'CC summary'!A121</f>
        <v>0</v>
      </c>
      <c r="B121" s="8">
        <f>'WCLA Consolidated MTEF Budget'!B121-'CC summary'!B121</f>
        <v>0</v>
      </c>
      <c r="C121" s="8">
        <f>'WCLA Consolidated MTEF Budget'!C121-'CC summary'!C121</f>
        <v>0</v>
      </c>
      <c r="D121" s="8">
        <f>'WCLA Consolidated MTEF Budget'!D121-'CC summary'!D121</f>
        <v>0</v>
      </c>
      <c r="E121" s="8">
        <f>'WCLA Consolidated MTEF Budget'!E121-'CC summary'!E121</f>
        <v>0</v>
      </c>
      <c r="F121" s="8">
        <f>'WCLA Consolidated MTEF Budget'!F121-'CC summary'!F121</f>
        <v>0</v>
      </c>
      <c r="G121" s="8">
        <f>'WCLA Consolidated MTEF Budget'!G121-'CC summary'!G121</f>
        <v>0</v>
      </c>
      <c r="H121" s="8">
        <f>'WCLA Consolidated MTEF Budget'!H121-'CC summary'!H121</f>
        <v>0</v>
      </c>
      <c r="I121" s="8">
        <f>'WCLA Consolidated MTEF Budget'!I121-'CC summary'!I121</f>
        <v>0</v>
      </c>
      <c r="J121" s="8">
        <f>'WCLA Consolidated MTEF Budget'!J121-'CC summary'!J121</f>
        <v>0</v>
      </c>
      <c r="K121" s="8">
        <f>'WCLA Consolidated MTEF Budget'!K121-'CC summary'!K121</f>
        <v>0</v>
      </c>
      <c r="L121" s="8">
        <f>'WCLA Consolidated MTEF Budget'!L121-'CC summary'!L121</f>
        <v>0</v>
      </c>
      <c r="M121" s="13" t="s">
        <v>180</v>
      </c>
      <c r="N121" s="7">
        <f>'Budget Report DOCs'!M121-'WCLA Consolidated MTEF Budget'!N121</f>
        <v>0</v>
      </c>
      <c r="O121" s="8">
        <f>'WCLA Consolidated MTEF Budget'!O121-'CC summary'!O121</f>
        <v>0</v>
      </c>
      <c r="P121" s="8">
        <f>'WCLA Consolidated MTEF Budget'!P121-'CC summary'!P121</f>
        <v>0</v>
      </c>
      <c r="Q121" s="8">
        <f>'WCLA Consolidated MTEF Budget'!Q121-'CC summary'!Q121</f>
        <v>0</v>
      </c>
      <c r="R121" s="7"/>
    </row>
    <row r="122" spans="1:18" x14ac:dyDescent="0.3">
      <c r="A122" s="8">
        <f>'WCLA Consolidated MTEF Budget'!A122-'CC summary'!A122</f>
        <v>0</v>
      </c>
      <c r="B122" s="8">
        <f>'WCLA Consolidated MTEF Budget'!B122-'CC summary'!B122</f>
        <v>0</v>
      </c>
      <c r="C122" s="8">
        <f>'WCLA Consolidated MTEF Budget'!C122-'CC summary'!C122</f>
        <v>0</v>
      </c>
      <c r="D122" s="8">
        <f>'WCLA Consolidated MTEF Budget'!D122-'CC summary'!D122</f>
        <v>0</v>
      </c>
      <c r="E122" s="8">
        <f>'WCLA Consolidated MTEF Budget'!E122-'CC summary'!E122</f>
        <v>0</v>
      </c>
      <c r="F122" s="8">
        <f>'WCLA Consolidated MTEF Budget'!F122-'CC summary'!F122</f>
        <v>0</v>
      </c>
      <c r="G122" s="8">
        <f>'WCLA Consolidated MTEF Budget'!G122-'CC summary'!G122</f>
        <v>0</v>
      </c>
      <c r="H122" s="8">
        <f>'WCLA Consolidated MTEF Budget'!H122-'CC summary'!H122</f>
        <v>0</v>
      </c>
      <c r="I122" s="8">
        <f>'WCLA Consolidated MTEF Budget'!I122-'CC summary'!I122</f>
        <v>0</v>
      </c>
      <c r="J122" s="8">
        <f>'WCLA Consolidated MTEF Budget'!J122-'CC summary'!J122</f>
        <v>0</v>
      </c>
      <c r="K122" s="8">
        <f>'WCLA Consolidated MTEF Budget'!K122-'CC summary'!K122</f>
        <v>0</v>
      </c>
      <c r="L122" s="8">
        <f>'WCLA Consolidated MTEF Budget'!L122-'CC summary'!L122</f>
        <v>0</v>
      </c>
      <c r="M122" s="13" t="s">
        <v>181</v>
      </c>
      <c r="N122" s="7">
        <f>'Budget Report DOCs'!M122-'WCLA Consolidated MTEF Budget'!N122</f>
        <v>0</v>
      </c>
      <c r="O122" s="8">
        <f>'WCLA Consolidated MTEF Budget'!O122-'CC summary'!O122</f>
        <v>-31699.903999999995</v>
      </c>
      <c r="P122" s="8">
        <f>'WCLA Consolidated MTEF Budget'!P122-'CC summary'!P122</f>
        <v>0</v>
      </c>
      <c r="Q122" s="8">
        <f>'WCLA Consolidated MTEF Budget'!Q122-'CC summary'!Q122</f>
        <v>129499.11800000002</v>
      </c>
      <c r="R122" s="7"/>
    </row>
    <row r="123" spans="1:18" x14ac:dyDescent="0.3">
      <c r="A123" s="8">
        <f>'WCLA Consolidated MTEF Budget'!A123-'CC summary'!A123</f>
        <v>0</v>
      </c>
      <c r="B123" s="8">
        <f>'WCLA Consolidated MTEF Budget'!B123-'CC summary'!B123</f>
        <v>0</v>
      </c>
      <c r="C123" s="8">
        <f>'WCLA Consolidated MTEF Budget'!C123-'CC summary'!C123</f>
        <v>0</v>
      </c>
      <c r="D123" s="8">
        <f>'WCLA Consolidated MTEF Budget'!D123-'CC summary'!D123</f>
        <v>0</v>
      </c>
      <c r="E123" s="8">
        <f>'WCLA Consolidated MTEF Budget'!E123-'CC summary'!E123</f>
        <v>0</v>
      </c>
      <c r="F123" s="8">
        <f>'WCLA Consolidated MTEF Budget'!F123-'CC summary'!F123</f>
        <v>0</v>
      </c>
      <c r="G123" s="8">
        <f>'WCLA Consolidated MTEF Budget'!G123-'CC summary'!G123</f>
        <v>0</v>
      </c>
      <c r="H123" s="8">
        <f>'WCLA Consolidated MTEF Budget'!H123-'CC summary'!H123</f>
        <v>0</v>
      </c>
      <c r="I123" s="8">
        <f>'WCLA Consolidated MTEF Budget'!I123-'CC summary'!I123</f>
        <v>0</v>
      </c>
      <c r="J123" s="8">
        <f>'WCLA Consolidated MTEF Budget'!J123-'CC summary'!J123</f>
        <v>0</v>
      </c>
      <c r="K123" s="8">
        <f>'WCLA Consolidated MTEF Budget'!K123-'CC summary'!K123</f>
        <v>0</v>
      </c>
      <c r="L123" s="8">
        <f>'WCLA Consolidated MTEF Budget'!L123-'CC summary'!L123</f>
        <v>0</v>
      </c>
      <c r="M123" s="238" t="s">
        <v>182</v>
      </c>
      <c r="N123" s="7">
        <f>'Budget Report DOCs'!M123-'WCLA Consolidated MTEF Budget'!N123</f>
        <v>0</v>
      </c>
      <c r="O123" s="8">
        <f>'WCLA Consolidated MTEF Budget'!O123-'CC summary'!O123</f>
        <v>-105337.62400000001</v>
      </c>
      <c r="P123" s="8">
        <f>'WCLA Consolidated MTEF Budget'!P123-'CC summary'!P123</f>
        <v>0</v>
      </c>
      <c r="Q123" s="8">
        <f>'WCLA Consolidated MTEF Budget'!Q123-'CC summary'!Q123</f>
        <v>-47965.347399999388</v>
      </c>
      <c r="R123" s="7"/>
    </row>
    <row r="124" spans="1:18" x14ac:dyDescent="0.3">
      <c r="A124" s="8">
        <f>'WCLA Consolidated MTEF Budget'!A124-'CC summary'!A124</f>
        <v>0</v>
      </c>
      <c r="B124" s="8">
        <f>'WCLA Consolidated MTEF Budget'!B124-'CC summary'!B124</f>
        <v>0</v>
      </c>
      <c r="C124" s="8">
        <f>'WCLA Consolidated MTEF Budget'!C124-'CC summary'!C124</f>
        <v>0</v>
      </c>
      <c r="D124" s="8">
        <f>'WCLA Consolidated MTEF Budget'!D124-'CC summary'!D124</f>
        <v>0</v>
      </c>
      <c r="E124" s="8">
        <f>'WCLA Consolidated MTEF Budget'!E124-'CC summary'!E124</f>
        <v>0</v>
      </c>
      <c r="F124" s="8">
        <f>'WCLA Consolidated MTEF Budget'!F124-'CC summary'!F124</f>
        <v>0</v>
      </c>
      <c r="G124" s="8">
        <f>'WCLA Consolidated MTEF Budget'!G124-'CC summary'!G124</f>
        <v>0</v>
      </c>
      <c r="H124" s="8">
        <f>'WCLA Consolidated MTEF Budget'!H124-'CC summary'!H124</f>
        <v>0</v>
      </c>
      <c r="I124" s="8">
        <f>'WCLA Consolidated MTEF Budget'!I124-'CC summary'!I124</f>
        <v>0</v>
      </c>
      <c r="J124" s="8">
        <f>'WCLA Consolidated MTEF Budget'!J124-'CC summary'!J124</f>
        <v>0</v>
      </c>
      <c r="K124" s="8">
        <f>'WCLA Consolidated MTEF Budget'!K124-'CC summary'!K124</f>
        <v>0</v>
      </c>
      <c r="L124" s="8">
        <f>'WCLA Consolidated MTEF Budget'!L124-'CC summary'!L124</f>
        <v>0</v>
      </c>
      <c r="M124" s="13" t="s">
        <v>183</v>
      </c>
      <c r="N124" s="7">
        <f>'Budget Report DOCs'!M124-'WCLA Consolidated MTEF Budget'!N124</f>
        <v>0</v>
      </c>
      <c r="O124" s="8">
        <f>'WCLA Consolidated MTEF Budget'!O124-'CC summary'!O124</f>
        <v>0</v>
      </c>
      <c r="P124" s="8">
        <f>'WCLA Consolidated MTEF Budget'!P124-'CC summary'!P124</f>
        <v>0</v>
      </c>
      <c r="Q124" s="8">
        <f>'WCLA Consolidated MTEF Budget'!Q124-'CC summary'!Q124</f>
        <v>0</v>
      </c>
      <c r="R124" s="7"/>
    </row>
    <row r="125" spans="1:18" x14ac:dyDescent="0.3">
      <c r="A125" s="8">
        <f>'WCLA Consolidated MTEF Budget'!A125-'CC summary'!A125</f>
        <v>0</v>
      </c>
      <c r="B125" s="8">
        <f>'WCLA Consolidated MTEF Budget'!B125-'CC summary'!B125</f>
        <v>0</v>
      </c>
      <c r="C125" s="8">
        <f>'WCLA Consolidated MTEF Budget'!C125-'CC summary'!C125</f>
        <v>0</v>
      </c>
      <c r="D125" s="8">
        <f>'WCLA Consolidated MTEF Budget'!D125-'CC summary'!D125</f>
        <v>0</v>
      </c>
      <c r="E125" s="8">
        <f>'WCLA Consolidated MTEF Budget'!E125-'CC summary'!E125</f>
        <v>0</v>
      </c>
      <c r="F125" s="8">
        <f>'WCLA Consolidated MTEF Budget'!F125-'CC summary'!F125</f>
        <v>0</v>
      </c>
      <c r="G125" s="8">
        <f>'WCLA Consolidated MTEF Budget'!G125-'CC summary'!G125</f>
        <v>0</v>
      </c>
      <c r="H125" s="8">
        <f>'WCLA Consolidated MTEF Budget'!H125-'CC summary'!H125</f>
        <v>0</v>
      </c>
      <c r="I125" s="8">
        <f>'WCLA Consolidated MTEF Budget'!I125-'CC summary'!I125</f>
        <v>0</v>
      </c>
      <c r="J125" s="8">
        <f>'WCLA Consolidated MTEF Budget'!J125-'CC summary'!J125</f>
        <v>0</v>
      </c>
      <c r="K125" s="8">
        <f>'WCLA Consolidated MTEF Budget'!K125-'CC summary'!K125</f>
        <v>0</v>
      </c>
      <c r="L125" s="8">
        <f>'WCLA Consolidated MTEF Budget'!L125-'CC summary'!L125</f>
        <v>0</v>
      </c>
      <c r="M125" s="13" t="s">
        <v>184</v>
      </c>
      <c r="N125" s="11">
        <f>'Budget Report DOCs'!M125-'WCLA Consolidated MTEF Budget'!N125</f>
        <v>0</v>
      </c>
      <c r="O125" s="8">
        <f>'WCLA Consolidated MTEF Budget'!O125-'CC summary'!O125</f>
        <v>0</v>
      </c>
      <c r="P125" s="8">
        <f>'WCLA Consolidated MTEF Budget'!P125-'CC summary'!P125</f>
        <v>0</v>
      </c>
      <c r="Q125" s="8">
        <f>'WCLA Consolidated MTEF Budget'!Q125-'CC summary'!Q125</f>
        <v>0</v>
      </c>
      <c r="R125" s="11"/>
    </row>
    <row r="126" spans="1:18" ht="5.4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13"/>
      <c r="N126" s="7">
        <f t="shared" si="5"/>
        <v>0</v>
      </c>
      <c r="O126" s="7"/>
      <c r="P126" s="7"/>
      <c r="Q126" s="7"/>
      <c r="R126" s="7"/>
    </row>
    <row r="127" spans="1:18" x14ac:dyDescent="0.3">
      <c r="A127" s="4">
        <f>SUM(A114:A125)</f>
        <v>0</v>
      </c>
      <c r="B127" s="4">
        <f>SUM(B114:B125)</f>
        <v>0</v>
      </c>
      <c r="C127" s="4">
        <f t="shared" ref="C127:N127" si="11">SUM(C114:C125)</f>
        <v>0</v>
      </c>
      <c r="D127" s="4">
        <f t="shared" si="11"/>
        <v>0</v>
      </c>
      <c r="E127" s="4">
        <f t="shared" si="11"/>
        <v>-9288.9</v>
      </c>
      <c r="F127" s="4">
        <f t="shared" si="11"/>
        <v>-9288.9</v>
      </c>
      <c r="G127" s="4">
        <f t="shared" si="11"/>
        <v>-9288.9</v>
      </c>
      <c r="H127" s="4">
        <f t="shared" si="11"/>
        <v>0</v>
      </c>
      <c r="I127" s="4">
        <f t="shared" si="11"/>
        <v>0</v>
      </c>
      <c r="J127" s="4">
        <f t="shared" si="11"/>
        <v>0</v>
      </c>
      <c r="K127" s="4">
        <f t="shared" si="11"/>
        <v>0</v>
      </c>
      <c r="L127" s="4">
        <f t="shared" si="11"/>
        <v>0</v>
      </c>
      <c r="M127" s="13" t="s">
        <v>185</v>
      </c>
      <c r="N127" s="4">
        <f t="shared" si="11"/>
        <v>0</v>
      </c>
      <c r="O127" s="4"/>
      <c r="P127" s="4"/>
      <c r="Q127" s="4"/>
      <c r="R127" s="4"/>
    </row>
    <row r="128" spans="1:18" ht="5.4" customHeight="1" x14ac:dyDescent="0.3">
      <c r="A128" s="82"/>
      <c r="B128" s="81"/>
      <c r="C128" s="81"/>
      <c r="D128" s="82"/>
      <c r="E128" s="86"/>
      <c r="F128" s="86"/>
      <c r="G128" s="86"/>
      <c r="H128" s="86"/>
      <c r="I128" s="86"/>
      <c r="J128" s="86"/>
      <c r="K128" s="86"/>
      <c r="L128" s="86"/>
      <c r="M128" s="122"/>
      <c r="N128" s="86">
        <f t="shared" si="5"/>
        <v>0</v>
      </c>
      <c r="O128" s="81"/>
      <c r="P128" s="81"/>
      <c r="Q128" s="81"/>
      <c r="R128" s="81"/>
    </row>
    <row r="129" spans="1:18" x14ac:dyDescent="0.3">
      <c r="A129" s="4">
        <f>A112+A127</f>
        <v>0</v>
      </c>
      <c r="B129" s="4">
        <f>B112+B127</f>
        <v>0</v>
      </c>
      <c r="C129" s="4">
        <f t="shared" ref="C129:N129" si="12">C112+C127</f>
        <v>0</v>
      </c>
      <c r="D129" s="4">
        <f t="shared" si="12"/>
        <v>0</v>
      </c>
      <c r="E129" s="4">
        <f t="shared" si="12"/>
        <v>-9288.9</v>
      </c>
      <c r="F129" s="4">
        <f t="shared" si="12"/>
        <v>-9288.9</v>
      </c>
      <c r="G129" s="4">
        <f>G112+G127</f>
        <v>-9288.9</v>
      </c>
      <c r="H129" s="4" t="e">
        <f t="shared" si="12"/>
        <v>#REF!</v>
      </c>
      <c r="I129" s="4">
        <f t="shared" si="12"/>
        <v>0</v>
      </c>
      <c r="J129" s="4">
        <f t="shared" si="12"/>
        <v>0</v>
      </c>
      <c r="K129" s="4">
        <f t="shared" si="12"/>
        <v>0</v>
      </c>
      <c r="L129" s="4">
        <f t="shared" si="12"/>
        <v>0</v>
      </c>
      <c r="M129" s="13" t="s">
        <v>186</v>
      </c>
      <c r="N129" s="4" t="e">
        <f t="shared" si="12"/>
        <v>#REF!</v>
      </c>
      <c r="O129" s="4"/>
      <c r="P129" s="4"/>
      <c r="Q129" s="4"/>
      <c r="R129" s="4"/>
    </row>
    <row r="130" spans="1:18" ht="5.4" customHeight="1" x14ac:dyDescent="0.3">
      <c r="A130" s="81"/>
      <c r="B130" s="81"/>
      <c r="C130" s="81"/>
      <c r="D130" s="82"/>
      <c r="E130" s="81"/>
      <c r="F130" s="81"/>
      <c r="G130" s="81"/>
      <c r="H130" s="81"/>
      <c r="I130" s="81"/>
      <c r="J130" s="81"/>
      <c r="K130" s="81"/>
      <c r="L130" s="81"/>
      <c r="M130" s="122"/>
      <c r="N130" s="81">
        <f t="shared" si="5"/>
        <v>0</v>
      </c>
      <c r="O130" s="81"/>
      <c r="P130" s="81"/>
      <c r="Q130" s="81"/>
      <c r="R130" s="81"/>
    </row>
    <row r="131" spans="1:18" x14ac:dyDescent="0.3">
      <c r="A131" s="8">
        <f>'WCLA Consolidated MTEF Budget'!A131-'CC summary'!A131</f>
        <v>0</v>
      </c>
      <c r="B131" s="8">
        <f>'WCLA Consolidated MTEF Budget'!B131-'CC summary'!B131</f>
        <v>31500</v>
      </c>
      <c r="C131" s="8">
        <f>'WCLA Consolidated MTEF Budget'!C131-'CC summary'!C131</f>
        <v>2000</v>
      </c>
      <c r="D131" s="8">
        <f>'WCLA Consolidated MTEF Budget'!D131-'CC summary'!D131</f>
        <v>0</v>
      </c>
      <c r="E131" s="8">
        <f>'WCLA Consolidated MTEF Budget'!E131-'CC summary'!E131</f>
        <v>10400.000000000015</v>
      </c>
      <c r="F131" s="8">
        <f>'WCLA Consolidated MTEF Budget'!F131-'CC summary'!F131</f>
        <v>-1700</v>
      </c>
      <c r="G131" s="8">
        <f>'WCLA Consolidated MTEF Budget'!G131-'CC summary'!G131</f>
        <v>18250.000000000029</v>
      </c>
      <c r="H131" s="8">
        <f>'WCLA Consolidated MTEF Budget'!H131-'CC summary'!H131</f>
        <v>10300.000000000015</v>
      </c>
      <c r="I131" s="8">
        <f>'WCLA Consolidated MTEF Budget'!I131-'CC summary'!I131</f>
        <v>9100.0000000000146</v>
      </c>
      <c r="J131" s="8">
        <f>'WCLA Consolidated MTEF Budget'!J131-'CC summary'!J131</f>
        <v>-44799.999999999993</v>
      </c>
      <c r="K131" s="8">
        <f>'WCLA Consolidated MTEF Budget'!K131-'CC summary'!K131</f>
        <v>9100.0000000000146</v>
      </c>
      <c r="L131" s="8">
        <f>'WCLA Consolidated MTEF Budget'!L131-'CC summary'!L131</f>
        <v>9100.0000000000146</v>
      </c>
      <c r="M131" s="238" t="s">
        <v>187</v>
      </c>
      <c r="N131" s="8">
        <f>'Budget Report DOCs'!M131-'WCLA Consolidated MTEF Budget'!N131</f>
        <v>0</v>
      </c>
      <c r="O131" s="8">
        <f>'WCLA Consolidated MTEF Budget'!O131-'CC summary'!O131</f>
        <v>-72799.999999999971</v>
      </c>
      <c r="P131" s="8">
        <f>'WCLA Consolidated MTEF Budget'!P131-'CC summary'!P131</f>
        <v>144250</v>
      </c>
      <c r="Q131" s="8">
        <f>'WCLA Consolidated MTEF Budget'!Q131-'CC summary'!Q131</f>
        <v>-368059.5</v>
      </c>
      <c r="R131" s="8"/>
    </row>
    <row r="132" spans="1:18" x14ac:dyDescent="0.3">
      <c r="A132" s="8">
        <f>'WCLA Consolidated MTEF Budget'!A132-'CC summary'!A132</f>
        <v>12426</v>
      </c>
      <c r="B132" s="8">
        <f>'WCLA Consolidated MTEF Budget'!B132-'CC summary'!B132</f>
        <v>1308.0000000000018</v>
      </c>
      <c r="C132" s="8">
        <f>'WCLA Consolidated MTEF Budget'!C132-'CC summary'!C132</f>
        <v>0</v>
      </c>
      <c r="D132" s="8">
        <f>'WCLA Consolidated MTEF Budget'!D132-'CC summary'!D132</f>
        <v>0</v>
      </c>
      <c r="E132" s="8">
        <f>'WCLA Consolidated MTEF Budget'!E132-'CC summary'!E132</f>
        <v>1526</v>
      </c>
      <c r="F132" s="8">
        <f>'WCLA Consolidated MTEF Budget'!F132-'CC summary'!F132</f>
        <v>750</v>
      </c>
      <c r="G132" s="8">
        <f>'WCLA Consolidated MTEF Budget'!G132-'CC summary'!G132</f>
        <v>654.00000000000091</v>
      </c>
      <c r="H132" s="8">
        <f>'WCLA Consolidated MTEF Budget'!H132-'CC summary'!H132</f>
        <v>654.00000000000091</v>
      </c>
      <c r="I132" s="8">
        <f>'WCLA Consolidated MTEF Budget'!I132-'CC summary'!I132</f>
        <v>0</v>
      </c>
      <c r="J132" s="8">
        <f>'WCLA Consolidated MTEF Budget'!J132-'CC summary'!J132</f>
        <v>411358.75000000006</v>
      </c>
      <c r="K132" s="8">
        <f>'WCLA Consolidated MTEF Budget'!K132-'CC summary'!K132</f>
        <v>550000</v>
      </c>
      <c r="L132" s="8">
        <f>'WCLA Consolidated MTEF Budget'!L132-'CC summary'!L132</f>
        <v>550000</v>
      </c>
      <c r="M132" s="13" t="s">
        <v>188</v>
      </c>
      <c r="N132" s="7">
        <f>'Budget Report DOCs'!M132-'WCLA Consolidated MTEF Budget'!N132</f>
        <v>0</v>
      </c>
      <c r="O132" s="8">
        <f>'WCLA Consolidated MTEF Budget'!O132-'CC summary'!O132</f>
        <v>1100000</v>
      </c>
      <c r="P132" s="8">
        <f>'WCLA Consolidated MTEF Budget'!P132-'CC summary'!P132</f>
        <v>1528676.75</v>
      </c>
      <c r="Q132" s="8">
        <f>'WCLA Consolidated MTEF Budget'!Q132-'CC summary'!Q132</f>
        <v>257622.88199999998</v>
      </c>
      <c r="R132" s="7"/>
    </row>
    <row r="133" spans="1:18" x14ac:dyDescent="0.3">
      <c r="A133" s="8">
        <f>'WCLA Consolidated MTEF Budget'!A133-'CC summary'!A133</f>
        <v>273.00000000000045</v>
      </c>
      <c r="B133" s="8">
        <f>'WCLA Consolidated MTEF Budget'!B133-'CC summary'!B133</f>
        <v>0</v>
      </c>
      <c r="C133" s="8">
        <f>'WCLA Consolidated MTEF Budget'!C133-'CC summary'!C133</f>
        <v>0</v>
      </c>
      <c r="D133" s="8">
        <f>'WCLA Consolidated MTEF Budget'!D133-'CC summary'!D133</f>
        <v>0</v>
      </c>
      <c r="E133" s="8">
        <f>'WCLA Consolidated MTEF Budget'!E133-'CC summary'!E133</f>
        <v>218</v>
      </c>
      <c r="F133" s="8">
        <f>'WCLA Consolidated MTEF Budget'!F133-'CC summary'!F133</f>
        <v>0</v>
      </c>
      <c r="G133" s="8">
        <f>'WCLA Consolidated MTEF Budget'!G133-'CC summary'!G133</f>
        <v>354.50000000000045</v>
      </c>
      <c r="H133" s="8">
        <f>'WCLA Consolidated MTEF Budget'!H133-'CC summary'!H133</f>
        <v>0</v>
      </c>
      <c r="I133" s="8">
        <f>'WCLA Consolidated MTEF Budget'!I133-'CC summary'!I133</f>
        <v>218</v>
      </c>
      <c r="J133" s="8">
        <f>'WCLA Consolidated MTEF Budget'!J133-'CC summary'!J133</f>
        <v>-2180</v>
      </c>
      <c r="K133" s="8">
        <f>'WCLA Consolidated MTEF Budget'!K133-'CC summary'!K133</f>
        <v>218</v>
      </c>
      <c r="L133" s="8">
        <f>'WCLA Consolidated MTEF Budget'!L133-'CC summary'!L133</f>
        <v>218</v>
      </c>
      <c r="M133" s="13" t="s">
        <v>189</v>
      </c>
      <c r="N133" s="7">
        <f>'Budget Report DOCs'!M133-'WCLA Consolidated MTEF Budget'!N133</f>
        <v>0</v>
      </c>
      <c r="O133" s="8">
        <f>'WCLA Consolidated MTEF Budget'!O133-'CC summary'!O133</f>
        <v>-1744</v>
      </c>
      <c r="P133" s="8">
        <f>'WCLA Consolidated MTEF Budget'!P133-'CC summary'!P133</f>
        <v>1499.5</v>
      </c>
      <c r="Q133" s="8">
        <f>'WCLA Consolidated MTEF Budget'!Q133-'CC summary'!Q133</f>
        <v>13224.5</v>
      </c>
      <c r="R133" s="7"/>
    </row>
    <row r="134" spans="1:18" x14ac:dyDescent="0.3">
      <c r="A134" s="8">
        <f>'WCLA Consolidated MTEF Budget'!A134-'CC summary'!A134</f>
        <v>9625.0000000000146</v>
      </c>
      <c r="B134" s="8">
        <f>'WCLA Consolidated MTEF Budget'!B134-'CC summary'!B134</f>
        <v>15284.5</v>
      </c>
      <c r="C134" s="8">
        <f>'WCLA Consolidated MTEF Budget'!C134-'CC summary'!C134</f>
        <v>3503.5</v>
      </c>
      <c r="D134" s="8">
        <f>'WCLA Consolidated MTEF Budget'!D134-'CC summary'!D134</f>
        <v>4273.5000000000073</v>
      </c>
      <c r="E134" s="8">
        <f>'WCLA Consolidated MTEF Budget'!E134-'CC summary'!E134</f>
        <v>12281.5</v>
      </c>
      <c r="F134" s="8">
        <f>'WCLA Consolidated MTEF Budget'!F134-'CC summary'!F134</f>
        <v>19057.500000000029</v>
      </c>
      <c r="G134" s="8">
        <f>'WCLA Consolidated MTEF Budget'!G134-'CC summary'!G134</f>
        <v>11627.000000000015</v>
      </c>
      <c r="H134" s="8">
        <f>'WCLA Consolidated MTEF Budget'!H134-'CC summary'!H134</f>
        <v>19981.500000000029</v>
      </c>
      <c r="I134" s="8">
        <f>'WCLA Consolidated MTEF Budget'!I134-'CC summary'!I134</f>
        <v>11609.000000000015</v>
      </c>
      <c r="J134" s="8">
        <f>'WCLA Consolidated MTEF Budget'!J134-'CC summary'!J134</f>
        <v>-11397.499999999985</v>
      </c>
      <c r="K134" s="8">
        <f>'WCLA Consolidated MTEF Budget'!K134-'CC summary'!K134</f>
        <v>11609.000000000015</v>
      </c>
      <c r="L134" s="8">
        <f>'WCLA Consolidated MTEF Budget'!L134-'CC summary'!L134</f>
        <v>11609.000000000015</v>
      </c>
      <c r="M134" s="238" t="s">
        <v>190</v>
      </c>
      <c r="N134" s="7">
        <f>'Budget Report DOCs'!M134-'WCLA Consolidated MTEF Budget'!N134</f>
        <v>0</v>
      </c>
      <c r="O134" s="8">
        <f>'WCLA Consolidated MTEF Budget'!O134-'CC summary'!O134</f>
        <v>-92871.999999999971</v>
      </c>
      <c r="P134" s="8">
        <f>'WCLA Consolidated MTEF Budget'!P134-'CC summary'!P134</f>
        <v>235153.5</v>
      </c>
      <c r="Q134" s="8">
        <f>'WCLA Consolidated MTEF Budget'!Q134-'CC summary'!Q134</f>
        <v>552250.74999999988</v>
      </c>
      <c r="R134" s="7"/>
    </row>
    <row r="135" spans="1:18" x14ac:dyDescent="0.3">
      <c r="A135" s="8">
        <f>'WCLA Consolidated MTEF Budget'!A135-'CC summary'!A135</f>
        <v>0</v>
      </c>
      <c r="B135" s="8">
        <f>'WCLA Consolidated MTEF Budget'!B135-'CC summary'!B135</f>
        <v>0</v>
      </c>
      <c r="C135" s="8">
        <f>'WCLA Consolidated MTEF Budget'!C135-'CC summary'!C135</f>
        <v>0</v>
      </c>
      <c r="D135" s="8">
        <f>'WCLA Consolidated MTEF Budget'!D135-'CC summary'!D135</f>
        <v>0</v>
      </c>
      <c r="E135" s="8">
        <f>'WCLA Consolidated MTEF Budget'!E135-'CC summary'!E135</f>
        <v>0</v>
      </c>
      <c r="F135" s="8">
        <f>'WCLA Consolidated MTEF Budget'!F135-'CC summary'!F135</f>
        <v>0</v>
      </c>
      <c r="G135" s="8">
        <f>'WCLA Consolidated MTEF Budget'!G135-'CC summary'!G135</f>
        <v>0</v>
      </c>
      <c r="H135" s="8">
        <f>'WCLA Consolidated MTEF Budget'!H135-'CC summary'!H135</f>
        <v>0</v>
      </c>
      <c r="I135" s="8">
        <f>'WCLA Consolidated MTEF Budget'!I135-'CC summary'!I135</f>
        <v>0</v>
      </c>
      <c r="J135" s="8">
        <f>'WCLA Consolidated MTEF Budget'!J135-'CC summary'!J135</f>
        <v>0</v>
      </c>
      <c r="K135" s="8">
        <f>'WCLA Consolidated MTEF Budget'!K135-'CC summary'!K135</f>
        <v>0</v>
      </c>
      <c r="L135" s="8">
        <f>'WCLA Consolidated MTEF Budget'!L135-'CC summary'!L135</f>
        <v>0</v>
      </c>
      <c r="M135" s="13" t="s">
        <v>191</v>
      </c>
      <c r="N135" s="7">
        <f>'Budget Report DOCs'!M135-'WCLA Consolidated MTEF Budget'!N135</f>
        <v>0</v>
      </c>
      <c r="O135" s="8">
        <f>'WCLA Consolidated MTEF Budget'!O135-'CC summary'!O135</f>
        <v>0</v>
      </c>
      <c r="P135" s="8">
        <f>'WCLA Consolidated MTEF Budget'!P135-'CC summary'!P135</f>
        <v>0</v>
      </c>
      <c r="Q135" s="8">
        <f>'WCLA Consolidated MTEF Budget'!Q135-'CC summary'!Q135</f>
        <v>-30629.000000000004</v>
      </c>
      <c r="R135" s="7"/>
    </row>
    <row r="136" spans="1:18" x14ac:dyDescent="0.3">
      <c r="A136" s="8">
        <f>'WCLA Consolidated MTEF Budget'!A136-'CC summary'!A136</f>
        <v>133.00000000000023</v>
      </c>
      <c r="B136" s="8">
        <f>'WCLA Consolidated MTEF Budget'!B136-'CC summary'!B136</f>
        <v>419</v>
      </c>
      <c r="C136" s="8">
        <f>'WCLA Consolidated MTEF Budget'!C136-'CC summary'!C136</f>
        <v>356.58000000000038</v>
      </c>
      <c r="D136" s="8">
        <f>'WCLA Consolidated MTEF Budget'!D136-'CC summary'!D136</f>
        <v>506</v>
      </c>
      <c r="E136" s="8">
        <f>'WCLA Consolidated MTEF Budget'!E136-'CC summary'!E136</f>
        <v>484</v>
      </c>
      <c r="F136" s="8">
        <f>'WCLA Consolidated MTEF Budget'!F136-'CC summary'!F136</f>
        <v>319.00000000000045</v>
      </c>
      <c r="G136" s="8">
        <f>'WCLA Consolidated MTEF Budget'!G136-'CC summary'!G136</f>
        <v>385</v>
      </c>
      <c r="H136" s="8">
        <f>'WCLA Consolidated MTEF Budget'!H136-'CC summary'!H136</f>
        <v>330.00000000000045</v>
      </c>
      <c r="I136" s="8">
        <f>'WCLA Consolidated MTEF Budget'!I136-'CC summary'!I136</f>
        <v>194</v>
      </c>
      <c r="J136" s="8">
        <f>'WCLA Consolidated MTEF Budget'!J136-'CC summary'!J136</f>
        <v>-686</v>
      </c>
      <c r="K136" s="8">
        <f>'WCLA Consolidated MTEF Budget'!K136-'CC summary'!K136</f>
        <v>194</v>
      </c>
      <c r="L136" s="8">
        <f>'WCLA Consolidated MTEF Budget'!L136-'CC summary'!L136</f>
        <v>194</v>
      </c>
      <c r="M136" s="13" t="s">
        <v>192</v>
      </c>
      <c r="N136" s="7">
        <f>'Budget Report DOCs'!M136-'WCLA Consolidated MTEF Budget'!N136</f>
        <v>0</v>
      </c>
      <c r="O136" s="8">
        <f>'WCLA Consolidated MTEF Budget'!O136-'CC summary'!O136</f>
        <v>-1552</v>
      </c>
      <c r="P136" s="8">
        <f>'WCLA Consolidated MTEF Budget'!P136-'CC summary'!P136</f>
        <v>4768.5800000000017</v>
      </c>
      <c r="Q136" s="8">
        <f>'WCLA Consolidated MTEF Budget'!Q136-'CC summary'!Q136</f>
        <v>-23343.769999999997</v>
      </c>
      <c r="R136" s="7"/>
    </row>
    <row r="137" spans="1:18" x14ac:dyDescent="0.3">
      <c r="A137" s="8">
        <f>'WCLA Consolidated MTEF Budget'!A137-'CC summary'!A137</f>
        <v>6820</v>
      </c>
      <c r="B137" s="8">
        <f>'WCLA Consolidated MTEF Budget'!B137-'CC summary'!B137</f>
        <v>10993.500000000015</v>
      </c>
      <c r="C137" s="8">
        <f>'WCLA Consolidated MTEF Budget'!C137-'CC summary'!C137</f>
        <v>10121.500000000015</v>
      </c>
      <c r="D137" s="8">
        <f>'WCLA Consolidated MTEF Budget'!D137-'CC summary'!D137</f>
        <v>10993.500000000015</v>
      </c>
      <c r="E137" s="8">
        <f>'WCLA Consolidated MTEF Budget'!E137-'CC summary'!E137</f>
        <v>13398.5</v>
      </c>
      <c r="F137" s="8">
        <f>'WCLA Consolidated MTEF Budget'!F137-'CC summary'!F137</f>
        <v>10857.000000000015</v>
      </c>
      <c r="G137" s="8">
        <f>'WCLA Consolidated MTEF Budget'!G137-'CC summary'!G137</f>
        <v>7503.5</v>
      </c>
      <c r="H137" s="8">
        <f>'WCLA Consolidated MTEF Budget'!H137-'CC summary'!H137</f>
        <v>8559.5000000000146</v>
      </c>
      <c r="I137" s="8">
        <f>'WCLA Consolidated MTEF Budget'!I137-'CC summary'!I137</f>
        <v>3092.5</v>
      </c>
      <c r="J137" s="8">
        <f>'WCLA Consolidated MTEF Budget'!J137-'CC summary'!J137</f>
        <v>51635.5</v>
      </c>
      <c r="K137" s="8">
        <f>'WCLA Consolidated MTEF Budget'!K137-'CC summary'!K137</f>
        <v>3092.5</v>
      </c>
      <c r="L137" s="8">
        <f>'WCLA Consolidated MTEF Budget'!L137-'CC summary'!L137</f>
        <v>3092.5</v>
      </c>
      <c r="M137" s="238" t="s">
        <v>193</v>
      </c>
      <c r="N137" s="7">
        <f>'Budget Report DOCs'!M137-'WCLA Consolidated MTEF Budget'!N137</f>
        <v>0</v>
      </c>
      <c r="O137" s="8">
        <f>'WCLA Consolidated MTEF Budget'!O137-'CC summary'!O137</f>
        <v>-24740</v>
      </c>
      <c r="P137" s="8">
        <f>'WCLA Consolidated MTEF Budget'!P137-'CC summary'!P137</f>
        <v>171085</v>
      </c>
      <c r="Q137" s="8">
        <f>'WCLA Consolidated MTEF Budget'!Q137-'CC summary'!Q137</f>
        <v>-287334.80000000005</v>
      </c>
      <c r="R137" s="7"/>
    </row>
    <row r="138" spans="1:18" x14ac:dyDescent="0.3">
      <c r="A138" s="8">
        <f>'WCLA Consolidated MTEF Budget'!A138-'CC summary'!A138</f>
        <v>213</v>
      </c>
      <c r="B138" s="8">
        <f>'WCLA Consolidated MTEF Budget'!B138-'CC summary'!B138</f>
        <v>0</v>
      </c>
      <c r="C138" s="8">
        <f>'WCLA Consolidated MTEF Budget'!C138-'CC summary'!C138</f>
        <v>0</v>
      </c>
      <c r="D138" s="8">
        <f>'WCLA Consolidated MTEF Budget'!D138-'CC summary'!D138</f>
        <v>0</v>
      </c>
      <c r="E138" s="8">
        <f>'WCLA Consolidated MTEF Budget'!E138-'CC summary'!E138</f>
        <v>0</v>
      </c>
      <c r="F138" s="8">
        <f>'WCLA Consolidated MTEF Budget'!F138-'CC summary'!F138</f>
        <v>0</v>
      </c>
      <c r="G138" s="8">
        <f>'WCLA Consolidated MTEF Budget'!G138-'CC summary'!G138</f>
        <v>0</v>
      </c>
      <c r="H138" s="8">
        <f>'WCLA Consolidated MTEF Budget'!H138-'CC summary'!H138</f>
        <v>0</v>
      </c>
      <c r="I138" s="8">
        <f>'WCLA Consolidated MTEF Budget'!I138-'CC summary'!I138</f>
        <v>0</v>
      </c>
      <c r="J138" s="8">
        <f>'WCLA Consolidated MTEF Budget'!J138-'CC summary'!J138</f>
        <v>0</v>
      </c>
      <c r="K138" s="8">
        <f>'WCLA Consolidated MTEF Budget'!K138-'CC summary'!K138</f>
        <v>0</v>
      </c>
      <c r="L138" s="8">
        <f>'WCLA Consolidated MTEF Budget'!L138-'CC summary'!L138</f>
        <v>0</v>
      </c>
      <c r="M138" s="13" t="s">
        <v>194</v>
      </c>
      <c r="N138" s="7">
        <f>'Budget Report DOCs'!M138-'WCLA Consolidated MTEF Budget'!N138</f>
        <v>0</v>
      </c>
      <c r="O138" s="8">
        <f>'WCLA Consolidated MTEF Budget'!O138-'CC summary'!O138</f>
        <v>0</v>
      </c>
      <c r="P138" s="8">
        <f>'WCLA Consolidated MTEF Budget'!P138-'CC summary'!P138</f>
        <v>213</v>
      </c>
      <c r="Q138" s="8">
        <f>'WCLA Consolidated MTEF Budget'!Q138-'CC summary'!Q138</f>
        <v>2343</v>
      </c>
      <c r="R138" s="7"/>
    </row>
    <row r="139" spans="1:18" x14ac:dyDescent="0.3">
      <c r="A139" s="8">
        <f>'WCLA Consolidated MTEF Budget'!A139-'CC summary'!A139</f>
        <v>136.50000000000023</v>
      </c>
      <c r="B139" s="8">
        <f>'WCLA Consolidated MTEF Budget'!B139-'CC summary'!B139</f>
        <v>355.00000000000045</v>
      </c>
      <c r="C139" s="8">
        <f>'WCLA Consolidated MTEF Budget'!C139-'CC summary'!C139</f>
        <v>491</v>
      </c>
      <c r="D139" s="8">
        <f>'WCLA Consolidated MTEF Budget'!D139-'CC summary'!D139</f>
        <v>6</v>
      </c>
      <c r="E139" s="8">
        <f>'WCLA Consolidated MTEF Budget'!E139-'CC summary'!E139</f>
        <v>213</v>
      </c>
      <c r="F139" s="8">
        <f>'WCLA Consolidated MTEF Budget'!F139-'CC summary'!F139</f>
        <v>115.5</v>
      </c>
      <c r="G139" s="8">
        <f>'WCLA Consolidated MTEF Budget'!G139-'CC summary'!G139</f>
        <v>71.000000000000114</v>
      </c>
      <c r="H139" s="8">
        <f>'WCLA Consolidated MTEF Budget'!H139-'CC summary'!H139</f>
        <v>284.00000000000045</v>
      </c>
      <c r="I139" s="8">
        <f>'WCLA Consolidated MTEF Budget'!I139-'CC summary'!I139</f>
        <v>221</v>
      </c>
      <c r="J139" s="8">
        <f>'WCLA Consolidated MTEF Budget'!J139-'CC summary'!J139</f>
        <v>1876.5000000000005</v>
      </c>
      <c r="K139" s="8">
        <f>'WCLA Consolidated MTEF Budget'!K139-'CC summary'!K139</f>
        <v>221</v>
      </c>
      <c r="L139" s="8">
        <f>'WCLA Consolidated MTEF Budget'!L139-'CC summary'!L139</f>
        <v>221</v>
      </c>
      <c r="M139" s="13" t="s">
        <v>195</v>
      </c>
      <c r="N139" s="7">
        <f>'Budget Report DOCs'!M139-'WCLA Consolidated MTEF Budget'!N139</f>
        <v>0</v>
      </c>
      <c r="O139" s="8">
        <f>'WCLA Consolidated MTEF Budget'!O139-'CC summary'!O139</f>
        <v>-1768</v>
      </c>
      <c r="P139" s="8">
        <f>'WCLA Consolidated MTEF Budget'!P139-'CC summary'!P139</f>
        <v>6421.5</v>
      </c>
      <c r="Q139" s="8">
        <f>'WCLA Consolidated MTEF Budget'!Q139-'CC summary'!Q139</f>
        <v>-7223.1000000000058</v>
      </c>
      <c r="R139" s="7"/>
    </row>
    <row r="140" spans="1:18" x14ac:dyDescent="0.3">
      <c r="A140" s="8">
        <f>'WCLA Consolidated MTEF Budget'!A140-'CC summary'!A140</f>
        <v>1043.0000000000018</v>
      </c>
      <c r="B140" s="8">
        <f>'WCLA Consolidated MTEF Budget'!B140-'CC summary'!B140</f>
        <v>409.5</v>
      </c>
      <c r="C140" s="8">
        <f>'WCLA Consolidated MTEF Budget'!C140-'CC summary'!C140</f>
        <v>136.50000000000023</v>
      </c>
      <c r="D140" s="8">
        <f>'WCLA Consolidated MTEF Budget'!D140-'CC summary'!D140</f>
        <v>0</v>
      </c>
      <c r="E140" s="8">
        <f>'WCLA Consolidated MTEF Budget'!E140-'CC summary'!E140</f>
        <v>682.50000000000091</v>
      </c>
      <c r="F140" s="8">
        <f>'WCLA Consolidated MTEF Budget'!F140-'CC summary'!F140</f>
        <v>136.50000000000023</v>
      </c>
      <c r="G140" s="8">
        <f>'WCLA Consolidated MTEF Budget'!G140-'CC summary'!G140</f>
        <v>782.5</v>
      </c>
      <c r="H140" s="8">
        <f>'WCLA Consolidated MTEF Budget'!H140-'CC summary'!H140</f>
        <v>100</v>
      </c>
      <c r="I140" s="8">
        <f>'WCLA Consolidated MTEF Budget'!I140-'CC summary'!I140</f>
        <v>553.00000000000091</v>
      </c>
      <c r="J140" s="8">
        <f>'WCLA Consolidated MTEF Budget'!J140-'CC summary'!J140</f>
        <v>-2526.9999999999995</v>
      </c>
      <c r="K140" s="8">
        <f>'WCLA Consolidated MTEF Budget'!K140-'CC summary'!K140</f>
        <v>553.00000000000091</v>
      </c>
      <c r="L140" s="8">
        <f>'WCLA Consolidated MTEF Budget'!L140-'CC summary'!L140</f>
        <v>553.00000000000091</v>
      </c>
      <c r="M140" s="238" t="s">
        <v>196</v>
      </c>
      <c r="N140" s="7">
        <f>'Budget Report DOCs'!M140-'WCLA Consolidated MTEF Budget'!N140</f>
        <v>0</v>
      </c>
      <c r="O140" s="8">
        <f>'WCLA Consolidated MTEF Budget'!O140-'CC summary'!O140</f>
        <v>-4423.9999999999982</v>
      </c>
      <c r="P140" s="8">
        <f>'WCLA Consolidated MTEF Budget'!P140-'CC summary'!P140</f>
        <v>7952.5</v>
      </c>
      <c r="Q140" s="8">
        <f>'WCLA Consolidated MTEF Budget'!Q140-'CC summary'!Q140</f>
        <v>26894.799999999999</v>
      </c>
      <c r="R140" s="7"/>
    </row>
    <row r="141" spans="1:18" x14ac:dyDescent="0.3">
      <c r="A141" s="8">
        <f>'WCLA Consolidated MTEF Budget'!A141-'CC summary'!A141</f>
        <v>1426.0000000000018</v>
      </c>
      <c r="B141" s="8">
        <f>'WCLA Consolidated MTEF Budget'!B141-'CC summary'!B141</f>
        <v>1694</v>
      </c>
      <c r="C141" s="8">
        <f>'WCLA Consolidated MTEF Budget'!C141-'CC summary'!C141</f>
        <v>1809.5</v>
      </c>
      <c r="D141" s="8">
        <f>'WCLA Consolidated MTEF Budget'!D141-'CC summary'!D141</f>
        <v>1347.5000000000018</v>
      </c>
      <c r="E141" s="8">
        <f>'WCLA Consolidated MTEF Budget'!E141-'CC summary'!E141</f>
        <v>2002</v>
      </c>
      <c r="F141" s="8">
        <f>'WCLA Consolidated MTEF Budget'!F141-'CC summary'!F141</f>
        <v>1568</v>
      </c>
      <c r="G141" s="8">
        <f>'WCLA Consolidated MTEF Budget'!G141-'CC summary'!G141</f>
        <v>1347.5000000000018</v>
      </c>
      <c r="H141" s="8">
        <f>'WCLA Consolidated MTEF Budget'!H141-'CC summary'!H141</f>
        <v>1732.5</v>
      </c>
      <c r="I141" s="8">
        <f>'WCLA Consolidated MTEF Budget'!I141-'CC summary'!I141</f>
        <v>1456.0000000000018</v>
      </c>
      <c r="J141" s="8">
        <f>'WCLA Consolidated MTEF Budget'!J141-'CC summary'!J141</f>
        <v>-4825</v>
      </c>
      <c r="K141" s="8">
        <f>'WCLA Consolidated MTEF Budget'!K141-'CC summary'!K141</f>
        <v>1456.0000000000018</v>
      </c>
      <c r="L141" s="8">
        <f>'WCLA Consolidated MTEF Budget'!L141-'CC summary'!L141</f>
        <v>1456.0000000000018</v>
      </c>
      <c r="M141" s="13" t="s">
        <v>197</v>
      </c>
      <c r="N141" s="7">
        <f>'Budget Report DOCs'!M141-'WCLA Consolidated MTEF Budget'!N141</f>
        <v>0</v>
      </c>
      <c r="O141" s="8">
        <f>'WCLA Consolidated MTEF Budget'!O141-'CC summary'!O141</f>
        <v>-11647.999999999996</v>
      </c>
      <c r="P141" s="8">
        <f>'WCLA Consolidated MTEF Budget'!P141-'CC summary'!P141</f>
        <v>27030</v>
      </c>
      <c r="Q141" s="8">
        <f>'WCLA Consolidated MTEF Budget'!Q141-'CC summary'!Q141</f>
        <v>49821.599999999977</v>
      </c>
      <c r="R141" s="7"/>
    </row>
    <row r="142" spans="1:18" x14ac:dyDescent="0.3">
      <c r="A142" s="8">
        <f>'WCLA Consolidated MTEF Budget'!A142-'CC summary'!A142</f>
        <v>185.00000000000023</v>
      </c>
      <c r="B142" s="8">
        <f>'WCLA Consolidated MTEF Budget'!B142-'CC summary'!B142</f>
        <v>1349.0000000000018</v>
      </c>
      <c r="C142" s="8">
        <f>'WCLA Consolidated MTEF Budget'!C142-'CC summary'!C142</f>
        <v>1633</v>
      </c>
      <c r="D142" s="8">
        <f>'WCLA Consolidated MTEF Budget'!D142-'CC summary'!D142</f>
        <v>1704</v>
      </c>
      <c r="E142" s="8">
        <f>'WCLA Consolidated MTEF Budget'!E142-'CC summary'!E142</f>
        <v>2911.0000000000036</v>
      </c>
      <c r="F142" s="8">
        <f>'WCLA Consolidated MTEF Budget'!F142-'CC summary'!F142</f>
        <v>2769.0000000000036</v>
      </c>
      <c r="G142" s="8">
        <f>'WCLA Consolidated MTEF Budget'!G142-'CC summary'!G142</f>
        <v>2343.0000000000036</v>
      </c>
      <c r="H142" s="8">
        <f>'WCLA Consolidated MTEF Budget'!H142-'CC summary'!H142</f>
        <v>1846</v>
      </c>
      <c r="I142" s="8">
        <f>'WCLA Consolidated MTEF Budget'!I142-'CC summary'!I142</f>
        <v>1350.0000000000018</v>
      </c>
      <c r="J142" s="8">
        <f>'WCLA Consolidated MTEF Budget'!J142-'CC summary'!J142</f>
        <v>-4425</v>
      </c>
      <c r="K142" s="8">
        <f>'WCLA Consolidated MTEF Budget'!K142-'CC summary'!K142</f>
        <v>1350.0000000000018</v>
      </c>
      <c r="L142" s="8">
        <f>'WCLA Consolidated MTEF Budget'!L142-'CC summary'!L142</f>
        <v>1350.0000000000018</v>
      </c>
      <c r="M142" s="13" t="s">
        <v>198</v>
      </c>
      <c r="N142" s="7">
        <f>'Budget Report DOCs'!M142-'WCLA Consolidated MTEF Budget'!N142</f>
        <v>0</v>
      </c>
      <c r="O142" s="8">
        <f>'WCLA Consolidated MTEF Budget'!O142-'CC summary'!O142</f>
        <v>-10799.999999999996</v>
      </c>
      <c r="P142" s="8">
        <f>'WCLA Consolidated MTEF Budget'!P142-'CC summary'!P142</f>
        <v>27865</v>
      </c>
      <c r="Q142" s="8">
        <f>'WCLA Consolidated MTEF Budget'!Q142-'CC summary'!Q142</f>
        <v>85815.2</v>
      </c>
      <c r="R142" s="7"/>
    </row>
    <row r="143" spans="1:18" x14ac:dyDescent="0.3">
      <c r="A143" s="8">
        <f>'WCLA Consolidated MTEF Budget'!A143-'CC summary'!A143</f>
        <v>142.00000000000023</v>
      </c>
      <c r="B143" s="8">
        <f>'WCLA Consolidated MTEF Budget'!B143-'CC summary'!B143</f>
        <v>347.00000000000045</v>
      </c>
      <c r="C143" s="8">
        <f>'WCLA Consolidated MTEF Budget'!C143-'CC summary'!C143</f>
        <v>115</v>
      </c>
      <c r="D143" s="8">
        <f>'WCLA Consolidated MTEF Budget'!D143-'CC summary'!D143</f>
        <v>228</v>
      </c>
      <c r="E143" s="8">
        <f>'WCLA Consolidated MTEF Budget'!E143-'CC summary'!E143</f>
        <v>185.00000000000023</v>
      </c>
      <c r="F143" s="8">
        <f>'WCLA Consolidated MTEF Budget'!F143-'CC summary'!F143</f>
        <v>88.000000000000114</v>
      </c>
      <c r="G143" s="8">
        <f>'WCLA Consolidated MTEF Budget'!G143-'CC summary'!G143</f>
        <v>153.00000000000023</v>
      </c>
      <c r="H143" s="8">
        <f>'WCLA Consolidated MTEF Budget'!H143-'CC summary'!H143</f>
        <v>301.00000000000045</v>
      </c>
      <c r="I143" s="8">
        <f>'WCLA Consolidated MTEF Budget'!I143-'CC summary'!I143</f>
        <v>23.000000000000028</v>
      </c>
      <c r="J143" s="8">
        <f>'WCLA Consolidated MTEF Budget'!J143-'CC summary'!J143</f>
        <v>5028</v>
      </c>
      <c r="K143" s="8">
        <f>'WCLA Consolidated MTEF Budget'!K143-'CC summary'!K143</f>
        <v>23.000000000000028</v>
      </c>
      <c r="L143" s="8">
        <f>'WCLA Consolidated MTEF Budget'!L143-'CC summary'!L143</f>
        <v>23.000000000000028</v>
      </c>
      <c r="M143" s="238" t="s">
        <v>199</v>
      </c>
      <c r="N143" s="7">
        <f>'Budget Report DOCs'!M143-'WCLA Consolidated MTEF Budget'!N143</f>
        <v>0</v>
      </c>
      <c r="O143" s="8">
        <f>'WCLA Consolidated MTEF Budget'!O143-'CC summary'!O143</f>
        <v>-183.99999999999994</v>
      </c>
      <c r="P143" s="8">
        <f>'WCLA Consolidated MTEF Budget'!P143-'CC summary'!P143</f>
        <v>6886</v>
      </c>
      <c r="Q143" s="8">
        <f>'WCLA Consolidated MTEF Budget'!Q143-'CC summary'!Q143</f>
        <v>47.099999999998545</v>
      </c>
      <c r="R143" s="7"/>
    </row>
    <row r="144" spans="1:18" x14ac:dyDescent="0.3">
      <c r="A144" s="8">
        <f>'WCLA Consolidated MTEF Budget'!A144-'CC summary'!A144</f>
        <v>966</v>
      </c>
      <c r="B144" s="8">
        <f>'WCLA Consolidated MTEF Budget'!B144-'CC summary'!B144</f>
        <v>213</v>
      </c>
      <c r="C144" s="8">
        <f>'WCLA Consolidated MTEF Budget'!C144-'CC summary'!C144</f>
        <v>426</v>
      </c>
      <c r="D144" s="8">
        <f>'WCLA Consolidated MTEF Budget'!D144-'CC summary'!D144</f>
        <v>142.00000000000023</v>
      </c>
      <c r="E144" s="8">
        <f>'WCLA Consolidated MTEF Budget'!E144-'CC summary'!E144</f>
        <v>71.000000000000114</v>
      </c>
      <c r="F144" s="8">
        <f>'WCLA Consolidated MTEF Budget'!F144-'CC summary'!F144</f>
        <v>142.00000000000023</v>
      </c>
      <c r="G144" s="8">
        <f>'WCLA Consolidated MTEF Budget'!G144-'CC summary'!G144</f>
        <v>355.00000000000045</v>
      </c>
      <c r="H144" s="8">
        <f>'WCLA Consolidated MTEF Budget'!H144-'CC summary'!H144</f>
        <v>213</v>
      </c>
      <c r="I144" s="8">
        <f>'WCLA Consolidated MTEF Budget'!I144-'CC summary'!I144</f>
        <v>300.00000000000045</v>
      </c>
      <c r="J144" s="8">
        <f>'WCLA Consolidated MTEF Budget'!J144-'CC summary'!J144</f>
        <v>-3000</v>
      </c>
      <c r="K144" s="8">
        <f>'WCLA Consolidated MTEF Budget'!K144-'CC summary'!K144</f>
        <v>300.00000000000045</v>
      </c>
      <c r="L144" s="8">
        <f>'WCLA Consolidated MTEF Budget'!L144-'CC summary'!L144</f>
        <v>300.00000000000045</v>
      </c>
      <c r="M144" s="13" t="s">
        <v>200</v>
      </c>
      <c r="N144" s="7">
        <f>'Budget Report DOCs'!M144-'WCLA Consolidated MTEF Budget'!N144</f>
        <v>0</v>
      </c>
      <c r="O144" s="8">
        <f>'WCLA Consolidated MTEF Budget'!O144-'CC summary'!O144</f>
        <v>-2399.9999999999991</v>
      </c>
      <c r="P144" s="8">
        <f>'WCLA Consolidated MTEF Budget'!P144-'CC summary'!P144</f>
        <v>3428</v>
      </c>
      <c r="Q144" s="8">
        <f>'WCLA Consolidated MTEF Budget'!Q144-'CC summary'!Q144</f>
        <v>33260.800000000003</v>
      </c>
      <c r="R144" s="7"/>
    </row>
    <row r="145" spans="1:18" x14ac:dyDescent="0.3">
      <c r="A145" s="8">
        <f>'WCLA Consolidated MTEF Budget'!A145-'CC summary'!A145</f>
        <v>355.00000000000045</v>
      </c>
      <c r="B145" s="8">
        <f>'WCLA Consolidated MTEF Budget'!B145-'CC summary'!B145</f>
        <v>1655.5</v>
      </c>
      <c r="C145" s="8">
        <f>'WCLA Consolidated MTEF Budget'!C145-'CC summary'!C145</f>
        <v>1463.0000000000018</v>
      </c>
      <c r="D145" s="8">
        <f>'WCLA Consolidated MTEF Budget'!D145-'CC summary'!D145</f>
        <v>1232.0000000000018</v>
      </c>
      <c r="E145" s="8">
        <f>'WCLA Consolidated MTEF Budget'!E145-'CC summary'!E145</f>
        <v>1732.5</v>
      </c>
      <c r="F145" s="8">
        <f>'WCLA Consolidated MTEF Budget'!F145-'CC summary'!F145</f>
        <v>1340.5000000000018</v>
      </c>
      <c r="G145" s="8">
        <f>'WCLA Consolidated MTEF Budget'!G145-'CC summary'!G145</f>
        <v>1193.6000000000004</v>
      </c>
      <c r="H145" s="8">
        <f>'WCLA Consolidated MTEF Budget'!H145-'CC summary'!H145</f>
        <v>1578.5</v>
      </c>
      <c r="I145" s="8">
        <f>'WCLA Consolidated MTEF Budget'!I145-'CC summary'!I145</f>
        <v>1213.0000000000018</v>
      </c>
      <c r="J145" s="8">
        <f>'WCLA Consolidated MTEF Budget'!J145-'CC summary'!J145</f>
        <v>-5067.9999999999991</v>
      </c>
      <c r="K145" s="8">
        <f>'WCLA Consolidated MTEF Budget'!K145-'CC summary'!K145</f>
        <v>1213.0000000000018</v>
      </c>
      <c r="L145" s="8">
        <f>'WCLA Consolidated MTEF Budget'!L145-'CC summary'!L145</f>
        <v>1213.0000000000018</v>
      </c>
      <c r="M145" s="13" t="s">
        <v>201</v>
      </c>
      <c r="N145" s="7">
        <f>'Budget Report DOCs'!M145-'WCLA Consolidated MTEF Budget'!N145</f>
        <v>0</v>
      </c>
      <c r="O145" s="8">
        <f>'WCLA Consolidated MTEF Budget'!O145-'CC summary'!O145</f>
        <v>-9703.9999999999964</v>
      </c>
      <c r="P145" s="8">
        <f>'WCLA Consolidated MTEF Budget'!P145-'CC summary'!P145</f>
        <v>21251.600000000006</v>
      </c>
      <c r="Q145" s="8">
        <f>'WCLA Consolidated MTEF Budget'!Q145-'CC summary'!Q145</f>
        <v>31181.299999999988</v>
      </c>
      <c r="R145" s="7"/>
    </row>
    <row r="146" spans="1:18" x14ac:dyDescent="0.3">
      <c r="A146" s="8">
        <f>'WCLA Consolidated MTEF Budget'!A146-'CC summary'!A146</f>
        <v>0</v>
      </c>
      <c r="B146" s="8">
        <f>'WCLA Consolidated MTEF Budget'!B146-'CC summary'!B146</f>
        <v>639.00000000000091</v>
      </c>
      <c r="C146" s="8">
        <f>'WCLA Consolidated MTEF Budget'!C146-'CC summary'!C146</f>
        <v>568.00000000000091</v>
      </c>
      <c r="D146" s="8">
        <f>'WCLA Consolidated MTEF Budget'!D146-'CC summary'!D146</f>
        <v>639.00000000000091</v>
      </c>
      <c r="E146" s="8">
        <f>'WCLA Consolidated MTEF Budget'!E146-'CC summary'!E146</f>
        <v>3408</v>
      </c>
      <c r="F146" s="8">
        <f>'WCLA Consolidated MTEF Budget'!F146-'CC summary'!F146</f>
        <v>716.00000000000091</v>
      </c>
      <c r="G146" s="8">
        <f>'WCLA Consolidated MTEF Budget'!G146-'CC summary'!G146</f>
        <v>2272.0000000000036</v>
      </c>
      <c r="H146" s="8">
        <f>'WCLA Consolidated MTEF Budget'!H146-'CC summary'!H146</f>
        <v>1065.0000000000018</v>
      </c>
      <c r="I146" s="8">
        <f>'WCLA Consolidated MTEF Budget'!I146-'CC summary'!I146</f>
        <v>600.00000000000091</v>
      </c>
      <c r="J146" s="8">
        <f>'WCLA Consolidated MTEF Budget'!J146-'CC summary'!J146</f>
        <v>-2699.9999999999995</v>
      </c>
      <c r="K146" s="8">
        <f>'WCLA Consolidated MTEF Budget'!K146-'CC summary'!K146</f>
        <v>600.00000000000091</v>
      </c>
      <c r="L146" s="8">
        <f>'WCLA Consolidated MTEF Budget'!L146-'CC summary'!L146</f>
        <v>600.00000000000091</v>
      </c>
      <c r="M146" s="238" t="s">
        <v>202</v>
      </c>
      <c r="N146" s="7">
        <f>'Budget Report DOCs'!M146-'WCLA Consolidated MTEF Budget'!N146</f>
        <v>0</v>
      </c>
      <c r="O146" s="8">
        <f>'WCLA Consolidated MTEF Budget'!O146-'CC summary'!O146</f>
        <v>-4799.9999999999982</v>
      </c>
      <c r="P146" s="8">
        <f>'WCLA Consolidated MTEF Budget'!P146-'CC summary'!P146</f>
        <v>14407</v>
      </c>
      <c r="Q146" s="8">
        <f>'WCLA Consolidated MTEF Budget'!Q146-'CC summary'!Q146</f>
        <v>50779.299999999988</v>
      </c>
      <c r="R146" s="7"/>
    </row>
    <row r="147" spans="1:18" x14ac:dyDescent="0.3">
      <c r="A147" s="8">
        <f>'WCLA Consolidated MTEF Budget'!A147-'CC summary'!A147</f>
        <v>0</v>
      </c>
      <c r="B147" s="8">
        <f>'WCLA Consolidated MTEF Budget'!B147-'CC summary'!B147</f>
        <v>0</v>
      </c>
      <c r="C147" s="8">
        <f>'WCLA Consolidated MTEF Budget'!C147-'CC summary'!C147</f>
        <v>0</v>
      </c>
      <c r="D147" s="8">
        <f>'WCLA Consolidated MTEF Budget'!D147-'CC summary'!D147</f>
        <v>0</v>
      </c>
      <c r="E147" s="8">
        <f>'WCLA Consolidated MTEF Budget'!E147-'CC summary'!E147</f>
        <v>0</v>
      </c>
      <c r="F147" s="8">
        <f>'WCLA Consolidated MTEF Budget'!F147-'CC summary'!F147</f>
        <v>0</v>
      </c>
      <c r="G147" s="8">
        <f>'WCLA Consolidated MTEF Budget'!G147-'CC summary'!G147</f>
        <v>0</v>
      </c>
      <c r="H147" s="8">
        <f>'WCLA Consolidated MTEF Budget'!H147-'CC summary'!H147</f>
        <v>0</v>
      </c>
      <c r="I147" s="8">
        <f>'WCLA Consolidated MTEF Budget'!I147-'CC summary'!I147</f>
        <v>0</v>
      </c>
      <c r="J147" s="8">
        <f>'WCLA Consolidated MTEF Budget'!J147-'CC summary'!J147</f>
        <v>0</v>
      </c>
      <c r="K147" s="8">
        <f>'WCLA Consolidated MTEF Budget'!K147-'CC summary'!K147</f>
        <v>0</v>
      </c>
      <c r="L147" s="8">
        <f>'WCLA Consolidated MTEF Budget'!L147-'CC summary'!L147</f>
        <v>0</v>
      </c>
      <c r="M147" s="13" t="s">
        <v>203</v>
      </c>
      <c r="N147" s="7">
        <f>'Budget Report DOCs'!M147-'WCLA Consolidated MTEF Budget'!N147</f>
        <v>0</v>
      </c>
      <c r="O147" s="8">
        <f>'WCLA Consolidated MTEF Budget'!O147-'CC summary'!O147</f>
        <v>0</v>
      </c>
      <c r="P147" s="8">
        <f>'WCLA Consolidated MTEF Budget'!P147-'CC summary'!P147</f>
        <v>0</v>
      </c>
      <c r="Q147" s="8">
        <f>'WCLA Consolidated MTEF Budget'!Q147-'CC summary'!Q147</f>
        <v>-2098.25</v>
      </c>
      <c r="R147" s="7"/>
    </row>
    <row r="148" spans="1:18" x14ac:dyDescent="0.3">
      <c r="A148" s="8">
        <f>'WCLA Consolidated MTEF Budget'!A148-'CC summary'!A148</f>
        <v>0</v>
      </c>
      <c r="B148" s="8">
        <f>'WCLA Consolidated MTEF Budget'!B148-'CC summary'!B148</f>
        <v>154.00000000000023</v>
      </c>
      <c r="C148" s="8">
        <f>'WCLA Consolidated MTEF Budget'!C148-'CC summary'!C148</f>
        <v>154.00000000000023</v>
      </c>
      <c r="D148" s="8">
        <f>'WCLA Consolidated MTEF Budget'!D148-'CC summary'!D148</f>
        <v>77.000000000000114</v>
      </c>
      <c r="E148" s="8">
        <f>'WCLA Consolidated MTEF Budget'!E148-'CC summary'!E148</f>
        <v>38.500000000000057</v>
      </c>
      <c r="F148" s="8">
        <f>'WCLA Consolidated MTEF Budget'!F148-'CC summary'!F148</f>
        <v>77.000000000000114</v>
      </c>
      <c r="G148" s="8">
        <f>'WCLA Consolidated MTEF Budget'!G148-'CC summary'!G148</f>
        <v>38.500000000000057</v>
      </c>
      <c r="H148" s="8">
        <f>'WCLA Consolidated MTEF Budget'!H148-'CC summary'!H148</f>
        <v>77.000000000000114</v>
      </c>
      <c r="I148" s="8">
        <f>'WCLA Consolidated MTEF Budget'!I148-'CC summary'!I148</f>
        <v>40.500000000000057</v>
      </c>
      <c r="J148" s="8">
        <f>'WCLA Consolidated MTEF Budget'!J148-'CC summary'!J148</f>
        <v>-405</v>
      </c>
      <c r="K148" s="8">
        <f>'WCLA Consolidated MTEF Budget'!K148-'CC summary'!K148</f>
        <v>40.500000000000057</v>
      </c>
      <c r="L148" s="8">
        <f>'WCLA Consolidated MTEF Budget'!L148-'CC summary'!L148</f>
        <v>40.500000000000057</v>
      </c>
      <c r="M148" s="13" t="s">
        <v>204</v>
      </c>
      <c r="N148" s="7">
        <f>'Budget Report DOCs'!M148-'WCLA Consolidated MTEF Budget'!N148</f>
        <v>0</v>
      </c>
      <c r="O148" s="8">
        <f>'WCLA Consolidated MTEF Budget'!O148-'CC summary'!O148</f>
        <v>-323.99999999999989</v>
      </c>
      <c r="P148" s="8">
        <f>'WCLA Consolidated MTEF Budget'!P148-'CC summary'!P148</f>
        <v>737.50000000000091</v>
      </c>
      <c r="Q148" s="8">
        <f>'WCLA Consolidated MTEF Budget'!Q148-'CC summary'!Q148</f>
        <v>1888.6000000000004</v>
      </c>
      <c r="R148" s="7"/>
    </row>
    <row r="149" spans="1:18" x14ac:dyDescent="0.3">
      <c r="A149" s="8">
        <f>'WCLA Consolidated MTEF Budget'!A149-'CC summary'!A149</f>
        <v>0</v>
      </c>
      <c r="B149" s="8">
        <f>'WCLA Consolidated MTEF Budget'!B149-'CC summary'!B149</f>
        <v>0</v>
      </c>
      <c r="C149" s="8">
        <f>'WCLA Consolidated MTEF Budget'!C149-'CC summary'!C149</f>
        <v>0</v>
      </c>
      <c r="D149" s="8">
        <f>'WCLA Consolidated MTEF Budget'!D149-'CC summary'!D149</f>
        <v>0</v>
      </c>
      <c r="E149" s="8">
        <f>'WCLA Consolidated MTEF Budget'!E149-'CC summary'!E149</f>
        <v>38.500000000000057</v>
      </c>
      <c r="F149" s="8">
        <f>'WCLA Consolidated MTEF Budget'!F149-'CC summary'!F149</f>
        <v>0</v>
      </c>
      <c r="G149" s="8">
        <f>'WCLA Consolidated MTEF Budget'!G149-'CC summary'!G149</f>
        <v>0</v>
      </c>
      <c r="H149" s="8">
        <f>'WCLA Consolidated MTEF Budget'!H149-'CC summary'!H149</f>
        <v>0</v>
      </c>
      <c r="I149" s="8">
        <f>'WCLA Consolidated MTEF Budget'!I149-'CC summary'!I149</f>
        <v>38.500000000000057</v>
      </c>
      <c r="J149" s="8">
        <f>'WCLA Consolidated MTEF Budget'!J149-'CC summary'!J149</f>
        <v>60.500000000000057</v>
      </c>
      <c r="K149" s="8">
        <f>'WCLA Consolidated MTEF Budget'!K149-'CC summary'!K149</f>
        <v>38.500000000000057</v>
      </c>
      <c r="L149" s="8">
        <f>'WCLA Consolidated MTEF Budget'!L149-'CC summary'!L149</f>
        <v>38.500000000000057</v>
      </c>
      <c r="M149" s="238" t="s">
        <v>205</v>
      </c>
      <c r="N149" s="7">
        <f>'Budget Report DOCs'!M149-'WCLA Consolidated MTEF Budget'!N149</f>
        <v>0</v>
      </c>
      <c r="O149" s="8">
        <f>'WCLA Consolidated MTEF Budget'!O149-'CC summary'!O149</f>
        <v>-307.99999999999989</v>
      </c>
      <c r="P149" s="8">
        <f>'WCLA Consolidated MTEF Budget'!P149-'CC summary'!P149</f>
        <v>599.50000000000045</v>
      </c>
      <c r="Q149" s="8">
        <f>'WCLA Consolidated MTEF Budget'!Q149-'CC summary'!Q149</f>
        <v>-1304.8999999999996</v>
      </c>
      <c r="R149" s="7"/>
    </row>
    <row r="150" spans="1:18" x14ac:dyDescent="0.3">
      <c r="A150" s="8">
        <f>'WCLA Consolidated MTEF Budget'!A150-'CC summary'!A150</f>
        <v>0</v>
      </c>
      <c r="B150" s="8">
        <f>'WCLA Consolidated MTEF Budget'!B150-'CC summary'!B150</f>
        <v>0</v>
      </c>
      <c r="C150" s="8">
        <f>'WCLA Consolidated MTEF Budget'!C150-'CC summary'!C150</f>
        <v>0</v>
      </c>
      <c r="D150" s="8">
        <f>'WCLA Consolidated MTEF Budget'!D150-'CC summary'!D150</f>
        <v>0</v>
      </c>
      <c r="E150" s="8">
        <f>'WCLA Consolidated MTEF Budget'!E150-'CC summary'!E150</f>
        <v>0</v>
      </c>
      <c r="F150" s="8">
        <f>'WCLA Consolidated MTEF Budget'!F150-'CC summary'!F150</f>
        <v>0</v>
      </c>
      <c r="G150" s="8">
        <f>'WCLA Consolidated MTEF Budget'!G150-'CC summary'!G150</f>
        <v>0</v>
      </c>
      <c r="H150" s="8">
        <f>'WCLA Consolidated MTEF Budget'!H150-'CC summary'!H150</f>
        <v>0</v>
      </c>
      <c r="I150" s="8">
        <f>'WCLA Consolidated MTEF Budget'!I150-'CC summary'!I150</f>
        <v>0</v>
      </c>
      <c r="J150" s="8">
        <f>'WCLA Consolidated MTEF Budget'!J150-'CC summary'!J150</f>
        <v>0</v>
      </c>
      <c r="K150" s="8">
        <f>'WCLA Consolidated MTEF Budget'!K150-'CC summary'!K150</f>
        <v>0</v>
      </c>
      <c r="L150" s="8">
        <f>'WCLA Consolidated MTEF Budget'!L150-'CC summary'!L150</f>
        <v>0</v>
      </c>
      <c r="M150" s="13" t="s">
        <v>206</v>
      </c>
      <c r="N150" s="7">
        <f>'Budget Report DOCs'!M150-'WCLA Consolidated MTEF Budget'!N150</f>
        <v>0</v>
      </c>
      <c r="O150" s="8">
        <f>'WCLA Consolidated MTEF Budget'!O150-'CC summary'!O150</f>
        <v>0</v>
      </c>
      <c r="P150" s="8">
        <f>'WCLA Consolidated MTEF Budget'!P150-'CC summary'!P150</f>
        <v>0</v>
      </c>
      <c r="Q150" s="8">
        <f>'WCLA Consolidated MTEF Budget'!Q150-'CC summary'!Q150</f>
        <v>0</v>
      </c>
      <c r="R150" s="7"/>
    </row>
    <row r="151" spans="1:18" x14ac:dyDescent="0.3">
      <c r="A151" s="8">
        <f>'WCLA Consolidated MTEF Budget'!A151-'CC summary'!A151</f>
        <v>0</v>
      </c>
      <c r="B151" s="8">
        <f>'WCLA Consolidated MTEF Budget'!B151-'CC summary'!B151</f>
        <v>0</v>
      </c>
      <c r="C151" s="8">
        <f>'WCLA Consolidated MTEF Budget'!C151-'CC summary'!C151</f>
        <v>0</v>
      </c>
      <c r="D151" s="8">
        <f>'WCLA Consolidated MTEF Budget'!D151-'CC summary'!D151</f>
        <v>0</v>
      </c>
      <c r="E151" s="8">
        <f>'WCLA Consolidated MTEF Budget'!E151-'CC summary'!E151</f>
        <v>0</v>
      </c>
      <c r="F151" s="8">
        <f>'WCLA Consolidated MTEF Budget'!F151-'CC summary'!F151</f>
        <v>0</v>
      </c>
      <c r="G151" s="8">
        <f>'WCLA Consolidated MTEF Budget'!G151-'CC summary'!G151</f>
        <v>0</v>
      </c>
      <c r="H151" s="8">
        <f>'WCLA Consolidated MTEF Budget'!H151-'CC summary'!H151</f>
        <v>0</v>
      </c>
      <c r="I151" s="8">
        <f>'WCLA Consolidated MTEF Budget'!I151-'CC summary'!I151</f>
        <v>0</v>
      </c>
      <c r="J151" s="8">
        <f>'WCLA Consolidated MTEF Budget'!J151-'CC summary'!J151</f>
        <v>0</v>
      </c>
      <c r="K151" s="8">
        <f>'WCLA Consolidated MTEF Budget'!K151-'CC summary'!K151</f>
        <v>0</v>
      </c>
      <c r="L151" s="8">
        <f>'WCLA Consolidated MTEF Budget'!L151-'CC summary'!L151</f>
        <v>0</v>
      </c>
      <c r="M151" s="13" t="s">
        <v>207</v>
      </c>
      <c r="N151" s="7">
        <f>'Budget Report DOCs'!M151-'WCLA Consolidated MTEF Budget'!N151</f>
        <v>0</v>
      </c>
      <c r="O151" s="8">
        <f>'WCLA Consolidated MTEF Budget'!O151-'CC summary'!O151</f>
        <v>0</v>
      </c>
      <c r="P151" s="8">
        <f>'WCLA Consolidated MTEF Budget'!P151-'CC summary'!P151</f>
        <v>0</v>
      </c>
      <c r="Q151" s="8">
        <f>'WCLA Consolidated MTEF Budget'!Q151-'CC summary'!Q151</f>
        <v>-2321.7000000000003</v>
      </c>
      <c r="R151" s="7"/>
    </row>
    <row r="152" spans="1:18" x14ac:dyDescent="0.3">
      <c r="A152" s="8">
        <f>'WCLA Consolidated MTEF Budget'!A152-'CC summary'!A152</f>
        <v>0</v>
      </c>
      <c r="B152" s="8">
        <f>'WCLA Consolidated MTEF Budget'!B152-'CC summary'!B152</f>
        <v>0</v>
      </c>
      <c r="C152" s="8">
        <f>'WCLA Consolidated MTEF Budget'!C152-'CC summary'!C152</f>
        <v>0</v>
      </c>
      <c r="D152" s="8">
        <f>'WCLA Consolidated MTEF Budget'!D152-'CC summary'!D152</f>
        <v>0</v>
      </c>
      <c r="E152" s="8">
        <f>'WCLA Consolidated MTEF Budget'!E152-'CC summary'!E152</f>
        <v>0</v>
      </c>
      <c r="F152" s="8">
        <f>'WCLA Consolidated MTEF Budget'!F152-'CC summary'!F152</f>
        <v>0</v>
      </c>
      <c r="G152" s="8">
        <f>'WCLA Consolidated MTEF Budget'!G152-'CC summary'!G152</f>
        <v>0</v>
      </c>
      <c r="H152" s="8">
        <f>'WCLA Consolidated MTEF Budget'!H152-'CC summary'!H152</f>
        <v>0</v>
      </c>
      <c r="I152" s="8">
        <f>'WCLA Consolidated MTEF Budget'!I152-'CC summary'!I152</f>
        <v>0</v>
      </c>
      <c r="J152" s="8">
        <f>'WCLA Consolidated MTEF Budget'!J152-'CC summary'!J152</f>
        <v>0</v>
      </c>
      <c r="K152" s="8">
        <f>'WCLA Consolidated MTEF Budget'!K152-'CC summary'!K152</f>
        <v>0</v>
      </c>
      <c r="L152" s="8">
        <f>'WCLA Consolidated MTEF Budget'!L152-'CC summary'!L152</f>
        <v>0</v>
      </c>
      <c r="M152" s="238" t="s">
        <v>208</v>
      </c>
      <c r="N152" s="7">
        <f>'Budget Report DOCs'!M152-'WCLA Consolidated MTEF Budget'!N152</f>
        <v>0</v>
      </c>
      <c r="O152" s="8">
        <f>'WCLA Consolidated MTEF Budget'!O152-'CC summary'!O152</f>
        <v>0</v>
      </c>
      <c r="P152" s="8">
        <f>'WCLA Consolidated MTEF Budget'!P152-'CC summary'!P152</f>
        <v>0</v>
      </c>
      <c r="Q152" s="8">
        <f>'WCLA Consolidated MTEF Budget'!Q152-'CC summary'!Q152</f>
        <v>-2964.8</v>
      </c>
      <c r="R152" s="7"/>
    </row>
    <row r="153" spans="1:18" x14ac:dyDescent="0.3">
      <c r="A153" s="8">
        <f>'WCLA Consolidated MTEF Budget'!A153-'CC summary'!A153</f>
        <v>154.00000000000023</v>
      </c>
      <c r="B153" s="8">
        <f>'WCLA Consolidated MTEF Budget'!B153-'CC summary'!B153</f>
        <v>269.50000000000045</v>
      </c>
      <c r="C153" s="8">
        <f>'WCLA Consolidated MTEF Budget'!C153-'CC summary'!C153</f>
        <v>192.5</v>
      </c>
      <c r="D153" s="8">
        <f>'WCLA Consolidated MTEF Budget'!D153-'CC summary'!D153</f>
        <v>269.50000000000045</v>
      </c>
      <c r="E153" s="8">
        <f>'WCLA Consolidated MTEF Budget'!E153-'CC summary'!E153</f>
        <v>269.50000000000045</v>
      </c>
      <c r="F153" s="8">
        <f>'WCLA Consolidated MTEF Budget'!F153-'CC summary'!F153</f>
        <v>115.5</v>
      </c>
      <c r="G153" s="8">
        <f>'WCLA Consolidated MTEF Budget'!G153-'CC summary'!G153</f>
        <v>154.00000000000023</v>
      </c>
      <c r="H153" s="8">
        <f>'WCLA Consolidated MTEF Budget'!H153-'CC summary'!H153</f>
        <v>154.00000000000023</v>
      </c>
      <c r="I153" s="8">
        <f>'WCLA Consolidated MTEF Budget'!I153-'CC summary'!I153</f>
        <v>0</v>
      </c>
      <c r="J153" s="8">
        <f>'WCLA Consolidated MTEF Budget'!J153-'CC summary'!J153</f>
        <v>1248.5</v>
      </c>
      <c r="K153" s="8">
        <f>'WCLA Consolidated MTEF Budget'!K153-'CC summary'!K153</f>
        <v>0</v>
      </c>
      <c r="L153" s="8">
        <f>'WCLA Consolidated MTEF Budget'!L153-'CC summary'!L153</f>
        <v>0</v>
      </c>
      <c r="M153" s="13" t="s">
        <v>209</v>
      </c>
      <c r="N153" s="7">
        <f>'Budget Report DOCs'!M153-'WCLA Consolidated MTEF Budget'!N153</f>
        <v>0</v>
      </c>
      <c r="O153" s="8">
        <f>'WCLA Consolidated MTEF Budget'!O153-'CC summary'!O153</f>
        <v>0</v>
      </c>
      <c r="P153" s="8">
        <f>'WCLA Consolidated MTEF Budget'!P153-'CC summary'!P153</f>
        <v>2827.0000000000036</v>
      </c>
      <c r="Q153" s="8">
        <f>'WCLA Consolidated MTEF Budget'!Q153-'CC summary'!Q153</f>
        <v>-10992.399999999998</v>
      </c>
      <c r="R153" s="7"/>
    </row>
    <row r="154" spans="1:18" x14ac:dyDescent="0.3">
      <c r="A154" s="8">
        <f>'WCLA Consolidated MTEF Budget'!A154-'CC summary'!A154</f>
        <v>71.000000000000114</v>
      </c>
      <c r="B154" s="8">
        <f>'WCLA Consolidated MTEF Budget'!B154-'CC summary'!B154</f>
        <v>213</v>
      </c>
      <c r="C154" s="8">
        <f>'WCLA Consolidated MTEF Budget'!C154-'CC summary'!C154</f>
        <v>213</v>
      </c>
      <c r="D154" s="8">
        <f>'WCLA Consolidated MTEF Budget'!D154-'CC summary'!D154</f>
        <v>426</v>
      </c>
      <c r="E154" s="8">
        <f>'WCLA Consolidated MTEF Budget'!E154-'CC summary'!E154</f>
        <v>562.00000000000091</v>
      </c>
      <c r="F154" s="8">
        <f>'WCLA Consolidated MTEF Budget'!F154-'CC summary'!F154</f>
        <v>213</v>
      </c>
      <c r="G154" s="8">
        <f>'WCLA Consolidated MTEF Budget'!G154-'CC summary'!G154</f>
        <v>633.00000000000091</v>
      </c>
      <c r="H154" s="8">
        <f>'WCLA Consolidated MTEF Budget'!H154-'CC summary'!H154</f>
        <v>568.00000000000091</v>
      </c>
      <c r="I154" s="8">
        <f>'WCLA Consolidated MTEF Budget'!I154-'CC summary'!I154</f>
        <v>71.000000000000114</v>
      </c>
      <c r="J154" s="8">
        <f>'WCLA Consolidated MTEF Budget'!J154-'CC summary'!J154</f>
        <v>896.00000000000023</v>
      </c>
      <c r="K154" s="8">
        <f>'WCLA Consolidated MTEF Budget'!K154-'CC summary'!K154</f>
        <v>71.000000000000114</v>
      </c>
      <c r="L154" s="8">
        <f>'WCLA Consolidated MTEF Budget'!L154-'CC summary'!L154</f>
        <v>71.000000000000114</v>
      </c>
      <c r="M154" s="13" t="s">
        <v>210</v>
      </c>
      <c r="N154" s="7">
        <f>'Budget Report DOCs'!M154-'WCLA Consolidated MTEF Budget'!N154</f>
        <v>0</v>
      </c>
      <c r="O154" s="8">
        <f>'WCLA Consolidated MTEF Budget'!O154-'CC summary'!O154</f>
        <v>-567.99999999999977</v>
      </c>
      <c r="P154" s="8">
        <f>'WCLA Consolidated MTEF Budget'!P154-'CC summary'!P154</f>
        <v>4718</v>
      </c>
      <c r="Q154" s="8">
        <f>'WCLA Consolidated MTEF Budget'!Q154-'CC summary'!Q154</f>
        <v>-11195.5</v>
      </c>
      <c r="R154" s="7"/>
    </row>
    <row r="155" spans="1:18" x14ac:dyDescent="0.3">
      <c r="A155" s="8">
        <f>'WCLA Consolidated MTEF Budget'!A155-'CC summary'!A155</f>
        <v>8066</v>
      </c>
      <c r="B155" s="8">
        <f>'WCLA Consolidated MTEF Budget'!B155-'CC summary'!B155</f>
        <v>7998</v>
      </c>
      <c r="C155" s="8">
        <f>'WCLA Consolidated MTEF Budget'!C155-'CC summary'!C155</f>
        <v>7412</v>
      </c>
      <c r="D155" s="8">
        <f>'WCLA Consolidated MTEF Budget'!D155-'CC summary'!D155</f>
        <v>13312</v>
      </c>
      <c r="E155" s="8">
        <f>'WCLA Consolidated MTEF Budget'!E155-'CC summary'!E155</f>
        <v>15478</v>
      </c>
      <c r="F155" s="8">
        <f>'WCLA Consolidated MTEF Budget'!F155-'CC summary'!F155</f>
        <v>6758</v>
      </c>
      <c r="G155" s="8">
        <f>'WCLA Consolidated MTEF Budget'!G155-'CC summary'!G155</f>
        <v>10228.000000000015</v>
      </c>
      <c r="H155" s="8">
        <f>'WCLA Consolidated MTEF Budget'!H155-'CC summary'!H155</f>
        <v>9306.0000000000146</v>
      </c>
      <c r="I155" s="8">
        <f>'WCLA Consolidated MTEF Budget'!I155-'CC summary'!I155</f>
        <v>3786.5</v>
      </c>
      <c r="J155" s="8">
        <f>'WCLA Consolidated MTEF Budget'!J155-'CC summary'!J155</f>
        <v>51372.5</v>
      </c>
      <c r="K155" s="8">
        <f>'WCLA Consolidated MTEF Budget'!K155-'CC summary'!K155</f>
        <v>3786.5</v>
      </c>
      <c r="L155" s="8">
        <f>'WCLA Consolidated MTEF Budget'!L155-'CC summary'!L155</f>
        <v>3786.5</v>
      </c>
      <c r="M155" s="238" t="s">
        <v>211</v>
      </c>
      <c r="N155" s="7">
        <f>'Budget Report DOCs'!M155-'WCLA Consolidated MTEF Budget'!N155</f>
        <v>0</v>
      </c>
      <c r="O155" s="8">
        <f>'WCLA Consolidated MTEF Budget'!O155-'CC summary'!O155</f>
        <v>-30292</v>
      </c>
      <c r="P155" s="8">
        <f>'WCLA Consolidated MTEF Budget'!P155-'CC summary'!P155</f>
        <v>179155</v>
      </c>
      <c r="Q155" s="8">
        <f>'WCLA Consolidated MTEF Budget'!Q155-'CC summary'!Q155</f>
        <v>847722.1</v>
      </c>
      <c r="R155" s="7"/>
    </row>
    <row r="156" spans="1:18" x14ac:dyDescent="0.3">
      <c r="A156" s="8">
        <f>'WCLA Consolidated MTEF Budget'!A156-'CC summary'!A156</f>
        <v>16478.000000000029</v>
      </c>
      <c r="B156" s="8">
        <f>'WCLA Consolidated MTEF Budget'!B156-'CC summary'!B156</f>
        <v>17227.500000000029</v>
      </c>
      <c r="C156" s="8">
        <f>'WCLA Consolidated MTEF Budget'!C156-'CC summary'!C156</f>
        <v>9059.0000000000146</v>
      </c>
      <c r="D156" s="8">
        <f>'WCLA Consolidated MTEF Budget'!D156-'CC summary'!D156</f>
        <v>13750</v>
      </c>
      <c r="E156" s="8">
        <f>'WCLA Consolidated MTEF Budget'!E156-'CC summary'!E156</f>
        <v>14891.5</v>
      </c>
      <c r="F156" s="8">
        <f>'WCLA Consolidated MTEF Budget'!F156-'CC summary'!F156</f>
        <v>14184.5</v>
      </c>
      <c r="G156" s="8">
        <f>'WCLA Consolidated MTEF Budget'!G156-'CC summary'!G156</f>
        <v>17187.500000000029</v>
      </c>
      <c r="H156" s="8">
        <f>'WCLA Consolidated MTEF Budget'!H156-'CC summary'!H156</f>
        <v>22559.500000000029</v>
      </c>
      <c r="I156" s="8">
        <f>'WCLA Consolidated MTEF Budget'!I156-'CC summary'!I156</f>
        <v>35424.500000000058</v>
      </c>
      <c r="J156" s="8">
        <f>'WCLA Consolidated MTEF Budget'!J156-'CC summary'!J156</f>
        <v>-202236</v>
      </c>
      <c r="K156" s="8">
        <f>'WCLA Consolidated MTEF Budget'!K156-'CC summary'!K156</f>
        <v>-162206</v>
      </c>
      <c r="L156" s="8">
        <f>'WCLA Consolidated MTEF Budget'!L156-'CC summary'!L156</f>
        <v>-162206</v>
      </c>
      <c r="M156" s="13" t="s">
        <v>212</v>
      </c>
      <c r="N156" s="7">
        <f>'Budget Report DOCs'!M156-'WCLA Consolidated MTEF Budget'!N156</f>
        <v>0</v>
      </c>
      <c r="O156" s="8">
        <f>'WCLA Consolidated MTEF Budget'!O156-'CC summary'!O156</f>
        <v>-678657</v>
      </c>
      <c r="P156" s="8">
        <f>'WCLA Consolidated MTEF Budget'!P156-'CC summary'!P156</f>
        <v>-11641</v>
      </c>
      <c r="Q156" s="8">
        <f>'WCLA Consolidated MTEF Budget'!Q156-'CC summary'!Q156</f>
        <v>1359602.5</v>
      </c>
      <c r="R156" s="7"/>
    </row>
    <row r="157" spans="1:18" x14ac:dyDescent="0.3">
      <c r="A157" s="8">
        <f>'WCLA Consolidated MTEF Budget'!A157-'CC summary'!A157</f>
        <v>2184.0000000000036</v>
      </c>
      <c r="B157" s="8">
        <f>'WCLA Consolidated MTEF Budget'!B157-'CC summary'!B157</f>
        <v>8398.5000000000146</v>
      </c>
      <c r="C157" s="8">
        <f>'WCLA Consolidated MTEF Budget'!C157-'CC summary'!C157</f>
        <v>7288.5</v>
      </c>
      <c r="D157" s="8">
        <f>'WCLA Consolidated MTEF Budget'!D157-'CC summary'!D157</f>
        <v>4539.0000000000073</v>
      </c>
      <c r="E157" s="8">
        <f>'WCLA Consolidated MTEF Budget'!E157-'CC summary'!E157</f>
        <v>9751.0000000000146</v>
      </c>
      <c r="F157" s="8">
        <f>'WCLA Consolidated MTEF Budget'!F157-'CC summary'!F157</f>
        <v>3726</v>
      </c>
      <c r="G157" s="8">
        <f>'WCLA Consolidated MTEF Budget'!G157-'CC summary'!G157</f>
        <v>9833.5000000000146</v>
      </c>
      <c r="H157" s="8">
        <f>'WCLA Consolidated MTEF Budget'!H157-'CC summary'!H157</f>
        <v>5014.0000000000073</v>
      </c>
      <c r="I157" s="8">
        <f>'WCLA Consolidated MTEF Budget'!I157-'CC summary'!I157</f>
        <v>2873.5000000000036</v>
      </c>
      <c r="J157" s="8">
        <f>'WCLA Consolidated MTEF Budget'!J157-'CC summary'!J157</f>
        <v>-5425.9999999999964</v>
      </c>
      <c r="K157" s="8">
        <f>'WCLA Consolidated MTEF Budget'!K157-'CC summary'!K157</f>
        <v>2873.5000000000036</v>
      </c>
      <c r="L157" s="8">
        <f>'WCLA Consolidated MTEF Budget'!L157-'CC summary'!L157</f>
        <v>2873.5000000000036</v>
      </c>
      <c r="M157" s="13" t="s">
        <v>213</v>
      </c>
      <c r="N157" s="7">
        <f>'Budget Report DOCs'!M157-'WCLA Consolidated MTEF Budget'!N157</f>
        <v>0</v>
      </c>
      <c r="O157" s="8">
        <f>'WCLA Consolidated MTEF Budget'!O157-'CC summary'!O157</f>
        <v>-22987.999999999993</v>
      </c>
      <c r="P157" s="8">
        <f>'WCLA Consolidated MTEF Budget'!P157-'CC summary'!P157</f>
        <v>82664</v>
      </c>
      <c r="Q157" s="8">
        <f>'WCLA Consolidated MTEF Budget'!Q157-'CC summary'!Q157</f>
        <v>194030.69999999995</v>
      </c>
      <c r="R157" s="7"/>
    </row>
    <row r="158" spans="1:18" x14ac:dyDescent="0.3">
      <c r="A158" s="8">
        <f>'WCLA Consolidated MTEF Budget'!A158-'CC summary'!A158</f>
        <v>2425.5000000000036</v>
      </c>
      <c r="B158" s="8">
        <f>'WCLA Consolidated MTEF Budget'!B158-'CC summary'!B158</f>
        <v>2926.0000000000036</v>
      </c>
      <c r="C158" s="8">
        <f>'WCLA Consolidated MTEF Budget'!C158-'CC summary'!C158</f>
        <v>2387.0000000000036</v>
      </c>
      <c r="D158" s="8">
        <f>'WCLA Consolidated MTEF Budget'!D158-'CC summary'!D158</f>
        <v>4312.0000000000073</v>
      </c>
      <c r="E158" s="8">
        <f>'WCLA Consolidated MTEF Budget'!E158-'CC summary'!E158</f>
        <v>4260.0000000000073</v>
      </c>
      <c r="F158" s="8">
        <f>'WCLA Consolidated MTEF Budget'!F158-'CC summary'!F158</f>
        <v>6140.5</v>
      </c>
      <c r="G158" s="8">
        <f>'WCLA Consolidated MTEF Budget'!G158-'CC summary'!G158</f>
        <v>5236.0000000000073</v>
      </c>
      <c r="H158" s="8">
        <f>'WCLA Consolidated MTEF Budget'!H158-'CC summary'!H158</f>
        <v>4004</v>
      </c>
      <c r="I158" s="8">
        <f>'WCLA Consolidated MTEF Budget'!I158-'CC summary'!I158</f>
        <v>2570.0000000000036</v>
      </c>
      <c r="J158" s="8">
        <f>'WCLA Consolidated MTEF Budget'!J158-'CC summary'!J158</f>
        <v>13949.5</v>
      </c>
      <c r="K158" s="8">
        <f>'WCLA Consolidated MTEF Budget'!K158-'CC summary'!K158</f>
        <v>2570.0000000000036</v>
      </c>
      <c r="L158" s="8">
        <f>'WCLA Consolidated MTEF Budget'!L158-'CC summary'!L158</f>
        <v>2570.0000000000036</v>
      </c>
      <c r="M158" s="238" t="s">
        <v>214</v>
      </c>
      <c r="N158" s="7">
        <f>'Budget Report DOCs'!M158-'WCLA Consolidated MTEF Budget'!N158</f>
        <v>0</v>
      </c>
      <c r="O158" s="8">
        <f>'WCLA Consolidated MTEF Budget'!O158-'CC summary'!O158</f>
        <v>-20559.999999999993</v>
      </c>
      <c r="P158" s="8">
        <f>'WCLA Consolidated MTEF Budget'!P158-'CC summary'!P158</f>
        <v>79050.500000000058</v>
      </c>
      <c r="Q158" s="8">
        <f>'WCLA Consolidated MTEF Budget'!Q158-'CC summary'!Q158</f>
        <v>117240.90000000002</v>
      </c>
      <c r="R158" s="7"/>
    </row>
    <row r="159" spans="1:18" x14ac:dyDescent="0.3">
      <c r="A159" s="8">
        <f>'WCLA Consolidated MTEF Budget'!A159-'CC summary'!A159</f>
        <v>426</v>
      </c>
      <c r="B159" s="8">
        <f>'WCLA Consolidated MTEF Budget'!B159-'CC summary'!B159</f>
        <v>1124.0000000000018</v>
      </c>
      <c r="C159" s="8">
        <f>'WCLA Consolidated MTEF Budget'!C159-'CC summary'!C159</f>
        <v>71.000000000000114</v>
      </c>
      <c r="D159" s="8">
        <f>'WCLA Consolidated MTEF Budget'!D159-'CC summary'!D159</f>
        <v>852</v>
      </c>
      <c r="E159" s="8">
        <f>'WCLA Consolidated MTEF Budget'!E159-'CC summary'!E159</f>
        <v>568.00000000000091</v>
      </c>
      <c r="F159" s="8">
        <f>'WCLA Consolidated MTEF Budget'!F159-'CC summary'!F159</f>
        <v>142.00000000000023</v>
      </c>
      <c r="G159" s="8">
        <f>'WCLA Consolidated MTEF Budget'!G159-'CC summary'!G159</f>
        <v>284.00000000000045</v>
      </c>
      <c r="H159" s="8">
        <f>'WCLA Consolidated MTEF Budget'!H159-'CC summary'!H159</f>
        <v>71.000000000000114</v>
      </c>
      <c r="I159" s="8">
        <f>'WCLA Consolidated MTEF Budget'!I159-'CC summary'!I159</f>
        <v>0</v>
      </c>
      <c r="J159" s="8">
        <f>'WCLA Consolidated MTEF Budget'!J159-'CC summary'!J159</f>
        <v>781.00000000000011</v>
      </c>
      <c r="K159" s="8">
        <f>'WCLA Consolidated MTEF Budget'!K159-'CC summary'!K159</f>
        <v>0</v>
      </c>
      <c r="L159" s="8">
        <f>'WCLA Consolidated MTEF Budget'!L159-'CC summary'!L159</f>
        <v>0</v>
      </c>
      <c r="M159" s="13" t="s">
        <v>215</v>
      </c>
      <c r="N159" s="7">
        <f>'Budget Report DOCs'!M159-'WCLA Consolidated MTEF Budget'!N159</f>
        <v>0</v>
      </c>
      <c r="O159" s="8">
        <f>'WCLA Consolidated MTEF Budget'!O159-'CC summary'!O159</f>
        <v>0</v>
      </c>
      <c r="P159" s="8">
        <f>'WCLA Consolidated MTEF Budget'!P159-'CC summary'!P159</f>
        <v>4319</v>
      </c>
      <c r="Q159" s="8">
        <f>'WCLA Consolidated MTEF Budget'!Q159-'CC summary'!Q159</f>
        <v>-52989.150000000009</v>
      </c>
      <c r="R159" s="7"/>
    </row>
    <row r="160" spans="1:18" x14ac:dyDescent="0.3">
      <c r="A160" s="8">
        <f>'WCLA Consolidated MTEF Budget'!A160-'CC summary'!A160</f>
        <v>0</v>
      </c>
      <c r="B160" s="8">
        <f>'WCLA Consolidated MTEF Budget'!B160-'CC summary'!B160</f>
        <v>0</v>
      </c>
      <c r="C160" s="8">
        <f>'WCLA Consolidated MTEF Budget'!C160-'CC summary'!C160</f>
        <v>0</v>
      </c>
      <c r="D160" s="8">
        <f>'WCLA Consolidated MTEF Budget'!D160-'CC summary'!D160</f>
        <v>0</v>
      </c>
      <c r="E160" s="8">
        <f>'WCLA Consolidated MTEF Budget'!E160-'CC summary'!E160</f>
        <v>0</v>
      </c>
      <c r="F160" s="8">
        <f>'WCLA Consolidated MTEF Budget'!F160-'CC summary'!F160</f>
        <v>0</v>
      </c>
      <c r="G160" s="8">
        <f>'WCLA Consolidated MTEF Budget'!G160-'CC summary'!G160</f>
        <v>0</v>
      </c>
      <c r="H160" s="8">
        <f>'WCLA Consolidated MTEF Budget'!H160-'CC summary'!H160</f>
        <v>0</v>
      </c>
      <c r="I160" s="8">
        <f>'WCLA Consolidated MTEF Budget'!I160-'CC summary'!I160</f>
        <v>0</v>
      </c>
      <c r="J160" s="8">
        <f>'WCLA Consolidated MTEF Budget'!J160-'CC summary'!J160</f>
        <v>0</v>
      </c>
      <c r="K160" s="8">
        <f>'WCLA Consolidated MTEF Budget'!K160-'CC summary'!K160</f>
        <v>0</v>
      </c>
      <c r="L160" s="8">
        <f>'WCLA Consolidated MTEF Budget'!L160-'CC summary'!L160</f>
        <v>0</v>
      </c>
      <c r="M160" s="13" t="s">
        <v>216</v>
      </c>
      <c r="N160" s="11">
        <f>'Budget Report DOCs'!M160-'WCLA Consolidated MTEF Budget'!N160</f>
        <v>0</v>
      </c>
      <c r="O160" s="8">
        <f>'WCLA Consolidated MTEF Budget'!O160-'CC summary'!O160</f>
        <v>0</v>
      </c>
      <c r="P160" s="8">
        <f>'WCLA Consolidated MTEF Budget'!P160-'CC summary'!P160</f>
        <v>0</v>
      </c>
      <c r="Q160" s="8">
        <f>'WCLA Consolidated MTEF Budget'!Q160-'CC summary'!Q160</f>
        <v>-9374</v>
      </c>
      <c r="R160" s="11"/>
    </row>
    <row r="161" spans="1:18" ht="6" customHeight="1" x14ac:dyDescent="0.3">
      <c r="A161" s="81"/>
      <c r="B161" s="81"/>
      <c r="C161" s="81"/>
      <c r="D161" s="82"/>
      <c r="E161" s="81"/>
      <c r="F161" s="81"/>
      <c r="G161" s="81"/>
      <c r="H161" s="81"/>
      <c r="I161" s="81"/>
      <c r="J161" s="81"/>
      <c r="K161" s="81"/>
      <c r="L161" s="81"/>
      <c r="M161" s="13"/>
      <c r="N161" s="81">
        <f t="shared" ref="N161:N171" si="13">SUM(A161:H161)</f>
        <v>0</v>
      </c>
      <c r="O161" s="81"/>
      <c r="P161" s="81"/>
      <c r="Q161" s="81"/>
      <c r="R161" s="81"/>
    </row>
    <row r="162" spans="1:18" x14ac:dyDescent="0.3">
      <c r="A162" s="4">
        <f t="shared" ref="A162:N162" si="14">SUM(A131:A160)</f>
        <v>63548.000000000044</v>
      </c>
      <c r="B162" s="4">
        <f t="shared" si="14"/>
        <v>104477.50000000006</v>
      </c>
      <c r="C162" s="4">
        <f t="shared" si="14"/>
        <v>49400.580000000031</v>
      </c>
      <c r="D162" s="4">
        <f t="shared" si="14"/>
        <v>58609.000000000036</v>
      </c>
      <c r="E162" s="4">
        <f t="shared" si="14"/>
        <v>95370.000000000029</v>
      </c>
      <c r="F162" s="4">
        <f t="shared" si="14"/>
        <v>67515.500000000044</v>
      </c>
      <c r="G162" s="4">
        <f t="shared" si="14"/>
        <v>90886.100000000122</v>
      </c>
      <c r="H162" s="4">
        <f t="shared" si="14"/>
        <v>88698.500000000116</v>
      </c>
      <c r="I162" s="4">
        <f t="shared" si="14"/>
        <v>74734.000000000087</v>
      </c>
      <c r="J162" s="4">
        <f t="shared" si="14"/>
        <v>248531.25000000006</v>
      </c>
      <c r="K162" s="4">
        <f t="shared" si="14"/>
        <v>427103.5</v>
      </c>
      <c r="L162" s="4">
        <f t="shared" si="14"/>
        <v>427103.5</v>
      </c>
      <c r="M162" s="13" t="s">
        <v>217</v>
      </c>
      <c r="N162" s="4">
        <f t="shared" si="14"/>
        <v>0</v>
      </c>
      <c r="O162" s="4"/>
      <c r="P162" s="4"/>
      <c r="Q162" s="4"/>
      <c r="R162" s="4"/>
    </row>
    <row r="163" spans="1:18" ht="6.6" customHeight="1" x14ac:dyDescent="0.3">
      <c r="A163" s="81"/>
      <c r="B163" s="81"/>
      <c r="C163" s="81"/>
      <c r="D163" s="82"/>
      <c r="E163" s="95"/>
      <c r="F163" s="95"/>
      <c r="G163" s="95"/>
      <c r="H163" s="95"/>
      <c r="I163" s="95"/>
      <c r="J163" s="95"/>
      <c r="K163" s="95"/>
      <c r="L163" s="95"/>
      <c r="M163" s="122"/>
      <c r="N163" s="95">
        <f t="shared" si="13"/>
        <v>0</v>
      </c>
      <c r="O163" s="81"/>
      <c r="P163" s="81"/>
      <c r="Q163" s="81"/>
      <c r="R163" s="81"/>
    </row>
    <row r="164" spans="1:18" x14ac:dyDescent="0.3">
      <c r="A164" s="8">
        <f>'WCLA Consolidated MTEF Budget'!A164-'CC summary'!A164</f>
        <v>0</v>
      </c>
      <c r="B164" s="8">
        <f>'WCLA Consolidated MTEF Budget'!B164-'CC summary'!B164</f>
        <v>0</v>
      </c>
      <c r="C164" s="8">
        <f>'WCLA Consolidated MTEF Budget'!C164-'CC summary'!C164</f>
        <v>0</v>
      </c>
      <c r="D164" s="8">
        <f>'WCLA Consolidated MTEF Budget'!D164-'CC summary'!D164</f>
        <v>0</v>
      </c>
      <c r="E164" s="8">
        <f>'WCLA Consolidated MTEF Budget'!E164-'CC summary'!E164</f>
        <v>0</v>
      </c>
      <c r="F164" s="8">
        <f>'WCLA Consolidated MTEF Budget'!F164-'CC summary'!F164</f>
        <v>0</v>
      </c>
      <c r="G164" s="8">
        <f>'WCLA Consolidated MTEF Budget'!G164-'CC summary'!G164</f>
        <v>0</v>
      </c>
      <c r="H164" s="8">
        <f>'WCLA Consolidated MTEF Budget'!H164-'CC summary'!H164</f>
        <v>0</v>
      </c>
      <c r="I164" s="8">
        <f>'WCLA Consolidated MTEF Budget'!I164-'CC summary'!I164</f>
        <v>0</v>
      </c>
      <c r="J164" s="8">
        <f>'WCLA Consolidated MTEF Budget'!J164-'CC summary'!J164</f>
        <v>237046.84</v>
      </c>
      <c r="K164" s="8">
        <f>'WCLA Consolidated MTEF Budget'!K164-'CC summary'!K164</f>
        <v>70000</v>
      </c>
      <c r="L164" s="8">
        <f>'WCLA Consolidated MTEF Budget'!L164-'CC summary'!L164</f>
        <v>70000</v>
      </c>
      <c r="M164" s="13" t="s">
        <v>218</v>
      </c>
      <c r="N164" s="8">
        <f>'Budget Report DOCs'!M164-'WCLA Consolidated MTEF Budget'!N164</f>
        <v>0</v>
      </c>
      <c r="O164" s="8">
        <f>'WCLA Consolidated MTEF Budget'!O164-'CC summary'!O164</f>
        <v>140000</v>
      </c>
      <c r="P164" s="8">
        <f>'WCLA Consolidated MTEF Budget'!P164-'CC summary'!P164</f>
        <v>477085.87999999995</v>
      </c>
      <c r="Q164" s="8">
        <f>'WCLA Consolidated MTEF Budget'!Q164-'CC summary'!Q164</f>
        <v>261841.52999999991</v>
      </c>
      <c r="R164" s="8"/>
    </row>
    <row r="165" spans="1:18" x14ac:dyDescent="0.3">
      <c r="A165" s="8">
        <f>'WCLA Consolidated MTEF Budget'!A165-'CC summary'!A165</f>
        <v>0</v>
      </c>
      <c r="B165" s="8">
        <f>'WCLA Consolidated MTEF Budget'!B165-'CC summary'!B165</f>
        <v>0</v>
      </c>
      <c r="C165" s="8">
        <f>'WCLA Consolidated MTEF Budget'!C165-'CC summary'!C165</f>
        <v>-216500</v>
      </c>
      <c r="D165" s="8">
        <f>'WCLA Consolidated MTEF Budget'!D165-'CC summary'!D165</f>
        <v>0</v>
      </c>
      <c r="E165" s="8">
        <f>'WCLA Consolidated MTEF Budget'!E165-'CC summary'!E165</f>
        <v>42250</v>
      </c>
      <c r="F165" s="8">
        <f>'WCLA Consolidated MTEF Budget'!F165-'CC summary'!F165</f>
        <v>0</v>
      </c>
      <c r="G165" s="8">
        <f>'WCLA Consolidated MTEF Budget'!G165-'CC summary'!G165</f>
        <v>0</v>
      </c>
      <c r="H165" s="8">
        <f>'WCLA Consolidated MTEF Budget'!H165-'CC summary'!H165</f>
        <v>42250</v>
      </c>
      <c r="I165" s="8">
        <f>'WCLA Consolidated MTEF Budget'!I165-'CC summary'!I165</f>
        <v>0</v>
      </c>
      <c r="J165" s="8">
        <f>'WCLA Consolidated MTEF Budget'!J165-'CC summary'!J165</f>
        <v>0</v>
      </c>
      <c r="K165" s="8">
        <f>'WCLA Consolidated MTEF Budget'!K165-'CC summary'!K165</f>
        <v>10569250</v>
      </c>
      <c r="L165" s="8">
        <f>'WCLA Consolidated MTEF Budget'!L165-'CC summary'!L165</f>
        <v>0</v>
      </c>
      <c r="M165" s="238" t="s">
        <v>219</v>
      </c>
      <c r="N165" s="7">
        <f>'Budget Report DOCs'!M165-'WCLA Consolidated MTEF Budget'!N165</f>
        <v>0</v>
      </c>
      <c r="O165" s="8">
        <f>'WCLA Consolidated MTEF Budget'!O165-'CC summary'!O165</f>
        <v>10569250</v>
      </c>
      <c r="P165" s="8">
        <f>'WCLA Consolidated MTEF Budget'!P165-'CC summary'!P165</f>
        <v>10437250</v>
      </c>
      <c r="Q165" s="8">
        <f>'WCLA Consolidated MTEF Budget'!Q165-'CC summary'!Q165</f>
        <v>169000</v>
      </c>
      <c r="R165" s="7"/>
    </row>
    <row r="166" spans="1:18" x14ac:dyDescent="0.3">
      <c r="A166" s="8">
        <f>'WCLA Consolidated MTEF Budget'!A166-'CC summary'!A166</f>
        <v>0</v>
      </c>
      <c r="B166" s="8">
        <f>'WCLA Consolidated MTEF Budget'!B166-'CC summary'!B166</f>
        <v>0</v>
      </c>
      <c r="C166" s="8">
        <f>'WCLA Consolidated MTEF Budget'!C166-'CC summary'!C166</f>
        <v>0</v>
      </c>
      <c r="D166" s="8">
        <f>'WCLA Consolidated MTEF Budget'!D166-'CC summary'!D166</f>
        <v>0</v>
      </c>
      <c r="E166" s="8">
        <f>'WCLA Consolidated MTEF Budget'!E166-'CC summary'!E166</f>
        <v>0</v>
      </c>
      <c r="F166" s="8">
        <f>'WCLA Consolidated MTEF Budget'!F166-'CC summary'!F166</f>
        <v>0</v>
      </c>
      <c r="G166" s="8">
        <f>'WCLA Consolidated MTEF Budget'!G166-'CC summary'!G166</f>
        <v>0</v>
      </c>
      <c r="H166" s="8">
        <f>'WCLA Consolidated MTEF Budget'!H166-'CC summary'!H166</f>
        <v>0</v>
      </c>
      <c r="I166" s="8">
        <f>'WCLA Consolidated MTEF Budget'!I166-'CC summary'!I166</f>
        <v>0</v>
      </c>
      <c r="J166" s="8">
        <f>'WCLA Consolidated MTEF Budget'!J166-'CC summary'!J166</f>
        <v>0</v>
      </c>
      <c r="K166" s="8">
        <f>'WCLA Consolidated MTEF Budget'!K166-'CC summary'!K166</f>
        <v>0</v>
      </c>
      <c r="L166" s="8">
        <f>'WCLA Consolidated MTEF Budget'!L166-'CC summary'!L166</f>
        <v>0</v>
      </c>
      <c r="M166" s="13" t="s">
        <v>220</v>
      </c>
      <c r="N166" s="7">
        <f>'Budget Report DOCs'!M166-'WCLA Consolidated MTEF Budget'!N166</f>
        <v>0</v>
      </c>
      <c r="O166" s="8">
        <f>'WCLA Consolidated MTEF Budget'!O166-'CC summary'!O166</f>
        <v>0</v>
      </c>
      <c r="P166" s="8">
        <f>'WCLA Consolidated MTEF Budget'!P166-'CC summary'!P166</f>
        <v>0</v>
      </c>
      <c r="Q166" s="8">
        <f>'WCLA Consolidated MTEF Budget'!Q166-'CC summary'!Q166</f>
        <v>0</v>
      </c>
      <c r="R166" s="7"/>
    </row>
    <row r="167" spans="1:18" x14ac:dyDescent="0.3">
      <c r="A167" s="8">
        <f>'WCLA Consolidated MTEF Budget'!A167-'CC summary'!A167</f>
        <v>0</v>
      </c>
      <c r="B167" s="8">
        <f>'WCLA Consolidated MTEF Budget'!B167-'CC summary'!B167</f>
        <v>0</v>
      </c>
      <c r="C167" s="8">
        <f>'WCLA Consolidated MTEF Budget'!C167-'CC summary'!C167</f>
        <v>0</v>
      </c>
      <c r="D167" s="8">
        <f>'WCLA Consolidated MTEF Budget'!D167-'CC summary'!D167</f>
        <v>0</v>
      </c>
      <c r="E167" s="8">
        <f>'WCLA Consolidated MTEF Budget'!E167-'CC summary'!E167</f>
        <v>0</v>
      </c>
      <c r="F167" s="8">
        <f>'WCLA Consolidated MTEF Budget'!F167-'CC summary'!F167</f>
        <v>0</v>
      </c>
      <c r="G167" s="8">
        <f>'WCLA Consolidated MTEF Budget'!G167-'CC summary'!G167</f>
        <v>0</v>
      </c>
      <c r="H167" s="8">
        <f>'WCLA Consolidated MTEF Budget'!H167-'CC summary'!H167</f>
        <v>0</v>
      </c>
      <c r="I167" s="8">
        <f>'WCLA Consolidated MTEF Budget'!I167-'CC summary'!I167</f>
        <v>0</v>
      </c>
      <c r="J167" s="8">
        <f>'WCLA Consolidated MTEF Budget'!J167-'CC summary'!J167</f>
        <v>0</v>
      </c>
      <c r="K167" s="8">
        <f>'WCLA Consolidated MTEF Budget'!K167-'CC summary'!K167</f>
        <v>0</v>
      </c>
      <c r="L167" s="8">
        <f>'WCLA Consolidated MTEF Budget'!L167-'CC summary'!L167</f>
        <v>0</v>
      </c>
      <c r="M167" s="13" t="s">
        <v>221</v>
      </c>
      <c r="N167" s="7">
        <f>'Budget Report DOCs'!M167-'WCLA Consolidated MTEF Budget'!N167</f>
        <v>0</v>
      </c>
      <c r="O167" s="8">
        <f>'WCLA Consolidated MTEF Budget'!O167-'CC summary'!O167</f>
        <v>0</v>
      </c>
      <c r="P167" s="8">
        <f>'WCLA Consolidated MTEF Budget'!P167-'CC summary'!P167</f>
        <v>0</v>
      </c>
      <c r="Q167" s="8">
        <f>'WCLA Consolidated MTEF Budget'!Q167-'CC summary'!Q167</f>
        <v>0</v>
      </c>
      <c r="R167" s="7"/>
    </row>
    <row r="168" spans="1:18" x14ac:dyDescent="0.3">
      <c r="A168" s="8">
        <f>'WCLA Consolidated MTEF Budget'!A168-'CC summary'!A168</f>
        <v>-258750</v>
      </c>
      <c r="B168" s="8">
        <f>'WCLA Consolidated MTEF Budget'!B168-'CC summary'!B168</f>
        <v>-225000</v>
      </c>
      <c r="C168" s="8">
        <f>'WCLA Consolidated MTEF Budget'!C168-'CC summary'!C168</f>
        <v>0</v>
      </c>
      <c r="D168" s="8">
        <f>'WCLA Consolidated MTEF Budget'!D168-'CC summary'!D168</f>
        <v>0</v>
      </c>
      <c r="E168" s="8">
        <f>'WCLA Consolidated MTEF Budget'!E168-'CC summary'!E168</f>
        <v>0</v>
      </c>
      <c r="F168" s="8">
        <f>'WCLA Consolidated MTEF Budget'!F168-'CC summary'!F168</f>
        <v>0</v>
      </c>
      <c r="G168" s="8">
        <f>'WCLA Consolidated MTEF Budget'!G168-'CC summary'!G168</f>
        <v>0</v>
      </c>
      <c r="H168" s="8">
        <f>'WCLA Consolidated MTEF Budget'!H168-'CC summary'!H168</f>
        <v>0</v>
      </c>
      <c r="I168" s="8">
        <f>'WCLA Consolidated MTEF Budget'!I168-'CC summary'!I168</f>
        <v>0</v>
      </c>
      <c r="J168" s="8">
        <f>'WCLA Consolidated MTEF Budget'!J168-'CC summary'!J168</f>
        <v>0</v>
      </c>
      <c r="K168" s="8">
        <f>'WCLA Consolidated MTEF Budget'!K168-'CC summary'!K168</f>
        <v>0</v>
      </c>
      <c r="L168" s="8">
        <f>'WCLA Consolidated MTEF Budget'!L168-'CC summary'!L168</f>
        <v>0</v>
      </c>
      <c r="M168" s="238" t="s">
        <v>222</v>
      </c>
      <c r="N168" s="11">
        <f>'Budget Report DOCs'!M168-'WCLA Consolidated MTEF Budget'!N168</f>
        <v>0</v>
      </c>
      <c r="O168" s="8">
        <f>'WCLA Consolidated MTEF Budget'!O168-'CC summary'!O168</f>
        <v>0</v>
      </c>
      <c r="P168" s="8">
        <f>'WCLA Consolidated MTEF Budget'!P168-'CC summary'!P168</f>
        <v>-483750</v>
      </c>
      <c r="Q168" s="8">
        <f>'WCLA Consolidated MTEF Budget'!Q168-'CC summary'!Q168</f>
        <v>0</v>
      </c>
      <c r="R168" s="11"/>
    </row>
    <row r="169" spans="1:18" ht="4.2" customHeight="1" x14ac:dyDescent="0.3">
      <c r="A169" s="81"/>
      <c r="B169" s="81"/>
      <c r="C169" s="81"/>
      <c r="D169" s="82"/>
      <c r="E169" s="97"/>
      <c r="F169" s="96"/>
      <c r="G169" s="96"/>
      <c r="H169" s="96"/>
      <c r="I169" s="96"/>
      <c r="J169" s="96"/>
      <c r="K169" s="96"/>
      <c r="L169" s="96"/>
      <c r="M169" s="13"/>
      <c r="N169" s="96">
        <f t="shared" si="13"/>
        <v>0</v>
      </c>
      <c r="O169" s="81"/>
      <c r="P169" s="81"/>
      <c r="Q169" s="81"/>
      <c r="R169" s="81"/>
    </row>
    <row r="170" spans="1:18" x14ac:dyDescent="0.3">
      <c r="A170" s="4">
        <f>A162+SUM(A164:A168)</f>
        <v>-195201.99999999994</v>
      </c>
      <c r="B170" s="4">
        <f t="shared" ref="B170:L170" si="15">B162+SUM(B164:B168)</f>
        <v>-120522.49999999994</v>
      </c>
      <c r="C170" s="4">
        <f t="shared" si="15"/>
        <v>-167099.41999999998</v>
      </c>
      <c r="D170" s="4">
        <f t="shared" si="15"/>
        <v>58609.000000000036</v>
      </c>
      <c r="E170" s="4">
        <f t="shared" si="15"/>
        <v>137620.00000000003</v>
      </c>
      <c r="F170" s="4">
        <f t="shared" si="15"/>
        <v>67515.500000000044</v>
      </c>
      <c r="G170" s="4">
        <f t="shared" si="15"/>
        <v>90886.100000000122</v>
      </c>
      <c r="H170" s="4">
        <f>H162+SUM(H164:H168)</f>
        <v>130948.50000000012</v>
      </c>
      <c r="I170" s="4">
        <f t="shared" si="15"/>
        <v>74734.000000000087</v>
      </c>
      <c r="J170" s="4">
        <f t="shared" si="15"/>
        <v>485578.09000000008</v>
      </c>
      <c r="K170" s="4">
        <f t="shared" si="15"/>
        <v>11066353.5</v>
      </c>
      <c r="L170" s="4">
        <f t="shared" si="15"/>
        <v>497103.5</v>
      </c>
      <c r="M170" s="13" t="s">
        <v>223</v>
      </c>
      <c r="N170" s="4">
        <f>SUM(A170:H170)</f>
        <v>2755.1800000004878</v>
      </c>
      <c r="O170" s="4"/>
      <c r="P170" s="4"/>
      <c r="Q170" s="4"/>
      <c r="R170" s="4"/>
    </row>
    <row r="171" spans="1:18" ht="7.95" customHeight="1" x14ac:dyDescent="0.3">
      <c r="A171" s="99"/>
      <c r="B171" s="99"/>
      <c r="C171" s="99"/>
      <c r="D171" s="100"/>
      <c r="E171" s="98"/>
      <c r="I171" s="78"/>
      <c r="K171" s="78"/>
      <c r="L171" s="78"/>
      <c r="M171" s="13"/>
      <c r="N171" s="78">
        <f t="shared" si="13"/>
        <v>0</v>
      </c>
      <c r="O171" s="99"/>
      <c r="P171" s="99"/>
      <c r="Q171" s="99"/>
      <c r="R171" s="99"/>
    </row>
    <row r="172" spans="1:18" x14ac:dyDescent="0.3">
      <c r="A172" s="4">
        <f>A129-A170</f>
        <v>195201.99999999994</v>
      </c>
      <c r="B172" s="4">
        <f>B129-B170</f>
        <v>120522.49999999994</v>
      </c>
      <c r="C172" s="4">
        <f>C129-C170</f>
        <v>167099.41999999998</v>
      </c>
      <c r="D172" s="4">
        <f>D129-D170</f>
        <v>-58609.000000000036</v>
      </c>
      <c r="E172" s="4">
        <f>E129-E170</f>
        <v>-146908.90000000002</v>
      </c>
      <c r="F172" s="4">
        <f t="shared" ref="F172:N172" si="16">F129-F170</f>
        <v>-76804.400000000038</v>
      </c>
      <c r="G172" s="4">
        <f>G129-G170</f>
        <v>-100175.00000000012</v>
      </c>
      <c r="H172" s="4" t="e">
        <f t="shared" si="16"/>
        <v>#REF!</v>
      </c>
      <c r="I172" s="4">
        <f>I129-I170</f>
        <v>-74734.000000000087</v>
      </c>
      <c r="J172" s="4">
        <f t="shared" si="16"/>
        <v>-485578.09000000008</v>
      </c>
      <c r="K172" s="4">
        <f t="shared" si="16"/>
        <v>-11066353.5</v>
      </c>
      <c r="L172" s="4">
        <f t="shared" si="16"/>
        <v>-497103.5</v>
      </c>
      <c r="M172" s="13" t="s">
        <v>224</v>
      </c>
      <c r="N172" s="4" t="e">
        <f t="shared" si="16"/>
        <v>#REF!</v>
      </c>
      <c r="O172" s="4"/>
      <c r="P172" s="4"/>
      <c r="Q172" s="4"/>
      <c r="R172" s="4"/>
    </row>
    <row r="173" spans="1:18" x14ac:dyDescent="0.3">
      <c r="A173" s="101"/>
      <c r="B173" s="101"/>
      <c r="C173" s="101"/>
      <c r="D173" s="102"/>
      <c r="E173" s="98"/>
      <c r="M173" s="123"/>
      <c r="N173" s="101"/>
      <c r="O173" s="101"/>
      <c r="P173" s="101"/>
      <c r="Q173" s="101"/>
      <c r="R173" s="101"/>
    </row>
    <row r="174" spans="1:18" x14ac:dyDescent="0.3">
      <c r="A174" s="103"/>
      <c r="B174" s="103"/>
      <c r="C174" s="103"/>
      <c r="D174" s="104"/>
      <c r="M174" s="123"/>
      <c r="N174" s="103"/>
      <c r="O174" s="103"/>
      <c r="P174" s="103"/>
      <c r="Q174" s="103"/>
      <c r="R174" s="103"/>
    </row>
    <row r="175" spans="1:18" x14ac:dyDescent="0.3">
      <c r="A175" s="103"/>
      <c r="B175" s="103"/>
      <c r="C175" s="103"/>
      <c r="D175" s="104"/>
      <c r="M175" s="123"/>
      <c r="N175" s="103"/>
      <c r="O175" s="103"/>
      <c r="P175" s="103"/>
      <c r="Q175" s="103"/>
      <c r="R175" s="103"/>
    </row>
    <row r="176" spans="1:18" x14ac:dyDescent="0.3">
      <c r="A176" s="105"/>
      <c r="B176" s="105"/>
      <c r="C176" s="105"/>
      <c r="D176" s="104"/>
      <c r="G176" s="98"/>
      <c r="M176" s="123"/>
      <c r="N176" s="105"/>
      <c r="O176" s="105"/>
      <c r="P176" s="105"/>
      <c r="Q176" s="105"/>
      <c r="R176" s="105"/>
    </row>
    <row r="177" spans="1:18" x14ac:dyDescent="0.3">
      <c r="A177" s="103"/>
      <c r="B177" s="103"/>
      <c r="C177" s="103"/>
      <c r="D177" s="104"/>
      <c r="G177" s="98"/>
      <c r="M177" s="123"/>
      <c r="N177" s="103"/>
      <c r="O177" s="103"/>
      <c r="P177" s="103"/>
      <c r="Q177" s="103"/>
      <c r="R177" s="103"/>
    </row>
    <row r="178" spans="1:18" x14ac:dyDescent="0.3">
      <c r="A178" s="105"/>
      <c r="B178" s="105"/>
      <c r="C178" s="105"/>
      <c r="D178" s="104"/>
      <c r="G178" s="98"/>
      <c r="M178" s="123"/>
      <c r="N178" s="105"/>
      <c r="O178" s="105"/>
      <c r="P178" s="105"/>
      <c r="Q178" s="105"/>
      <c r="R178" s="105"/>
    </row>
    <row r="179" spans="1:18" x14ac:dyDescent="0.3">
      <c r="A179" s="15"/>
      <c r="B179" s="15"/>
      <c r="C179" s="15"/>
      <c r="D179" s="106"/>
      <c r="M179" s="123"/>
      <c r="N179" s="15"/>
      <c r="O179" s="15"/>
      <c r="P179" s="15"/>
      <c r="Q179" s="15"/>
      <c r="R179" s="15"/>
    </row>
    <row r="180" spans="1:18" x14ac:dyDescent="0.3">
      <c r="A180" s="15"/>
      <c r="B180" s="15"/>
      <c r="C180" s="15"/>
      <c r="D180" s="106"/>
      <c r="M180" s="123"/>
      <c r="N180" s="15"/>
      <c r="O180" s="15"/>
      <c r="P180" s="15"/>
      <c r="Q180" s="15"/>
      <c r="R180" s="15"/>
    </row>
  </sheetData>
  <mergeCells count="4">
    <mergeCell ref="M1:N1"/>
    <mergeCell ref="A3:L3"/>
    <mergeCell ref="N3:R3"/>
    <mergeCell ref="M4:M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3:T172"/>
  <sheetViews>
    <sheetView workbookViewId="0">
      <selection activeCell="B52" sqref="B52"/>
    </sheetView>
  </sheetViews>
  <sheetFormatPr defaultRowHeight="14.4" x14ac:dyDescent="0.3"/>
  <cols>
    <col min="1" max="1" width="11" bestFit="1" customWidth="1"/>
    <col min="2" max="3" width="11" style="167" customWidth="1"/>
    <col min="4" max="4" width="11" bestFit="1" customWidth="1"/>
    <col min="5" max="5" width="12.109375" bestFit="1" customWidth="1"/>
    <col min="6" max="6" width="11" bestFit="1" customWidth="1"/>
    <col min="7" max="7" width="12.109375" bestFit="1" customWidth="1"/>
    <col min="8" max="9" width="11" bestFit="1" customWidth="1"/>
    <col min="10" max="14" width="8.6640625" bestFit="1" customWidth="1"/>
    <col min="15" max="15" width="61.33203125" bestFit="1" customWidth="1"/>
    <col min="16" max="16" width="12.109375" bestFit="1" customWidth="1"/>
    <col min="17" max="17" width="24.33203125" bestFit="1" customWidth="1"/>
    <col min="18" max="18" width="7.6640625" bestFit="1" customWidth="1"/>
    <col min="19" max="19" width="12" bestFit="1" customWidth="1"/>
    <col min="20" max="20" width="10.88671875" bestFit="1" customWidth="1"/>
  </cols>
  <sheetData>
    <row r="3" spans="1:20" x14ac:dyDescent="0.3">
      <c r="A3" s="408" t="s">
        <v>231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14" t="s">
        <v>69</v>
      </c>
      <c r="P3" s="424" t="s">
        <v>226</v>
      </c>
      <c r="Q3" s="425"/>
      <c r="R3" s="425"/>
      <c r="S3" s="425"/>
      <c r="T3" s="425"/>
    </row>
    <row r="4" spans="1:20" x14ac:dyDescent="0.3">
      <c r="A4" s="125">
        <v>43191</v>
      </c>
      <c r="B4" s="125" t="s">
        <v>284</v>
      </c>
      <c r="C4" s="125" t="s">
        <v>236</v>
      </c>
      <c r="D4" s="125">
        <v>43221</v>
      </c>
      <c r="E4" s="125">
        <v>43252</v>
      </c>
      <c r="F4" s="125">
        <v>43282</v>
      </c>
      <c r="G4" s="125">
        <v>43313</v>
      </c>
      <c r="H4" s="125">
        <v>43344</v>
      </c>
      <c r="I4" s="125">
        <v>43374</v>
      </c>
      <c r="J4" s="125">
        <v>43405</v>
      </c>
      <c r="K4" s="125">
        <v>43435</v>
      </c>
      <c r="L4" s="125">
        <v>43466</v>
      </c>
      <c r="M4" s="125">
        <v>43497</v>
      </c>
      <c r="N4" s="125">
        <v>43525</v>
      </c>
      <c r="O4" s="395" t="s">
        <v>230</v>
      </c>
      <c r="P4" s="125" t="s">
        <v>250</v>
      </c>
      <c r="Q4" s="125" t="s">
        <v>249</v>
      </c>
      <c r="R4" s="125" t="s">
        <v>18</v>
      </c>
      <c r="S4" s="125" t="s">
        <v>228</v>
      </c>
      <c r="T4" s="125" t="s">
        <v>229</v>
      </c>
    </row>
    <row r="5" spans="1:20" ht="41.4" x14ac:dyDescent="0.3">
      <c r="A5" s="10" t="s">
        <v>2</v>
      </c>
      <c r="B5" s="10" t="s">
        <v>2</v>
      </c>
      <c r="C5" s="10"/>
      <c r="D5" s="10" t="s">
        <v>1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10" t="s">
        <v>1</v>
      </c>
      <c r="N5" s="10" t="s">
        <v>1</v>
      </c>
      <c r="O5" s="396"/>
      <c r="P5" s="10" t="s">
        <v>251</v>
      </c>
      <c r="Q5" s="10" t="s">
        <v>1</v>
      </c>
      <c r="R5" s="10"/>
      <c r="S5" s="10"/>
      <c r="T5" s="10"/>
    </row>
    <row r="6" spans="1:20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24"/>
      <c r="P6" s="1"/>
      <c r="Q6" s="1"/>
      <c r="R6" s="1"/>
      <c r="S6" s="1"/>
      <c r="T6" s="1"/>
    </row>
    <row r="7" spans="1:20" x14ac:dyDescent="0.3">
      <c r="A7" s="8">
        <v>27635.07</v>
      </c>
      <c r="B7" s="8">
        <v>27635.07</v>
      </c>
      <c r="C7" s="8">
        <f>A7-B7</f>
        <v>0</v>
      </c>
      <c r="D7" s="8"/>
      <c r="E7" s="8"/>
      <c r="F7" s="8">
        <v>24548.11</v>
      </c>
      <c r="G7" s="8">
        <v>36645.800000000003</v>
      </c>
      <c r="H7" s="8">
        <v>35704.910000000003</v>
      </c>
      <c r="I7" s="8">
        <v>40778.230000000003</v>
      </c>
      <c r="J7" s="8"/>
      <c r="K7" s="8"/>
      <c r="L7" s="8"/>
      <c r="M7" s="8"/>
      <c r="N7" s="8"/>
      <c r="O7" s="187" t="s">
        <v>77</v>
      </c>
      <c r="P7" s="8">
        <v>165312.12000000002</v>
      </c>
      <c r="Q7" s="8"/>
      <c r="R7" s="8"/>
      <c r="S7" s="8"/>
      <c r="T7" s="8"/>
    </row>
    <row r="8" spans="1:20" x14ac:dyDescent="0.3">
      <c r="A8" s="7">
        <v>1973056.85</v>
      </c>
      <c r="B8" s="7">
        <v>2000454.6800000002</v>
      </c>
      <c r="C8" s="202">
        <f t="shared" ref="C8:C71" si="0">A8-B8</f>
        <v>-27397.830000000075</v>
      </c>
      <c r="D8" s="7">
        <v>2199694.52</v>
      </c>
      <c r="E8" s="7">
        <v>2411887.9500000002</v>
      </c>
      <c r="F8" s="7">
        <v>2172601.84</v>
      </c>
      <c r="G8" s="7">
        <v>2140564.63</v>
      </c>
      <c r="H8" s="7">
        <v>2164252.9700000002</v>
      </c>
      <c r="I8" s="7">
        <v>2174325.7399999998</v>
      </c>
      <c r="J8" s="7"/>
      <c r="K8" s="7"/>
      <c r="L8" s="7"/>
      <c r="M8" s="7"/>
      <c r="N8" s="7"/>
      <c r="O8" s="13" t="s">
        <v>78</v>
      </c>
      <c r="P8" s="7">
        <v>15236384.5</v>
      </c>
      <c r="Q8" s="7"/>
      <c r="R8" s="7"/>
      <c r="S8" s="7"/>
      <c r="T8" s="7"/>
    </row>
    <row r="9" spans="1:20" x14ac:dyDescent="0.3">
      <c r="A9" s="7">
        <v>0</v>
      </c>
      <c r="B9" s="7">
        <v>0</v>
      </c>
      <c r="C9" s="7">
        <f t="shared" si="0"/>
        <v>0</v>
      </c>
      <c r="D9" s="7"/>
      <c r="E9" s="7"/>
      <c r="F9" s="7">
        <v>0</v>
      </c>
      <c r="G9" s="7"/>
      <c r="H9" s="7"/>
      <c r="I9" s="7"/>
      <c r="J9" s="7"/>
      <c r="K9" s="7"/>
      <c r="L9" s="7"/>
      <c r="M9" s="7"/>
      <c r="N9" s="7"/>
      <c r="O9" s="13" t="s">
        <v>80</v>
      </c>
      <c r="P9" s="7">
        <v>0</v>
      </c>
      <c r="Q9" s="7"/>
      <c r="R9" s="7"/>
      <c r="S9" s="7"/>
      <c r="T9" s="7"/>
    </row>
    <row r="10" spans="1:20" x14ac:dyDescent="0.3">
      <c r="A10" s="7">
        <v>4488.76</v>
      </c>
      <c r="B10" s="7">
        <v>4488.76</v>
      </c>
      <c r="C10" s="7">
        <f t="shared" si="0"/>
        <v>0</v>
      </c>
      <c r="D10" s="7"/>
      <c r="E10" s="7"/>
      <c r="F10" s="7">
        <v>4097.1400000000003</v>
      </c>
      <c r="G10" s="7">
        <v>4871.3399999999992</v>
      </c>
      <c r="H10" s="7">
        <v>6637.52</v>
      </c>
      <c r="I10" s="7">
        <v>6352.73</v>
      </c>
      <c r="J10" s="7"/>
      <c r="K10" s="7"/>
      <c r="L10" s="7"/>
      <c r="M10" s="7"/>
      <c r="N10" s="7"/>
      <c r="O10" s="13" t="s">
        <v>81</v>
      </c>
      <c r="P10" s="7">
        <v>26447.49</v>
      </c>
      <c r="Q10" s="7"/>
      <c r="R10" s="7"/>
      <c r="S10" s="7"/>
      <c r="T10" s="7"/>
    </row>
    <row r="11" spans="1:20" x14ac:dyDescent="0.3">
      <c r="A11" s="7"/>
      <c r="B11" s="7">
        <v>0</v>
      </c>
      <c r="C11" s="7">
        <f t="shared" si="0"/>
        <v>0</v>
      </c>
      <c r="D11" s="7"/>
      <c r="E11" s="7"/>
      <c r="F11" s="7">
        <v>0</v>
      </c>
      <c r="G11" s="7"/>
      <c r="H11" s="7"/>
      <c r="I11" s="7"/>
      <c r="J11" s="7"/>
      <c r="K11" s="7"/>
      <c r="L11" s="7"/>
      <c r="M11" s="7"/>
      <c r="N11" s="7"/>
      <c r="O11" s="13" t="s">
        <v>82</v>
      </c>
      <c r="P11" s="7">
        <v>0</v>
      </c>
      <c r="Q11" s="7"/>
      <c r="R11" s="7"/>
      <c r="S11" s="7"/>
      <c r="T11" s="7"/>
    </row>
    <row r="12" spans="1:20" x14ac:dyDescent="0.3">
      <c r="A12" s="7">
        <v>19217.400000000001</v>
      </c>
      <c r="B12" s="7">
        <v>19217.400000000001</v>
      </c>
      <c r="C12" s="7">
        <f t="shared" si="0"/>
        <v>0</v>
      </c>
      <c r="D12" s="7">
        <v>20355.38</v>
      </c>
      <c r="E12" s="7"/>
      <c r="F12" s="7">
        <v>24081.1</v>
      </c>
      <c r="G12" s="7">
        <v>20828.389999999992</v>
      </c>
      <c r="H12" s="7">
        <v>21307.800000000003</v>
      </c>
      <c r="I12" s="7">
        <v>22069.86</v>
      </c>
      <c r="J12" s="7"/>
      <c r="K12" s="7"/>
      <c r="L12" s="7"/>
      <c r="M12" s="7"/>
      <c r="N12" s="7"/>
      <c r="O12" s="13" t="s">
        <v>83</v>
      </c>
      <c r="P12" s="7">
        <v>127859.93</v>
      </c>
      <c r="Q12" s="7"/>
      <c r="R12" s="7"/>
      <c r="S12" s="7"/>
      <c r="T12" s="7"/>
    </row>
    <row r="13" spans="1:20" x14ac:dyDescent="0.3">
      <c r="A13" s="7">
        <v>6745.43</v>
      </c>
      <c r="B13" s="202">
        <v>6745.3700000000008</v>
      </c>
      <c r="C13" s="7">
        <f t="shared" si="0"/>
        <v>5.9999999999490683E-2</v>
      </c>
      <c r="D13" s="7">
        <v>4172.4799999999996</v>
      </c>
      <c r="E13" s="7">
        <v>10850.1</v>
      </c>
      <c r="F13" s="7">
        <v>16481.27</v>
      </c>
      <c r="G13" s="7">
        <v>13019.41</v>
      </c>
      <c r="H13" s="7">
        <v>8657.869999999999</v>
      </c>
      <c r="I13" s="7">
        <v>8032.02</v>
      </c>
      <c r="J13" s="7"/>
      <c r="K13" s="7"/>
      <c r="L13" s="7"/>
      <c r="M13" s="7"/>
      <c r="N13" s="7"/>
      <c r="O13" s="13" t="s">
        <v>84</v>
      </c>
      <c r="P13" s="7">
        <v>67958.58</v>
      </c>
      <c r="Q13" s="7"/>
      <c r="R13" s="7"/>
      <c r="S13" s="7"/>
      <c r="T13" s="7"/>
    </row>
    <row r="14" spans="1:20" x14ac:dyDescent="0.3">
      <c r="A14" s="7"/>
      <c r="B14" s="7">
        <v>0</v>
      </c>
      <c r="C14" s="7">
        <f t="shared" si="0"/>
        <v>0</v>
      </c>
      <c r="D14" s="7"/>
      <c r="E14" s="7"/>
      <c r="F14" s="7">
        <v>0</v>
      </c>
      <c r="G14" s="7">
        <v>0</v>
      </c>
      <c r="H14" s="7"/>
      <c r="I14" s="7"/>
      <c r="J14" s="7"/>
      <c r="K14" s="7"/>
      <c r="L14" s="7"/>
      <c r="M14" s="7"/>
      <c r="N14" s="7"/>
      <c r="O14" s="13" t="s">
        <v>86</v>
      </c>
      <c r="P14" s="7">
        <v>0</v>
      </c>
      <c r="Q14" s="7"/>
      <c r="R14" s="7"/>
      <c r="S14" s="7"/>
      <c r="T14" s="7"/>
    </row>
    <row r="15" spans="1:20" x14ac:dyDescent="0.3">
      <c r="A15" s="7"/>
      <c r="B15" s="7">
        <v>0</v>
      </c>
      <c r="C15" s="7">
        <f t="shared" si="0"/>
        <v>0</v>
      </c>
      <c r="D15" s="7">
        <v>6000</v>
      </c>
      <c r="E15" s="7"/>
      <c r="F15" s="7">
        <v>3000</v>
      </c>
      <c r="G15" s="7">
        <v>9000</v>
      </c>
      <c r="H15" s="7">
        <v>12000</v>
      </c>
      <c r="I15" s="7">
        <v>0</v>
      </c>
      <c r="J15" s="7"/>
      <c r="K15" s="7"/>
      <c r="L15" s="7"/>
      <c r="M15" s="7"/>
      <c r="N15" s="7"/>
      <c r="O15" s="13" t="s">
        <v>87</v>
      </c>
      <c r="P15" s="7">
        <v>30000</v>
      </c>
      <c r="Q15" s="7"/>
      <c r="R15" s="7"/>
      <c r="S15" s="7"/>
      <c r="T15" s="7"/>
    </row>
    <row r="16" spans="1:20" x14ac:dyDescent="0.3">
      <c r="A16" s="11"/>
      <c r="B16" s="11">
        <v>0</v>
      </c>
      <c r="C16" s="11">
        <f t="shared" si="0"/>
        <v>0</v>
      </c>
      <c r="D16" s="11"/>
      <c r="E16" s="11"/>
      <c r="F16" s="11"/>
      <c r="G16" s="11">
        <v>0</v>
      </c>
      <c r="H16" s="11"/>
      <c r="I16" s="11"/>
      <c r="J16" s="11"/>
      <c r="K16" s="11"/>
      <c r="L16" s="11"/>
      <c r="M16" s="11"/>
      <c r="N16" s="11"/>
      <c r="O16" s="13" t="s">
        <v>88</v>
      </c>
      <c r="P16" s="11">
        <v>0</v>
      </c>
      <c r="Q16" s="11"/>
      <c r="R16" s="11"/>
      <c r="S16" s="11"/>
      <c r="T16" s="11"/>
    </row>
    <row r="17" spans="1:20" x14ac:dyDescent="0.3">
      <c r="A17" s="81"/>
      <c r="B17" s="81">
        <v>0</v>
      </c>
      <c r="C17" s="81">
        <f t="shared" si="0"/>
        <v>0</v>
      </c>
      <c r="D17" s="81"/>
      <c r="E17" s="81"/>
      <c r="F17" s="85"/>
      <c r="G17" s="83"/>
      <c r="H17" s="83"/>
      <c r="I17" s="83"/>
      <c r="J17" s="83"/>
      <c r="K17" s="83"/>
      <c r="L17" s="83"/>
      <c r="M17" s="84"/>
      <c r="N17" s="84"/>
      <c r="O17" s="13"/>
      <c r="P17" s="81">
        <v>0</v>
      </c>
      <c r="Q17" s="81"/>
      <c r="R17" s="81"/>
      <c r="S17" s="81"/>
      <c r="T17" s="81"/>
    </row>
    <row r="18" spans="1:20" x14ac:dyDescent="0.3">
      <c r="A18" s="4">
        <v>2031143.51</v>
      </c>
      <c r="B18" s="4">
        <v>2057268.2800000003</v>
      </c>
      <c r="C18" s="4">
        <f t="shared" si="0"/>
        <v>-26124.770000000251</v>
      </c>
      <c r="D18" s="4">
        <v>2230222.38</v>
      </c>
      <c r="E18" s="4">
        <v>2422738.0500000003</v>
      </c>
      <c r="F18" s="4">
        <v>2244809.46</v>
      </c>
      <c r="G18" s="4">
        <v>2224929.5699999998</v>
      </c>
      <c r="H18" s="4">
        <v>2248561.0700000003</v>
      </c>
      <c r="I18" s="4">
        <v>2251558.5799999996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13" t="s">
        <v>89</v>
      </c>
      <c r="P18" s="4">
        <v>15653962.619999999</v>
      </c>
      <c r="Q18" s="4"/>
      <c r="R18" s="4"/>
      <c r="S18" s="4"/>
      <c r="T18" s="4"/>
    </row>
    <row r="19" spans="1:20" x14ac:dyDescent="0.3">
      <c r="A19" s="81"/>
      <c r="B19" s="81">
        <v>0</v>
      </c>
      <c r="C19" s="81">
        <f t="shared" si="0"/>
        <v>0</v>
      </c>
      <c r="D19" s="81"/>
      <c r="E19" s="81"/>
      <c r="F19" s="82"/>
      <c r="G19" s="86"/>
      <c r="H19" s="86"/>
      <c r="I19" s="86"/>
      <c r="J19" s="87"/>
      <c r="K19" s="87"/>
      <c r="L19" s="87"/>
      <c r="M19" s="88"/>
      <c r="N19" s="88"/>
      <c r="O19" s="122"/>
      <c r="P19" s="81">
        <v>0</v>
      </c>
      <c r="Q19" s="81"/>
      <c r="R19" s="81"/>
      <c r="S19" s="81"/>
      <c r="T19" s="81"/>
    </row>
    <row r="20" spans="1:20" x14ac:dyDescent="0.3">
      <c r="A20" s="8">
        <v>12357.21</v>
      </c>
      <c r="B20" s="8">
        <v>12357.21</v>
      </c>
      <c r="C20" s="8">
        <f t="shared" si="0"/>
        <v>0</v>
      </c>
      <c r="D20" s="8"/>
      <c r="E20" s="8"/>
      <c r="F20" s="8"/>
      <c r="G20" s="8">
        <v>26970.720000000001</v>
      </c>
      <c r="H20" s="8"/>
      <c r="I20" s="8">
        <v>26970.720000000001</v>
      </c>
      <c r="J20" s="8"/>
      <c r="K20" s="8"/>
      <c r="L20" s="8"/>
      <c r="M20" s="8"/>
      <c r="N20" s="8"/>
      <c r="O20" s="187" t="s">
        <v>90</v>
      </c>
      <c r="P20" s="8">
        <v>66298.649999999994</v>
      </c>
      <c r="Q20" s="8"/>
      <c r="R20" s="8"/>
      <c r="S20" s="8"/>
      <c r="T20" s="8"/>
    </row>
    <row r="21" spans="1:20" x14ac:dyDescent="0.3">
      <c r="A21" s="7">
        <v>252.2</v>
      </c>
      <c r="B21" s="7">
        <v>252.5</v>
      </c>
      <c r="C21" s="7">
        <f t="shared" si="0"/>
        <v>-0.30000000000001137</v>
      </c>
      <c r="D21" s="7"/>
      <c r="E21" s="7">
        <v>1063104.31</v>
      </c>
      <c r="F21" s="7">
        <v>676967.18</v>
      </c>
      <c r="G21" s="7">
        <v>21986.06</v>
      </c>
      <c r="H21" s="7">
        <v>305208.46999999997</v>
      </c>
      <c r="I21" s="7">
        <v>414722.76</v>
      </c>
      <c r="J21" s="7"/>
      <c r="K21" s="7"/>
      <c r="L21" s="7"/>
      <c r="M21" s="7"/>
      <c r="N21" s="7"/>
      <c r="O21" s="13" t="s">
        <v>91</v>
      </c>
      <c r="P21" s="7">
        <v>2482240.98</v>
      </c>
      <c r="Q21" s="7"/>
      <c r="R21" s="7"/>
      <c r="S21" s="7"/>
      <c r="T21" s="7"/>
    </row>
    <row r="22" spans="1:20" x14ac:dyDescent="0.3">
      <c r="A22" s="7">
        <v>10800</v>
      </c>
      <c r="B22" s="7">
        <v>10800</v>
      </c>
      <c r="C22" s="7">
        <f t="shared" si="0"/>
        <v>0</v>
      </c>
      <c r="D22" s="7"/>
      <c r="E22" s="7">
        <v>5698.5</v>
      </c>
      <c r="F22" s="7"/>
      <c r="G22" s="7"/>
      <c r="H22" s="7"/>
      <c r="I22" s="7"/>
      <c r="J22" s="7"/>
      <c r="K22" s="7"/>
      <c r="L22" s="7"/>
      <c r="M22" s="7"/>
      <c r="N22" s="7"/>
      <c r="O22" s="13" t="s">
        <v>92</v>
      </c>
      <c r="P22" s="7">
        <v>16498.5</v>
      </c>
      <c r="Q22" s="7"/>
      <c r="R22" s="7"/>
      <c r="S22" s="7"/>
      <c r="T22" s="7"/>
    </row>
    <row r="23" spans="1:20" x14ac:dyDescent="0.3">
      <c r="A23" s="7"/>
      <c r="B23" s="7">
        <v>0</v>
      </c>
      <c r="C23" s="7">
        <f t="shared" si="0"/>
        <v>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25" t="s">
        <v>93</v>
      </c>
      <c r="P23" s="7">
        <v>0</v>
      </c>
      <c r="Q23" s="7"/>
      <c r="R23" s="7"/>
      <c r="S23" s="7"/>
      <c r="T23" s="7"/>
    </row>
    <row r="24" spans="1:20" x14ac:dyDescent="0.3">
      <c r="A24" s="7"/>
      <c r="B24" s="7">
        <v>0</v>
      </c>
      <c r="C24" s="7">
        <f t="shared" si="0"/>
        <v>0</v>
      </c>
      <c r="D24" s="7"/>
      <c r="E24" s="7"/>
      <c r="F24" s="7"/>
      <c r="G24" s="7"/>
      <c r="H24" s="7"/>
      <c r="I24" s="7">
        <v>47149.95</v>
      </c>
      <c r="J24" s="7"/>
      <c r="K24" s="7"/>
      <c r="L24" s="7"/>
      <c r="M24" s="7"/>
      <c r="N24" s="7"/>
      <c r="O24" s="125" t="s">
        <v>94</v>
      </c>
      <c r="P24" s="7">
        <v>47149.95</v>
      </c>
      <c r="Q24" s="7"/>
      <c r="R24" s="7"/>
      <c r="S24" s="7"/>
      <c r="T24" s="7"/>
    </row>
    <row r="25" spans="1:20" x14ac:dyDescent="0.3">
      <c r="A25" s="7">
        <v>13820</v>
      </c>
      <c r="B25" s="7">
        <v>13820</v>
      </c>
      <c r="C25" s="7">
        <f t="shared" si="0"/>
        <v>0</v>
      </c>
      <c r="D25" s="7"/>
      <c r="E25" s="7"/>
      <c r="F25" s="7">
        <v>1700</v>
      </c>
      <c r="G25" s="7"/>
      <c r="H25" s="7"/>
      <c r="I25" s="7"/>
      <c r="J25" s="7"/>
      <c r="K25" s="7"/>
      <c r="L25" s="7"/>
      <c r="M25" s="7"/>
      <c r="N25" s="7"/>
      <c r="O25" s="13" t="s">
        <v>95</v>
      </c>
      <c r="P25" s="7">
        <v>15520</v>
      </c>
      <c r="Q25" s="7"/>
      <c r="R25" s="7"/>
      <c r="S25" s="7"/>
      <c r="T25" s="7"/>
    </row>
    <row r="26" spans="1:20" x14ac:dyDescent="0.3">
      <c r="A26" s="11"/>
      <c r="B26" s="11">
        <v>0</v>
      </c>
      <c r="C26" s="11">
        <f t="shared" si="0"/>
        <v>0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3" t="s">
        <v>96</v>
      </c>
      <c r="P26" s="11">
        <v>0</v>
      </c>
      <c r="Q26" s="11"/>
      <c r="R26" s="11"/>
      <c r="S26" s="11"/>
      <c r="T26" s="11"/>
    </row>
    <row r="27" spans="1:20" x14ac:dyDescent="0.3">
      <c r="A27" s="81"/>
      <c r="B27" s="81">
        <v>0</v>
      </c>
      <c r="C27" s="81">
        <f t="shared" si="0"/>
        <v>0</v>
      </c>
      <c r="D27" s="81"/>
      <c r="E27" s="81"/>
      <c r="F27" s="85"/>
      <c r="G27" s="83"/>
      <c r="H27" s="83"/>
      <c r="I27" s="83"/>
      <c r="J27" s="83"/>
      <c r="K27" s="83"/>
      <c r="L27" s="83"/>
      <c r="M27" s="84"/>
      <c r="N27" s="84"/>
      <c r="O27" s="13"/>
      <c r="P27" s="81">
        <v>0</v>
      </c>
      <c r="Q27" s="81"/>
      <c r="R27" s="81"/>
      <c r="S27" s="81"/>
      <c r="T27" s="81"/>
    </row>
    <row r="28" spans="1:20" x14ac:dyDescent="0.3">
      <c r="A28" s="4">
        <v>37229.410000000003</v>
      </c>
      <c r="B28" s="4">
        <v>37229.71</v>
      </c>
      <c r="C28" s="4">
        <f t="shared" si="0"/>
        <v>-0.29999999999563443</v>
      </c>
      <c r="D28" s="4">
        <v>0</v>
      </c>
      <c r="E28" s="4">
        <v>1068802.81</v>
      </c>
      <c r="F28" s="4">
        <v>678667.18</v>
      </c>
      <c r="G28" s="4">
        <v>48956.78</v>
      </c>
      <c r="H28" s="4">
        <v>305208.46999999997</v>
      </c>
      <c r="I28" s="4">
        <v>488843.43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13" t="s">
        <v>97</v>
      </c>
      <c r="P28" s="4">
        <v>2627708.08</v>
      </c>
      <c r="Q28" s="4"/>
      <c r="R28" s="4"/>
      <c r="S28" s="4"/>
      <c r="T28" s="4"/>
    </row>
    <row r="29" spans="1:20" x14ac:dyDescent="0.3">
      <c r="A29" s="81"/>
      <c r="B29" s="81">
        <v>0</v>
      </c>
      <c r="C29" s="81">
        <f t="shared" si="0"/>
        <v>0</v>
      </c>
      <c r="D29" s="81"/>
      <c r="E29" s="81"/>
      <c r="F29" s="82"/>
      <c r="G29" s="86"/>
      <c r="H29" s="86"/>
      <c r="I29" s="86"/>
      <c r="J29" s="87"/>
      <c r="K29" s="87"/>
      <c r="L29" s="87"/>
      <c r="M29" s="84"/>
      <c r="N29" s="84"/>
      <c r="O29" s="80"/>
      <c r="P29" s="81">
        <v>0</v>
      </c>
      <c r="Q29" s="81"/>
      <c r="R29" s="81"/>
      <c r="S29" s="81"/>
      <c r="T29" s="81"/>
    </row>
    <row r="30" spans="1:20" x14ac:dyDescent="0.3">
      <c r="A30" s="8"/>
      <c r="B30" s="8">
        <v>0</v>
      </c>
      <c r="C30" s="8">
        <f t="shared" si="0"/>
        <v>0</v>
      </c>
      <c r="D30" s="8">
        <v>281980.15999999997</v>
      </c>
      <c r="E30" s="8">
        <v>449522.95</v>
      </c>
      <c r="F30" s="8"/>
      <c r="G30" s="8">
        <v>637282.17000000004</v>
      </c>
      <c r="H30" s="8"/>
      <c r="I30" s="8">
        <v>526767.29</v>
      </c>
      <c r="J30" s="8"/>
      <c r="K30" s="8"/>
      <c r="L30" s="8"/>
      <c r="M30" s="8"/>
      <c r="N30" s="8"/>
      <c r="O30" s="187" t="s">
        <v>98</v>
      </c>
      <c r="P30" s="8">
        <v>1895552.57</v>
      </c>
      <c r="Q30" s="8"/>
      <c r="R30" s="8"/>
      <c r="S30" s="8"/>
      <c r="T30" s="8"/>
    </row>
    <row r="31" spans="1:20" x14ac:dyDescent="0.3">
      <c r="A31" s="7">
        <v>1724.39</v>
      </c>
      <c r="B31" s="7">
        <v>1724.39</v>
      </c>
      <c r="C31" s="7">
        <f t="shared" si="0"/>
        <v>0</v>
      </c>
      <c r="D31" s="7">
        <v>1347.09</v>
      </c>
      <c r="E31" s="7">
        <v>3623.84</v>
      </c>
      <c r="F31" s="7">
        <v>1473.35</v>
      </c>
      <c r="G31" s="7">
        <v>2822.6</v>
      </c>
      <c r="H31" s="7">
        <v>1844.66</v>
      </c>
      <c r="I31" s="7">
        <v>3036.08</v>
      </c>
      <c r="J31" s="7"/>
      <c r="K31" s="7"/>
      <c r="L31" s="7"/>
      <c r="M31" s="7"/>
      <c r="N31" s="7"/>
      <c r="O31" s="13" t="s">
        <v>99</v>
      </c>
      <c r="P31" s="7">
        <v>15872.01</v>
      </c>
      <c r="Q31" s="7"/>
      <c r="R31" s="7"/>
      <c r="S31" s="7"/>
      <c r="T31" s="7"/>
    </row>
    <row r="32" spans="1:20" x14ac:dyDescent="0.3">
      <c r="A32" s="7"/>
      <c r="B32" s="7">
        <v>0</v>
      </c>
      <c r="C32" s="7">
        <f t="shared" si="0"/>
        <v>0</v>
      </c>
      <c r="D32" s="7">
        <v>10773.2</v>
      </c>
      <c r="E32" s="7"/>
      <c r="F32" s="7"/>
      <c r="G32" s="7">
        <v>55865.14</v>
      </c>
      <c r="H32" s="7">
        <v>81501.649999999994</v>
      </c>
      <c r="I32" s="7"/>
      <c r="J32" s="7"/>
      <c r="K32" s="7"/>
      <c r="L32" s="7"/>
      <c r="M32" s="7"/>
      <c r="N32" s="7"/>
      <c r="O32" s="13" t="s">
        <v>100</v>
      </c>
      <c r="P32" s="7">
        <v>148139.99</v>
      </c>
      <c r="Q32" s="7"/>
      <c r="R32" s="7"/>
      <c r="S32" s="7"/>
      <c r="T32" s="7"/>
    </row>
    <row r="33" spans="1:20" x14ac:dyDescent="0.3">
      <c r="A33" s="7"/>
      <c r="B33" s="7">
        <v>0</v>
      </c>
      <c r="C33" s="7">
        <f t="shared" si="0"/>
        <v>0</v>
      </c>
      <c r="D33" s="7"/>
      <c r="E33" s="7"/>
      <c r="F33" s="7"/>
      <c r="G33" s="7"/>
      <c r="H33" s="7">
        <v>48000</v>
      </c>
      <c r="I33" s="7"/>
      <c r="J33" s="7"/>
      <c r="K33" s="7"/>
      <c r="L33" s="7"/>
      <c r="M33" s="7"/>
      <c r="N33" s="7"/>
      <c r="O33" s="13" t="s">
        <v>101</v>
      </c>
      <c r="P33" s="7">
        <v>48000</v>
      </c>
      <c r="Q33" s="7"/>
      <c r="R33" s="7"/>
      <c r="S33" s="7"/>
      <c r="T33" s="7"/>
    </row>
    <row r="34" spans="1:20" x14ac:dyDescent="0.3">
      <c r="A34" s="7"/>
      <c r="B34" s="7">
        <v>0</v>
      </c>
      <c r="C34" s="7">
        <f t="shared" si="0"/>
        <v>0</v>
      </c>
      <c r="D34" s="7">
        <v>45050.37</v>
      </c>
      <c r="E34" s="7">
        <v>29830.97</v>
      </c>
      <c r="F34" s="7">
        <v>41117.800000000003</v>
      </c>
      <c r="G34" s="7">
        <v>50893.01</v>
      </c>
      <c r="H34" s="7">
        <v>48089.94</v>
      </c>
      <c r="I34" s="7">
        <v>35872.93</v>
      </c>
      <c r="J34" s="7"/>
      <c r="K34" s="7"/>
      <c r="L34" s="7"/>
      <c r="M34" s="7"/>
      <c r="N34" s="7"/>
      <c r="O34" s="13" t="s">
        <v>102</v>
      </c>
      <c r="P34" s="7">
        <v>250855.02</v>
      </c>
      <c r="Q34" s="7"/>
      <c r="R34" s="7"/>
      <c r="S34" s="7"/>
      <c r="T34" s="7"/>
    </row>
    <row r="35" spans="1:20" x14ac:dyDescent="0.3">
      <c r="A35" s="7"/>
      <c r="B35" s="7">
        <v>0</v>
      </c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3" t="s">
        <v>104</v>
      </c>
      <c r="P35" s="7">
        <v>0</v>
      </c>
      <c r="Q35" s="7"/>
      <c r="R35" s="7"/>
      <c r="S35" s="7"/>
      <c r="T35" s="7"/>
    </row>
    <row r="36" spans="1:20" x14ac:dyDescent="0.3">
      <c r="A36" s="7">
        <v>3259.8</v>
      </c>
      <c r="B36" s="7">
        <v>3259.8</v>
      </c>
      <c r="C36" s="7">
        <f t="shared" si="0"/>
        <v>0</v>
      </c>
      <c r="D36" s="7">
        <v>7379.18</v>
      </c>
      <c r="E36" s="7">
        <v>1086.5999999999999</v>
      </c>
      <c r="F36" s="7"/>
      <c r="G36" s="7">
        <v>8488.1</v>
      </c>
      <c r="H36" s="7">
        <v>4244.0600000000004</v>
      </c>
      <c r="I36" s="7">
        <v>26324.05</v>
      </c>
      <c r="J36" s="7"/>
      <c r="K36" s="7"/>
      <c r="L36" s="7"/>
      <c r="M36" s="7"/>
      <c r="N36" s="7"/>
      <c r="O36" s="13" t="s">
        <v>105</v>
      </c>
      <c r="P36" s="7">
        <v>50781.79</v>
      </c>
      <c r="Q36" s="7"/>
      <c r="R36" s="7"/>
      <c r="S36" s="7"/>
      <c r="T36" s="7"/>
    </row>
    <row r="37" spans="1:20" x14ac:dyDescent="0.3">
      <c r="A37" s="7">
        <v>25200</v>
      </c>
      <c r="B37" s="7">
        <v>25200.12</v>
      </c>
      <c r="C37" s="7">
        <f t="shared" si="0"/>
        <v>-0.11999999999898137</v>
      </c>
      <c r="D37" s="7">
        <v>25200.12</v>
      </c>
      <c r="E37" s="7">
        <v>25200.12</v>
      </c>
      <c r="F37" s="7">
        <v>25200.12</v>
      </c>
      <c r="G37" s="7">
        <v>25207.69</v>
      </c>
      <c r="H37" s="7">
        <v>25207.69</v>
      </c>
      <c r="I37" s="7">
        <v>25207.69</v>
      </c>
      <c r="J37" s="7"/>
      <c r="K37" s="7"/>
      <c r="L37" s="7"/>
      <c r="M37" s="7"/>
      <c r="N37" s="7"/>
      <c r="O37" s="187" t="s">
        <v>106</v>
      </c>
      <c r="P37" s="7">
        <v>176423.43</v>
      </c>
      <c r="Q37" s="7"/>
      <c r="R37" s="7"/>
      <c r="S37" s="7"/>
      <c r="T37" s="7"/>
    </row>
    <row r="38" spans="1:20" x14ac:dyDescent="0.3">
      <c r="A38" s="7">
        <v>445796.92</v>
      </c>
      <c r="B38" s="7">
        <v>445796.92</v>
      </c>
      <c r="C38" s="7">
        <f t="shared" si="0"/>
        <v>0</v>
      </c>
      <c r="D38" s="7">
        <v>240730.44</v>
      </c>
      <c r="E38" s="7">
        <v>240730.44</v>
      </c>
      <c r="F38" s="7"/>
      <c r="G38" s="7">
        <v>240730.44</v>
      </c>
      <c r="H38" s="7">
        <v>240730.44</v>
      </c>
      <c r="I38" s="7">
        <v>240730.44</v>
      </c>
      <c r="J38" s="7"/>
      <c r="K38" s="7"/>
      <c r="L38" s="7"/>
      <c r="M38" s="7"/>
      <c r="N38" s="7"/>
      <c r="O38" s="13" t="s">
        <v>107</v>
      </c>
      <c r="P38" s="7">
        <v>1649449.1199999999</v>
      </c>
      <c r="Q38" s="7"/>
      <c r="R38" s="7"/>
      <c r="S38" s="7"/>
      <c r="T38" s="7"/>
    </row>
    <row r="39" spans="1:20" x14ac:dyDescent="0.3">
      <c r="A39" s="7">
        <v>58356.04</v>
      </c>
      <c r="B39" s="7">
        <v>58356.04</v>
      </c>
      <c r="C39" s="7">
        <f t="shared" si="0"/>
        <v>0</v>
      </c>
      <c r="D39" s="7">
        <v>58402.95</v>
      </c>
      <c r="E39" s="7">
        <v>53109.51</v>
      </c>
      <c r="F39" s="7"/>
      <c r="G39" s="7">
        <v>58159.27</v>
      </c>
      <c r="H39" s="7">
        <v>62771.46</v>
      </c>
      <c r="I39" s="7">
        <v>65475.46</v>
      </c>
      <c r="J39" s="7"/>
      <c r="K39" s="7"/>
      <c r="L39" s="7"/>
      <c r="M39" s="7"/>
      <c r="N39" s="7"/>
      <c r="O39" s="13" t="s">
        <v>108</v>
      </c>
      <c r="P39" s="7">
        <v>356274.69</v>
      </c>
      <c r="Q39" s="7"/>
      <c r="R39" s="7"/>
      <c r="S39" s="7"/>
      <c r="T39" s="7"/>
    </row>
    <row r="40" spans="1:20" x14ac:dyDescent="0.3">
      <c r="A40" s="7">
        <v>1185.05</v>
      </c>
      <c r="B40" s="7">
        <v>1185.05</v>
      </c>
      <c r="C40" s="7">
        <f t="shared" si="0"/>
        <v>0</v>
      </c>
      <c r="D40" s="7">
        <v>1162.0899999999999</v>
      </c>
      <c r="E40" s="7">
        <v>1162.0899999999999</v>
      </c>
      <c r="F40" s="7"/>
      <c r="G40" s="7">
        <v>1193.76</v>
      </c>
      <c r="H40" s="7">
        <v>1182.07</v>
      </c>
      <c r="I40" s="7">
        <v>1271.53</v>
      </c>
      <c r="J40" s="7"/>
      <c r="K40" s="7"/>
      <c r="L40" s="7"/>
      <c r="M40" s="7"/>
      <c r="N40" s="7"/>
      <c r="O40" s="13" t="s">
        <v>109</v>
      </c>
      <c r="P40" s="7">
        <v>7156.5899999999992</v>
      </c>
      <c r="Q40" s="7"/>
      <c r="R40" s="7"/>
      <c r="S40" s="7"/>
      <c r="T40" s="7"/>
    </row>
    <row r="41" spans="1:20" x14ac:dyDescent="0.3">
      <c r="A41" s="7">
        <v>19068.38</v>
      </c>
      <c r="B41" s="7">
        <v>19068.38</v>
      </c>
      <c r="C41" s="7">
        <f t="shared" si="0"/>
        <v>0</v>
      </c>
      <c r="D41" s="7">
        <v>19068.38</v>
      </c>
      <c r="E41" s="7">
        <v>19068.38</v>
      </c>
      <c r="F41" s="7"/>
      <c r="G41" s="7">
        <v>22472.41</v>
      </c>
      <c r="H41" s="7">
        <v>20770.39</v>
      </c>
      <c r="I41" s="7">
        <v>20770.39</v>
      </c>
      <c r="J41" s="7"/>
      <c r="K41" s="7"/>
      <c r="L41" s="7"/>
      <c r="M41" s="7"/>
      <c r="N41" s="7"/>
      <c r="O41" s="13" t="s">
        <v>110</v>
      </c>
      <c r="P41" s="7">
        <v>121218.33</v>
      </c>
      <c r="Q41" s="7"/>
      <c r="R41" s="7"/>
      <c r="S41" s="7"/>
      <c r="T41" s="7"/>
    </row>
    <row r="42" spans="1:20" x14ac:dyDescent="0.3">
      <c r="A42" s="7"/>
      <c r="B42" s="7">
        <v>0</v>
      </c>
      <c r="C42" s="7">
        <f t="shared" si="0"/>
        <v>0</v>
      </c>
      <c r="D42" s="7">
        <v>7175.43</v>
      </c>
      <c r="E42" s="7">
        <v>9073.5</v>
      </c>
      <c r="F42" s="7">
        <v>3750</v>
      </c>
      <c r="G42" s="7">
        <v>10981.61</v>
      </c>
      <c r="H42" s="7">
        <v>16610</v>
      </c>
      <c r="I42" s="7">
        <v>7175.43</v>
      </c>
      <c r="J42" s="7"/>
      <c r="K42" s="7"/>
      <c r="L42" s="7"/>
      <c r="M42" s="7"/>
      <c r="N42" s="7"/>
      <c r="O42" s="13" t="s">
        <v>111</v>
      </c>
      <c r="P42" s="7">
        <v>54765.97</v>
      </c>
      <c r="Q42" s="7"/>
      <c r="R42" s="7"/>
      <c r="S42" s="7"/>
      <c r="T42" s="7"/>
    </row>
    <row r="43" spans="1:20" x14ac:dyDescent="0.3">
      <c r="A43" s="7">
        <v>9890.34</v>
      </c>
      <c r="B43" s="7">
        <v>9890.34</v>
      </c>
      <c r="C43" s="7">
        <f t="shared" si="0"/>
        <v>0</v>
      </c>
      <c r="D43" s="7">
        <v>11111.14</v>
      </c>
      <c r="E43" s="7">
        <v>12236.69</v>
      </c>
      <c r="F43" s="7">
        <v>9849.93</v>
      </c>
      <c r="G43" s="7">
        <v>12299.67</v>
      </c>
      <c r="H43" s="7">
        <v>12046.12</v>
      </c>
      <c r="I43" s="7">
        <v>11588.83</v>
      </c>
      <c r="J43" s="7"/>
      <c r="K43" s="7"/>
      <c r="L43" s="7"/>
      <c r="M43" s="7"/>
      <c r="N43" s="7"/>
      <c r="O43" s="13" t="s">
        <v>112</v>
      </c>
      <c r="P43" s="7">
        <v>79022.720000000001</v>
      </c>
      <c r="Q43" s="7"/>
      <c r="R43" s="7"/>
      <c r="S43" s="7"/>
      <c r="T43" s="7"/>
    </row>
    <row r="44" spans="1:20" x14ac:dyDescent="0.3">
      <c r="A44" s="11"/>
      <c r="B44" s="11">
        <v>0</v>
      </c>
      <c r="C44" s="11">
        <f t="shared" si="0"/>
        <v>0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87" t="s">
        <v>113</v>
      </c>
      <c r="P44" s="11">
        <v>0</v>
      </c>
      <c r="Q44" s="11"/>
      <c r="R44" s="11"/>
      <c r="S44" s="11"/>
      <c r="T44" s="11"/>
    </row>
    <row r="45" spans="1:20" x14ac:dyDescent="0.3">
      <c r="A45" s="86"/>
      <c r="B45" s="86">
        <v>0</v>
      </c>
      <c r="C45" s="86">
        <f t="shared" si="0"/>
        <v>0</v>
      </c>
      <c r="D45" s="86"/>
      <c r="E45" s="86"/>
      <c r="F45" s="85"/>
      <c r="G45" s="83"/>
      <c r="H45" s="83"/>
      <c r="I45" s="83"/>
      <c r="J45" s="83"/>
      <c r="K45" s="83"/>
      <c r="L45" s="83"/>
      <c r="M45" s="84"/>
      <c r="N45" s="84"/>
      <c r="O45" s="13"/>
      <c r="P45" s="86">
        <v>0</v>
      </c>
      <c r="Q45" s="86"/>
      <c r="R45" s="86"/>
      <c r="S45" s="86"/>
      <c r="T45" s="86"/>
    </row>
    <row r="46" spans="1:20" x14ac:dyDescent="0.3">
      <c r="A46" s="4">
        <v>564480.92000000004</v>
      </c>
      <c r="B46" s="4">
        <v>564481.04</v>
      </c>
      <c r="C46" s="4">
        <f t="shared" si="0"/>
        <v>-0.11999999999534339</v>
      </c>
      <c r="D46" s="4">
        <v>709380.55</v>
      </c>
      <c r="E46" s="4">
        <v>844645.08999999985</v>
      </c>
      <c r="F46" s="4">
        <v>81391.200000000012</v>
      </c>
      <c r="G46" s="4">
        <v>1126395.8699999999</v>
      </c>
      <c r="H46" s="4">
        <v>562998.48</v>
      </c>
      <c r="I46" s="4">
        <v>964220.12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13" t="s">
        <v>114</v>
      </c>
      <c r="P46" s="4">
        <v>4853512.2300000004</v>
      </c>
      <c r="Q46" s="4"/>
      <c r="R46" s="4"/>
      <c r="S46" s="4"/>
      <c r="T46" s="4"/>
    </row>
    <row r="47" spans="1:20" x14ac:dyDescent="0.3">
      <c r="A47" s="81"/>
      <c r="B47" s="81">
        <v>0</v>
      </c>
      <c r="C47" s="81">
        <f t="shared" si="0"/>
        <v>0</v>
      </c>
      <c r="D47" s="81"/>
      <c r="E47" s="81"/>
      <c r="F47" s="82"/>
      <c r="G47" s="86"/>
      <c r="H47" s="86"/>
      <c r="I47" s="86"/>
      <c r="J47" s="87"/>
      <c r="K47" s="87"/>
      <c r="L47" s="87"/>
      <c r="M47" s="84"/>
      <c r="N47" s="84"/>
      <c r="O47" s="80"/>
      <c r="P47" s="81">
        <v>0</v>
      </c>
      <c r="Q47" s="81"/>
      <c r="R47" s="81"/>
      <c r="S47" s="81"/>
      <c r="T47" s="81"/>
    </row>
    <row r="48" spans="1:20" x14ac:dyDescent="0.3">
      <c r="A48" s="8"/>
      <c r="B48" s="8">
        <v>0</v>
      </c>
      <c r="C48" s="8">
        <f t="shared" si="0"/>
        <v>0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87" t="s">
        <v>115</v>
      </c>
      <c r="P48" s="8">
        <v>0</v>
      </c>
      <c r="Q48" s="8"/>
      <c r="R48" s="8"/>
      <c r="S48" s="8"/>
      <c r="T48" s="8"/>
    </row>
    <row r="49" spans="1:20" x14ac:dyDescent="0.3">
      <c r="A49" s="7"/>
      <c r="B49" s="7">
        <v>0</v>
      </c>
      <c r="C49" s="7">
        <f t="shared" si="0"/>
        <v>0</v>
      </c>
      <c r="D49" s="7">
        <v>895</v>
      </c>
      <c r="E49" s="7">
        <v>9916.4</v>
      </c>
      <c r="F49" s="7">
        <v>1921.59</v>
      </c>
      <c r="G49" s="7">
        <v>3410</v>
      </c>
      <c r="H49" s="7"/>
      <c r="I49" s="7">
        <v>34984.93</v>
      </c>
      <c r="J49" s="7"/>
      <c r="K49" s="7"/>
      <c r="L49" s="7"/>
      <c r="M49" s="7"/>
      <c r="N49" s="7"/>
      <c r="O49" s="13" t="s">
        <v>116</v>
      </c>
      <c r="P49" s="7">
        <v>51127.92</v>
      </c>
      <c r="Q49" s="7"/>
      <c r="R49" s="7"/>
      <c r="S49" s="7"/>
      <c r="T49" s="7"/>
    </row>
    <row r="50" spans="1:20" x14ac:dyDescent="0.3">
      <c r="A50" s="7">
        <v>14101.6</v>
      </c>
      <c r="B50" s="7">
        <v>14101.599999999999</v>
      </c>
      <c r="C50" s="7">
        <f t="shared" si="0"/>
        <v>0</v>
      </c>
      <c r="D50" s="7"/>
      <c r="E50" s="7">
        <v>1167.1099999999999</v>
      </c>
      <c r="F50" s="7"/>
      <c r="G50" s="7"/>
      <c r="H50" s="7"/>
      <c r="I50" s="7">
        <v>1607.7</v>
      </c>
      <c r="J50" s="7"/>
      <c r="K50" s="7"/>
      <c r="L50" s="7"/>
      <c r="M50" s="7"/>
      <c r="N50" s="7"/>
      <c r="O50" s="13" t="s">
        <v>117</v>
      </c>
      <c r="P50" s="7">
        <v>16876.41</v>
      </c>
      <c r="Q50" s="7"/>
      <c r="R50" s="7"/>
      <c r="S50" s="7"/>
      <c r="T50" s="7"/>
    </row>
    <row r="51" spans="1:20" x14ac:dyDescent="0.3">
      <c r="A51" s="7"/>
      <c r="B51" s="7">
        <v>0</v>
      </c>
      <c r="C51" s="7">
        <f t="shared" si="0"/>
        <v>0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3" t="s">
        <v>118</v>
      </c>
      <c r="P51" s="7">
        <v>0</v>
      </c>
      <c r="Q51" s="7"/>
      <c r="R51" s="7"/>
      <c r="S51" s="7"/>
      <c r="T51" s="7"/>
    </row>
    <row r="52" spans="1:20" x14ac:dyDescent="0.3">
      <c r="A52" s="7">
        <v>17418.89</v>
      </c>
      <c r="B52" s="7">
        <v>0</v>
      </c>
      <c r="C52" s="7">
        <f t="shared" si="0"/>
        <v>17418.89</v>
      </c>
      <c r="D52" s="7"/>
      <c r="E52" s="7"/>
      <c r="F52" s="7">
        <v>184</v>
      </c>
      <c r="G52" s="7"/>
      <c r="H52" s="7"/>
      <c r="I52" s="7">
        <v>10297.91</v>
      </c>
      <c r="J52" s="7"/>
      <c r="K52" s="7"/>
      <c r="L52" s="7"/>
      <c r="M52" s="7"/>
      <c r="N52" s="7"/>
      <c r="O52" s="13" t="s">
        <v>119</v>
      </c>
      <c r="P52" s="7">
        <v>27900.799999999999</v>
      </c>
      <c r="Q52" s="7"/>
      <c r="R52" s="7"/>
      <c r="S52" s="7"/>
      <c r="T52" s="7"/>
    </row>
    <row r="53" spans="1:20" x14ac:dyDescent="0.3">
      <c r="A53" s="7"/>
      <c r="B53" s="7">
        <v>0</v>
      </c>
      <c r="C53" s="7">
        <f t="shared" si="0"/>
        <v>0</v>
      </c>
      <c r="D53" s="7"/>
      <c r="E53" s="7"/>
      <c r="F53" s="7">
        <v>49051.7</v>
      </c>
      <c r="G53" s="7"/>
      <c r="H53" s="7">
        <v>510</v>
      </c>
      <c r="I53" s="7">
        <v>17077.64</v>
      </c>
      <c r="J53" s="7"/>
      <c r="K53" s="7"/>
      <c r="L53" s="7"/>
      <c r="M53" s="7"/>
      <c r="N53" s="7"/>
      <c r="O53" s="13" t="s">
        <v>120</v>
      </c>
      <c r="P53" s="7">
        <v>66639.34</v>
      </c>
      <c r="Q53" s="7"/>
      <c r="R53" s="7"/>
      <c r="S53" s="7"/>
      <c r="T53" s="7"/>
    </row>
    <row r="54" spans="1:20" x14ac:dyDescent="0.3">
      <c r="A54" s="7"/>
      <c r="B54" s="7">
        <v>0</v>
      </c>
      <c r="C54" s="7">
        <f t="shared" si="0"/>
        <v>0</v>
      </c>
      <c r="D54" s="7"/>
      <c r="E54" s="7"/>
      <c r="F54" s="7">
        <v>0</v>
      </c>
      <c r="G54" s="7"/>
      <c r="H54" s="7"/>
      <c r="I54" s="7"/>
      <c r="J54" s="7"/>
      <c r="K54" s="7"/>
      <c r="L54" s="7"/>
      <c r="M54" s="7"/>
      <c r="N54" s="7"/>
      <c r="O54" s="13" t="s">
        <v>121</v>
      </c>
      <c r="P54" s="7">
        <v>0</v>
      </c>
      <c r="Q54" s="7"/>
      <c r="R54" s="7"/>
      <c r="S54" s="7"/>
      <c r="T54" s="7"/>
    </row>
    <row r="55" spans="1:20" x14ac:dyDescent="0.3">
      <c r="A55" s="7"/>
      <c r="B55" s="7">
        <v>0</v>
      </c>
      <c r="C55" s="7">
        <f t="shared" si="0"/>
        <v>0</v>
      </c>
      <c r="D55" s="7"/>
      <c r="E55" s="7"/>
      <c r="F55" s="7">
        <v>13950</v>
      </c>
      <c r="G55" s="7"/>
      <c r="H55" s="7"/>
      <c r="I55" s="7">
        <v>12555</v>
      </c>
      <c r="J55" s="7"/>
      <c r="K55" s="7"/>
      <c r="L55" s="7"/>
      <c r="M55" s="7"/>
      <c r="N55" s="7"/>
      <c r="O55" s="187" t="s">
        <v>122</v>
      </c>
      <c r="P55" s="7">
        <v>26505</v>
      </c>
      <c r="Q55" s="7"/>
      <c r="R55" s="7"/>
      <c r="S55" s="7"/>
      <c r="T55" s="7"/>
    </row>
    <row r="56" spans="1:20" x14ac:dyDescent="0.3">
      <c r="A56" s="7"/>
      <c r="B56" s="7">
        <v>0</v>
      </c>
      <c r="C56" s="7">
        <f t="shared" si="0"/>
        <v>0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3" t="s">
        <v>123</v>
      </c>
      <c r="P56" s="7">
        <v>0</v>
      </c>
      <c r="Q56" s="7"/>
      <c r="R56" s="7"/>
      <c r="S56" s="7"/>
      <c r="T56" s="7"/>
    </row>
    <row r="57" spans="1:20" x14ac:dyDescent="0.3">
      <c r="A57" s="7"/>
      <c r="B57" s="7">
        <v>0</v>
      </c>
      <c r="C57" s="7">
        <f t="shared" si="0"/>
        <v>0</v>
      </c>
      <c r="D57" s="7"/>
      <c r="E57" s="7"/>
      <c r="F57" s="7"/>
      <c r="G57" s="7"/>
      <c r="H57" s="7"/>
      <c r="I57" s="7">
        <v>54800</v>
      </c>
      <c r="J57" s="7"/>
      <c r="K57" s="7"/>
      <c r="L57" s="7"/>
      <c r="M57" s="7"/>
      <c r="N57" s="7"/>
      <c r="O57" s="13" t="s">
        <v>124</v>
      </c>
      <c r="P57" s="7">
        <v>54800</v>
      </c>
      <c r="Q57" s="7"/>
      <c r="R57" s="7"/>
      <c r="S57" s="7"/>
      <c r="T57" s="7"/>
    </row>
    <row r="58" spans="1:20" x14ac:dyDescent="0.3">
      <c r="A58" s="7"/>
      <c r="B58" s="7">
        <v>17418.88</v>
      </c>
      <c r="C58" s="7">
        <f t="shared" si="0"/>
        <v>-17418.88</v>
      </c>
      <c r="D58" s="7">
        <v>9780.82</v>
      </c>
      <c r="E58" s="7">
        <v>12202.03</v>
      </c>
      <c r="F58" s="7"/>
      <c r="G58" s="7">
        <v>28030.25</v>
      </c>
      <c r="H58" s="7">
        <v>13486.05</v>
      </c>
      <c r="I58" s="7">
        <v>8207.08</v>
      </c>
      <c r="J58" s="7"/>
      <c r="K58" s="7"/>
      <c r="L58" s="7"/>
      <c r="M58" s="7"/>
      <c r="N58" s="7"/>
      <c r="O58" s="13" t="s">
        <v>125</v>
      </c>
      <c r="P58" s="7">
        <v>71706.23</v>
      </c>
      <c r="Q58" s="7"/>
      <c r="R58" s="7"/>
      <c r="S58" s="7"/>
      <c r="T58" s="7"/>
    </row>
    <row r="59" spans="1:20" x14ac:dyDescent="0.3">
      <c r="A59" s="7"/>
      <c r="B59" s="7">
        <v>0</v>
      </c>
      <c r="C59" s="7">
        <f t="shared" si="0"/>
        <v>0</v>
      </c>
      <c r="D59" s="7"/>
      <c r="E59" s="7">
        <v>2300</v>
      </c>
      <c r="F59" s="7">
        <v>2300</v>
      </c>
      <c r="G59" s="7"/>
      <c r="H59" s="7"/>
      <c r="I59" s="7">
        <v>2300</v>
      </c>
      <c r="J59" s="7"/>
      <c r="K59" s="7"/>
      <c r="L59" s="7"/>
      <c r="M59" s="7"/>
      <c r="N59" s="7"/>
      <c r="O59" s="13" t="s">
        <v>126</v>
      </c>
      <c r="P59" s="7">
        <v>6900</v>
      </c>
      <c r="Q59" s="7"/>
      <c r="R59" s="7"/>
      <c r="S59" s="7"/>
      <c r="T59" s="7"/>
    </row>
    <row r="60" spans="1:20" x14ac:dyDescent="0.3">
      <c r="A60" s="7"/>
      <c r="B60" s="7">
        <v>0</v>
      </c>
      <c r="C60" s="7">
        <f t="shared" si="0"/>
        <v>0</v>
      </c>
      <c r="D60" s="7"/>
      <c r="E60" s="7"/>
      <c r="F60" s="7">
        <v>8410</v>
      </c>
      <c r="G60" s="7">
        <v>9372</v>
      </c>
      <c r="H60" s="7">
        <v>344</v>
      </c>
      <c r="I60" s="7">
        <v>3391</v>
      </c>
      <c r="J60" s="7"/>
      <c r="K60" s="7"/>
      <c r="L60" s="7"/>
      <c r="M60" s="7"/>
      <c r="N60" s="7"/>
      <c r="O60" s="13" t="s">
        <v>128</v>
      </c>
      <c r="P60" s="7">
        <v>21517</v>
      </c>
      <c r="Q60" s="7"/>
      <c r="R60" s="7"/>
      <c r="S60" s="7"/>
      <c r="T60" s="7"/>
    </row>
    <row r="61" spans="1:20" x14ac:dyDescent="0.3">
      <c r="A61" s="7"/>
      <c r="B61" s="7">
        <v>0</v>
      </c>
      <c r="C61" s="7">
        <f t="shared" si="0"/>
        <v>0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3" t="s">
        <v>129</v>
      </c>
      <c r="P61" s="7">
        <v>0</v>
      </c>
      <c r="Q61" s="7"/>
      <c r="R61" s="7"/>
      <c r="S61" s="7"/>
      <c r="T61" s="7"/>
    </row>
    <row r="62" spans="1:20" x14ac:dyDescent="0.3">
      <c r="A62" s="7"/>
      <c r="B62" s="7">
        <v>0</v>
      </c>
      <c r="C62" s="7">
        <f t="shared" si="0"/>
        <v>0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87" t="s">
        <v>130</v>
      </c>
      <c r="P62" s="7">
        <v>0</v>
      </c>
      <c r="Q62" s="7"/>
      <c r="R62" s="7"/>
      <c r="S62" s="7"/>
      <c r="T62" s="7"/>
    </row>
    <row r="63" spans="1:20" x14ac:dyDescent="0.3">
      <c r="A63" s="11">
        <v>20480</v>
      </c>
      <c r="B63" s="11">
        <v>20480</v>
      </c>
      <c r="C63" s="11">
        <f t="shared" si="0"/>
        <v>0</v>
      </c>
      <c r="D63" s="11">
        <v>2100</v>
      </c>
      <c r="E63" s="11">
        <v>5830</v>
      </c>
      <c r="F63" s="11">
        <v>39044.25</v>
      </c>
      <c r="G63" s="11">
        <v>22528.75</v>
      </c>
      <c r="H63" s="11">
        <v>7995</v>
      </c>
      <c r="I63" s="11">
        <v>24840</v>
      </c>
      <c r="J63" s="11"/>
      <c r="K63" s="11"/>
      <c r="L63" s="11"/>
      <c r="M63" s="11"/>
      <c r="N63" s="11"/>
      <c r="O63" s="187" t="s">
        <v>131</v>
      </c>
      <c r="P63" s="11">
        <v>122818</v>
      </c>
      <c r="Q63" s="11"/>
      <c r="R63" s="11"/>
      <c r="S63" s="11"/>
      <c r="T63" s="11"/>
    </row>
    <row r="64" spans="1:20" ht="15" thickBot="1" x14ac:dyDescent="0.35">
      <c r="A64" s="89"/>
      <c r="B64" s="89">
        <v>0</v>
      </c>
      <c r="C64" s="89">
        <f t="shared" si="0"/>
        <v>0</v>
      </c>
      <c r="D64" s="89"/>
      <c r="E64" s="89"/>
      <c r="F64" s="90"/>
      <c r="G64" s="91"/>
      <c r="H64" s="91"/>
      <c r="I64" s="91"/>
      <c r="J64" s="91"/>
      <c r="K64" s="91"/>
      <c r="L64" s="91"/>
      <c r="M64" s="92"/>
      <c r="N64" s="92"/>
      <c r="O64" s="13"/>
      <c r="P64" s="89">
        <v>0</v>
      </c>
      <c r="Q64" s="89"/>
      <c r="R64" s="89"/>
      <c r="S64" s="89"/>
      <c r="T64" s="89"/>
    </row>
    <row r="65" spans="1:20" x14ac:dyDescent="0.3">
      <c r="A65" s="4">
        <v>52000.49</v>
      </c>
      <c r="B65" s="4">
        <v>52000.479999999996</v>
      </c>
      <c r="C65" s="4">
        <f t="shared" si="0"/>
        <v>1.0000000002037268E-2</v>
      </c>
      <c r="D65" s="4">
        <v>12775.82</v>
      </c>
      <c r="E65" s="4">
        <v>31415.54</v>
      </c>
      <c r="F65" s="4">
        <v>114861.54</v>
      </c>
      <c r="G65" s="4">
        <v>63341</v>
      </c>
      <c r="H65" s="4">
        <v>22335.05</v>
      </c>
      <c r="I65" s="4">
        <v>170061.25999999998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13" t="s">
        <v>132</v>
      </c>
      <c r="P65" s="4">
        <v>466790.7</v>
      </c>
      <c r="Q65" s="4"/>
      <c r="R65" s="4"/>
      <c r="S65" s="4"/>
      <c r="T65" s="4"/>
    </row>
    <row r="66" spans="1:20" x14ac:dyDescent="0.3">
      <c r="A66" s="81"/>
      <c r="B66" s="81">
        <v>0</v>
      </c>
      <c r="C66" s="81">
        <f t="shared" si="0"/>
        <v>0</v>
      </c>
      <c r="D66" s="81"/>
      <c r="E66" s="81"/>
      <c r="F66" s="82"/>
      <c r="G66" s="86"/>
      <c r="H66" s="86"/>
      <c r="I66" s="86"/>
      <c r="J66" s="87"/>
      <c r="K66" s="87"/>
      <c r="L66" s="87"/>
      <c r="M66" s="84"/>
      <c r="N66" s="84"/>
      <c r="O66" s="80"/>
      <c r="P66" s="81">
        <v>0</v>
      </c>
      <c r="Q66" s="81"/>
      <c r="R66" s="81"/>
      <c r="S66" s="81"/>
      <c r="T66" s="81"/>
    </row>
    <row r="67" spans="1:20" x14ac:dyDescent="0.3">
      <c r="A67" s="8"/>
      <c r="B67" s="8">
        <v>0</v>
      </c>
      <c r="C67" s="8">
        <f t="shared" si="0"/>
        <v>0</v>
      </c>
      <c r="D67" s="8"/>
      <c r="E67" s="8">
        <v>54395</v>
      </c>
      <c r="F67" s="8"/>
      <c r="G67" s="8"/>
      <c r="H67" s="8"/>
      <c r="I67" s="8"/>
      <c r="J67" s="8"/>
      <c r="K67" s="8"/>
      <c r="L67" s="8"/>
      <c r="M67" s="8"/>
      <c r="N67" s="8"/>
      <c r="O67" s="187" t="s">
        <v>133</v>
      </c>
      <c r="P67" s="8">
        <v>54395</v>
      </c>
      <c r="Q67" s="8"/>
      <c r="R67" s="8"/>
      <c r="S67" s="8"/>
      <c r="T67" s="8"/>
    </row>
    <row r="68" spans="1:20" x14ac:dyDescent="0.3">
      <c r="A68" s="7"/>
      <c r="B68" s="7">
        <v>0</v>
      </c>
      <c r="C68" s="7">
        <f t="shared" si="0"/>
        <v>0</v>
      </c>
      <c r="D68" s="7"/>
      <c r="E68" s="7"/>
      <c r="F68" s="7"/>
      <c r="G68" s="7"/>
      <c r="H68" s="7">
        <v>107383.17</v>
      </c>
      <c r="I68" s="7"/>
      <c r="J68" s="7"/>
      <c r="K68" s="7"/>
      <c r="L68" s="7"/>
      <c r="M68" s="7"/>
      <c r="N68" s="7"/>
      <c r="O68" s="13" t="s">
        <v>134</v>
      </c>
      <c r="P68" s="7">
        <v>107383.17</v>
      </c>
      <c r="Q68" s="7"/>
      <c r="R68" s="7"/>
      <c r="S68" s="7"/>
      <c r="T68" s="7"/>
    </row>
    <row r="69" spans="1:20" x14ac:dyDescent="0.3">
      <c r="A69" s="7"/>
      <c r="B69" s="7">
        <v>0</v>
      </c>
      <c r="C69" s="7">
        <f t="shared" si="0"/>
        <v>0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3" t="s">
        <v>135</v>
      </c>
      <c r="P69" s="7">
        <v>0</v>
      </c>
      <c r="Q69" s="7"/>
      <c r="R69" s="7"/>
      <c r="S69" s="7"/>
      <c r="T69" s="7"/>
    </row>
    <row r="70" spans="1:20" x14ac:dyDescent="0.3">
      <c r="A70" s="7"/>
      <c r="B70" s="7">
        <v>0</v>
      </c>
      <c r="C70" s="7">
        <f t="shared" si="0"/>
        <v>0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3" t="s">
        <v>136</v>
      </c>
      <c r="P70" s="7">
        <v>0</v>
      </c>
      <c r="Q70" s="7"/>
      <c r="R70" s="7"/>
      <c r="S70" s="7"/>
      <c r="T70" s="7"/>
    </row>
    <row r="71" spans="1:20" x14ac:dyDescent="0.3">
      <c r="A71" s="7"/>
      <c r="B71" s="7">
        <v>0</v>
      </c>
      <c r="C71" s="7">
        <f t="shared" si="0"/>
        <v>0</v>
      </c>
      <c r="D71" s="7"/>
      <c r="E71" s="7">
        <v>575</v>
      </c>
      <c r="F71" s="7">
        <v>326185.61</v>
      </c>
      <c r="G71" s="7">
        <v>208960.02</v>
      </c>
      <c r="H71" s="7"/>
      <c r="I71" s="7">
        <v>104480.01</v>
      </c>
      <c r="J71" s="7"/>
      <c r="K71" s="7"/>
      <c r="L71" s="7"/>
      <c r="M71" s="7"/>
      <c r="N71" s="7"/>
      <c r="O71" s="13" t="s">
        <v>137</v>
      </c>
      <c r="P71" s="7">
        <v>640200.64</v>
      </c>
      <c r="Q71" s="7"/>
      <c r="R71" s="7"/>
      <c r="S71" s="7"/>
      <c r="T71" s="7"/>
    </row>
    <row r="72" spans="1:20" x14ac:dyDescent="0.3">
      <c r="A72" s="7"/>
      <c r="B72" s="7">
        <v>0</v>
      </c>
      <c r="C72" s="7">
        <f t="shared" ref="C72:C135" si="1">A72-B72</f>
        <v>0</v>
      </c>
      <c r="D72" s="7">
        <v>340</v>
      </c>
      <c r="E72" s="7"/>
      <c r="F72" s="7"/>
      <c r="G72" s="7"/>
      <c r="H72" s="7"/>
      <c r="I72" s="7">
        <v>26911</v>
      </c>
      <c r="J72" s="7"/>
      <c r="K72" s="7"/>
      <c r="L72" s="7"/>
      <c r="M72" s="7"/>
      <c r="N72" s="7"/>
      <c r="O72" s="13" t="s">
        <v>138</v>
      </c>
      <c r="P72" s="7">
        <v>27251</v>
      </c>
      <c r="Q72" s="7"/>
      <c r="R72" s="7"/>
      <c r="S72" s="7"/>
      <c r="T72" s="7"/>
    </row>
    <row r="73" spans="1:20" x14ac:dyDescent="0.3">
      <c r="A73" s="7"/>
      <c r="B73" s="7">
        <v>0</v>
      </c>
      <c r="C73" s="7">
        <f t="shared" si="1"/>
        <v>0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3" t="s">
        <v>123</v>
      </c>
      <c r="P73" s="7">
        <v>0</v>
      </c>
      <c r="Q73" s="7"/>
      <c r="R73" s="7"/>
      <c r="S73" s="7"/>
      <c r="T73" s="7"/>
    </row>
    <row r="74" spans="1:20" x14ac:dyDescent="0.3">
      <c r="A74" s="7">
        <v>176313.13</v>
      </c>
      <c r="B74" s="7">
        <v>176313.13</v>
      </c>
      <c r="C74" s="7">
        <f t="shared" si="1"/>
        <v>0</v>
      </c>
      <c r="D74" s="7">
        <v>248966.79</v>
      </c>
      <c r="E74" s="7">
        <v>151431.10999999999</v>
      </c>
      <c r="F74" s="7">
        <v>350071.45</v>
      </c>
      <c r="G74" s="7">
        <v>338121.77</v>
      </c>
      <c r="H74" s="7">
        <v>392800.56</v>
      </c>
      <c r="I74" s="7">
        <v>329878.03000000003</v>
      </c>
      <c r="J74" s="7"/>
      <c r="K74" s="7"/>
      <c r="L74" s="7"/>
      <c r="M74" s="7"/>
      <c r="N74" s="7"/>
      <c r="O74" s="187" t="s">
        <v>139</v>
      </c>
      <c r="P74" s="7">
        <v>1987582.84</v>
      </c>
      <c r="Q74" s="7"/>
      <c r="R74" s="7"/>
      <c r="S74" s="7"/>
      <c r="T74" s="7"/>
    </row>
    <row r="75" spans="1:20" x14ac:dyDescent="0.3">
      <c r="A75" s="7"/>
      <c r="B75" s="7">
        <v>4844.75</v>
      </c>
      <c r="C75" s="7">
        <f t="shared" si="1"/>
        <v>-4844.75</v>
      </c>
      <c r="D75" s="7"/>
      <c r="E75" s="7">
        <v>10138.39</v>
      </c>
      <c r="F75" s="7"/>
      <c r="G75" s="7">
        <v>27082.98</v>
      </c>
      <c r="H75" s="7"/>
      <c r="I75" s="7"/>
      <c r="J75" s="7"/>
      <c r="K75" s="7"/>
      <c r="L75" s="7"/>
      <c r="M75" s="7"/>
      <c r="N75" s="7"/>
      <c r="O75" s="13" t="s">
        <v>140</v>
      </c>
      <c r="P75" s="7">
        <v>37221.369999999995</v>
      </c>
      <c r="Q75" s="7"/>
      <c r="R75" s="7"/>
      <c r="S75" s="7"/>
      <c r="T75" s="7"/>
    </row>
    <row r="76" spans="1:20" x14ac:dyDescent="0.3">
      <c r="A76" s="7"/>
      <c r="B76" s="7">
        <v>3346.31</v>
      </c>
      <c r="C76" s="7">
        <f t="shared" si="1"/>
        <v>-3346.31</v>
      </c>
      <c r="D76" s="7"/>
      <c r="E76" s="7">
        <v>5434.12</v>
      </c>
      <c r="F76" s="7"/>
      <c r="G76" s="7"/>
      <c r="H76" s="7"/>
      <c r="I76" s="7"/>
      <c r="J76" s="7"/>
      <c r="K76" s="7"/>
      <c r="L76" s="7"/>
      <c r="M76" s="7"/>
      <c r="N76" s="7"/>
      <c r="O76" s="13" t="s">
        <v>141</v>
      </c>
      <c r="P76" s="7">
        <v>5434.12</v>
      </c>
      <c r="Q76" s="7"/>
      <c r="R76" s="7"/>
      <c r="S76" s="7"/>
      <c r="T76" s="7"/>
    </row>
    <row r="77" spans="1:20" x14ac:dyDescent="0.3">
      <c r="A77" s="7"/>
      <c r="B77" s="7">
        <v>0</v>
      </c>
      <c r="C77" s="7">
        <f t="shared" si="1"/>
        <v>0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3" t="s">
        <v>142</v>
      </c>
      <c r="P77" s="7">
        <v>0</v>
      </c>
      <c r="Q77" s="7"/>
      <c r="R77" s="7"/>
      <c r="S77" s="7"/>
      <c r="T77" s="7"/>
    </row>
    <row r="78" spans="1:20" x14ac:dyDescent="0.3">
      <c r="A78" s="7"/>
      <c r="B78" s="7">
        <v>0</v>
      </c>
      <c r="C78" s="7">
        <f t="shared" si="1"/>
        <v>0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3" t="s">
        <v>143</v>
      </c>
      <c r="P78" s="7">
        <v>0</v>
      </c>
      <c r="Q78" s="7"/>
      <c r="R78" s="7"/>
      <c r="S78" s="7"/>
      <c r="T78" s="7"/>
    </row>
    <row r="79" spans="1:20" x14ac:dyDescent="0.3">
      <c r="A79" s="7"/>
      <c r="B79" s="7">
        <v>0</v>
      </c>
      <c r="C79" s="7">
        <f t="shared" si="1"/>
        <v>0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3" t="s">
        <v>144</v>
      </c>
      <c r="P79" s="7">
        <v>0</v>
      </c>
      <c r="Q79" s="7"/>
      <c r="R79" s="7"/>
      <c r="S79" s="7"/>
      <c r="T79" s="7"/>
    </row>
    <row r="80" spans="1:20" x14ac:dyDescent="0.3">
      <c r="A80" s="7"/>
      <c r="B80" s="7">
        <v>0</v>
      </c>
      <c r="C80" s="7">
        <f t="shared" si="1"/>
        <v>0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3" t="s">
        <v>145</v>
      </c>
      <c r="P80" s="7">
        <v>0</v>
      </c>
      <c r="Q80" s="7"/>
      <c r="R80" s="7"/>
      <c r="S80" s="7"/>
      <c r="T80" s="7"/>
    </row>
    <row r="81" spans="1:20" x14ac:dyDescent="0.3">
      <c r="A81" s="7"/>
      <c r="B81" s="7">
        <v>0</v>
      </c>
      <c r="C81" s="7">
        <f t="shared" si="1"/>
        <v>0</v>
      </c>
      <c r="D81" s="7"/>
      <c r="E81" s="7"/>
      <c r="F81" s="7"/>
      <c r="G81" s="7">
        <v>11220.01</v>
      </c>
      <c r="H81" s="7"/>
      <c r="I81" s="7">
        <v>38450.06</v>
      </c>
      <c r="J81" s="7"/>
      <c r="K81" s="7"/>
      <c r="L81" s="7"/>
      <c r="M81" s="7"/>
      <c r="N81" s="7"/>
      <c r="O81" s="187" t="s">
        <v>146</v>
      </c>
      <c r="P81" s="7">
        <v>49670.07</v>
      </c>
      <c r="Q81" s="7"/>
      <c r="R81" s="7"/>
      <c r="S81" s="7"/>
      <c r="T81" s="7"/>
    </row>
    <row r="82" spans="1:20" x14ac:dyDescent="0.3">
      <c r="A82" s="7"/>
      <c r="B82" s="7">
        <v>0</v>
      </c>
      <c r="C82" s="7">
        <f t="shared" si="1"/>
        <v>0</v>
      </c>
      <c r="D82" s="7"/>
      <c r="E82" s="7"/>
      <c r="F82" s="7">
        <v>31490.7</v>
      </c>
      <c r="G82" s="7">
        <v>106557.4</v>
      </c>
      <c r="H82" s="7">
        <v>47633.15</v>
      </c>
      <c r="I82" s="7">
        <v>53459.83</v>
      </c>
      <c r="J82" s="7"/>
      <c r="K82" s="7"/>
      <c r="L82" s="7"/>
      <c r="M82" s="7"/>
      <c r="N82" s="7"/>
      <c r="O82" s="187" t="s">
        <v>147</v>
      </c>
      <c r="P82" s="7">
        <v>239141.08000000002</v>
      </c>
      <c r="Q82" s="7"/>
      <c r="R82" s="7"/>
      <c r="S82" s="7"/>
      <c r="T82" s="7"/>
    </row>
    <row r="83" spans="1:20" x14ac:dyDescent="0.3">
      <c r="A83" s="7"/>
      <c r="B83" s="7">
        <v>0</v>
      </c>
      <c r="C83" s="7">
        <f t="shared" si="1"/>
        <v>0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87" t="s">
        <v>148</v>
      </c>
      <c r="P83" s="7">
        <v>0</v>
      </c>
      <c r="Q83" s="7"/>
      <c r="R83" s="7"/>
      <c r="S83" s="7"/>
      <c r="T83" s="7"/>
    </row>
    <row r="84" spans="1:20" x14ac:dyDescent="0.3">
      <c r="A84" s="7"/>
      <c r="B84" s="7">
        <v>0</v>
      </c>
      <c r="C84" s="7">
        <f t="shared" si="1"/>
        <v>0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3" t="s">
        <v>149</v>
      </c>
      <c r="P84" s="7">
        <v>0</v>
      </c>
      <c r="Q84" s="7"/>
      <c r="R84" s="7"/>
      <c r="S84" s="7"/>
      <c r="T84" s="7"/>
    </row>
    <row r="85" spans="1:20" x14ac:dyDescent="0.3">
      <c r="A85" s="7"/>
      <c r="B85" s="7">
        <v>0</v>
      </c>
      <c r="C85" s="7">
        <f t="shared" si="1"/>
        <v>0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3" t="s">
        <v>150</v>
      </c>
      <c r="P85" s="7">
        <v>0</v>
      </c>
      <c r="Q85" s="7"/>
      <c r="R85" s="7"/>
      <c r="S85" s="7"/>
      <c r="T85" s="7"/>
    </row>
    <row r="86" spans="1:20" x14ac:dyDescent="0.3">
      <c r="A86" s="7"/>
      <c r="B86" s="7">
        <v>0</v>
      </c>
      <c r="C86" s="7">
        <f t="shared" si="1"/>
        <v>0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3" t="s">
        <v>151</v>
      </c>
      <c r="P86" s="7">
        <v>0</v>
      </c>
      <c r="Q86" s="7"/>
      <c r="R86" s="7"/>
      <c r="S86" s="7"/>
      <c r="T86" s="7"/>
    </row>
    <row r="87" spans="1:20" x14ac:dyDescent="0.3">
      <c r="A87" s="7"/>
      <c r="B87" s="7">
        <v>0</v>
      </c>
      <c r="C87" s="7">
        <f t="shared" si="1"/>
        <v>0</v>
      </c>
      <c r="D87" s="7"/>
      <c r="E87" s="7"/>
      <c r="F87" s="7"/>
      <c r="G87" s="7"/>
      <c r="H87" s="7">
        <v>20606.3</v>
      </c>
      <c r="I87" s="7">
        <v>4121.26</v>
      </c>
      <c r="J87" s="7"/>
      <c r="K87" s="7"/>
      <c r="L87" s="7"/>
      <c r="M87" s="7"/>
      <c r="N87" s="7"/>
      <c r="O87" s="13" t="s">
        <v>152</v>
      </c>
      <c r="P87" s="7">
        <v>24727.559999999998</v>
      </c>
      <c r="Q87" s="7"/>
      <c r="R87" s="7"/>
      <c r="S87" s="7"/>
      <c r="T87" s="7"/>
    </row>
    <row r="88" spans="1:20" x14ac:dyDescent="0.3">
      <c r="A88" s="7"/>
      <c r="B88" s="7">
        <v>0</v>
      </c>
      <c r="C88" s="7">
        <f t="shared" si="1"/>
        <v>0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3" t="s">
        <v>153</v>
      </c>
      <c r="P88" s="7">
        <v>0</v>
      </c>
      <c r="Q88" s="7"/>
      <c r="R88" s="7"/>
      <c r="S88" s="7"/>
      <c r="T88" s="7"/>
    </row>
    <row r="89" spans="1:20" x14ac:dyDescent="0.3">
      <c r="A89" s="11"/>
      <c r="B89" s="11">
        <v>0</v>
      </c>
      <c r="C89" s="11">
        <f t="shared" si="1"/>
        <v>0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87" t="s">
        <v>154</v>
      </c>
      <c r="P89" s="11">
        <v>0</v>
      </c>
      <c r="Q89" s="11"/>
      <c r="R89" s="11"/>
      <c r="S89" s="11"/>
      <c r="T89" s="11"/>
    </row>
    <row r="90" spans="1:20" ht="15" thickBot="1" x14ac:dyDescent="0.35">
      <c r="A90" s="93"/>
      <c r="B90" s="93">
        <v>0</v>
      </c>
      <c r="C90" s="93">
        <f t="shared" si="1"/>
        <v>0</v>
      </c>
      <c r="D90" s="93"/>
      <c r="E90" s="93"/>
      <c r="F90" s="94"/>
      <c r="G90" s="91"/>
      <c r="H90" s="91"/>
      <c r="I90" s="91"/>
      <c r="J90" s="91"/>
      <c r="K90" s="91"/>
      <c r="L90" s="91"/>
      <c r="M90" s="92"/>
      <c r="N90" s="92"/>
      <c r="O90" s="13"/>
      <c r="P90" s="93">
        <v>0</v>
      </c>
      <c r="Q90" s="93"/>
      <c r="R90" s="93"/>
      <c r="S90" s="93"/>
      <c r="T90" s="93"/>
    </row>
    <row r="91" spans="1:20" x14ac:dyDescent="0.3">
      <c r="A91" s="4">
        <v>176313.13</v>
      </c>
      <c r="B91" s="4">
        <v>184504.19</v>
      </c>
      <c r="C91" s="4">
        <f t="shared" si="1"/>
        <v>-8191.0599999999977</v>
      </c>
      <c r="D91" s="4">
        <v>249306.79</v>
      </c>
      <c r="E91" s="4">
        <v>221973.62</v>
      </c>
      <c r="F91" s="4">
        <v>707747.76</v>
      </c>
      <c r="G91" s="4">
        <v>691942.18</v>
      </c>
      <c r="H91" s="4">
        <v>568423.18000000005</v>
      </c>
      <c r="I91" s="4">
        <v>557300.19000000006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13" t="s">
        <v>155</v>
      </c>
      <c r="P91" s="4">
        <v>3173006.8500000006</v>
      </c>
      <c r="Q91" s="4"/>
      <c r="R91" s="4"/>
      <c r="S91" s="4"/>
      <c r="T91" s="4"/>
    </row>
    <row r="92" spans="1:20" x14ac:dyDescent="0.3">
      <c r="A92" s="81"/>
      <c r="B92" s="81">
        <v>0</v>
      </c>
      <c r="C92" s="81">
        <f t="shared" si="1"/>
        <v>0</v>
      </c>
      <c r="D92" s="81"/>
      <c r="E92" s="81"/>
      <c r="F92" s="82"/>
      <c r="G92" s="86"/>
      <c r="H92" s="86"/>
      <c r="I92" s="86"/>
      <c r="J92" s="87"/>
      <c r="K92" s="87"/>
      <c r="L92" s="87"/>
      <c r="M92" s="84"/>
      <c r="N92" s="84"/>
      <c r="O92" s="80"/>
      <c r="P92" s="81">
        <v>0</v>
      </c>
      <c r="Q92" s="81"/>
      <c r="R92" s="81"/>
      <c r="S92" s="81"/>
      <c r="T92" s="81"/>
    </row>
    <row r="93" spans="1:20" x14ac:dyDescent="0.3">
      <c r="A93" s="8">
        <v>2600</v>
      </c>
      <c r="B93" s="8">
        <v>2600</v>
      </c>
      <c r="C93" s="8">
        <f t="shared" si="1"/>
        <v>0</v>
      </c>
      <c r="D93" s="8">
        <v>13241.92</v>
      </c>
      <c r="E93" s="8">
        <v>16693.2</v>
      </c>
      <c r="F93" s="8">
        <v>24503.71</v>
      </c>
      <c r="G93" s="8">
        <v>10275</v>
      </c>
      <c r="H93" s="8">
        <v>22941.279999999999</v>
      </c>
      <c r="I93" s="8">
        <v>12230</v>
      </c>
      <c r="J93" s="8"/>
      <c r="K93" s="8"/>
      <c r="L93" s="8"/>
      <c r="M93" s="8"/>
      <c r="N93" s="8"/>
      <c r="O93" s="187" t="s">
        <v>156</v>
      </c>
      <c r="P93" s="8">
        <v>102485.11</v>
      </c>
      <c r="Q93" s="8"/>
      <c r="R93" s="8"/>
      <c r="S93" s="8"/>
      <c r="T93" s="8"/>
    </row>
    <row r="94" spans="1:20" x14ac:dyDescent="0.3">
      <c r="A94" s="7"/>
      <c r="B94" s="7">
        <v>0</v>
      </c>
      <c r="C94" s="7">
        <f t="shared" si="1"/>
        <v>0</v>
      </c>
      <c r="D94" s="7">
        <v>832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13" t="s">
        <v>158</v>
      </c>
      <c r="P94" s="7">
        <v>832</v>
      </c>
      <c r="Q94" s="7"/>
      <c r="R94" s="7"/>
      <c r="S94" s="7"/>
      <c r="T94" s="7"/>
    </row>
    <row r="95" spans="1:20" x14ac:dyDescent="0.3">
      <c r="A95" s="7"/>
      <c r="B95" s="7">
        <v>0</v>
      </c>
      <c r="C95" s="7">
        <f t="shared" si="1"/>
        <v>0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3" t="s">
        <v>159</v>
      </c>
      <c r="P95" s="7">
        <v>0</v>
      </c>
      <c r="Q95" s="7"/>
      <c r="R95" s="7"/>
      <c r="S95" s="7"/>
      <c r="T95" s="7"/>
    </row>
    <row r="96" spans="1:20" x14ac:dyDescent="0.3">
      <c r="A96" s="7">
        <v>75.8</v>
      </c>
      <c r="B96" s="7">
        <v>75.8</v>
      </c>
      <c r="C96" s="7">
        <f t="shared" si="1"/>
        <v>0</v>
      </c>
      <c r="D96" s="7">
        <v>3880.05</v>
      </c>
      <c r="E96" s="7"/>
      <c r="F96" s="7"/>
      <c r="G96" s="7">
        <v>334.36</v>
      </c>
      <c r="H96" s="7"/>
      <c r="I96" s="7"/>
      <c r="J96" s="7"/>
      <c r="K96" s="7"/>
      <c r="L96" s="7"/>
      <c r="M96" s="7"/>
      <c r="N96" s="7"/>
      <c r="O96" s="13" t="s">
        <v>160</v>
      </c>
      <c r="P96" s="7">
        <v>4290.21</v>
      </c>
      <c r="Q96" s="7"/>
      <c r="R96" s="7"/>
      <c r="S96" s="7"/>
      <c r="T96" s="7"/>
    </row>
    <row r="97" spans="1:20" x14ac:dyDescent="0.3">
      <c r="A97" s="7"/>
      <c r="B97" s="7">
        <v>0</v>
      </c>
      <c r="C97" s="7">
        <f t="shared" si="1"/>
        <v>0</v>
      </c>
      <c r="D97" s="7">
        <v>28954.83</v>
      </c>
      <c r="E97" s="7">
        <v>15029.64</v>
      </c>
      <c r="F97" s="7"/>
      <c r="G97" s="7">
        <v>22140.44</v>
      </c>
      <c r="H97" s="7">
        <v>10019.76</v>
      </c>
      <c r="I97" s="7">
        <v>9696.5400000000009</v>
      </c>
      <c r="J97" s="7"/>
      <c r="K97" s="7"/>
      <c r="L97" s="7"/>
      <c r="M97" s="7"/>
      <c r="N97" s="7"/>
      <c r="O97" s="13" t="s">
        <v>161</v>
      </c>
      <c r="P97" s="7">
        <v>85841.209999999992</v>
      </c>
      <c r="Q97" s="7"/>
      <c r="R97" s="7"/>
      <c r="S97" s="7"/>
      <c r="T97" s="7"/>
    </row>
    <row r="98" spans="1:20" x14ac:dyDescent="0.3">
      <c r="A98" s="7">
        <v>452.6</v>
      </c>
      <c r="B98" s="7">
        <v>452.6</v>
      </c>
      <c r="C98" s="7">
        <f t="shared" si="1"/>
        <v>0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13" t="s">
        <v>162</v>
      </c>
      <c r="P98" s="7">
        <v>452.6</v>
      </c>
      <c r="Q98" s="7"/>
      <c r="R98" s="7"/>
      <c r="S98" s="7"/>
      <c r="T98" s="7"/>
    </row>
    <row r="99" spans="1:20" x14ac:dyDescent="0.3">
      <c r="A99" s="7"/>
      <c r="B99" s="7">
        <v>0</v>
      </c>
      <c r="C99" s="7">
        <f t="shared" si="1"/>
        <v>0</v>
      </c>
      <c r="D99" s="7">
        <v>46268.49</v>
      </c>
      <c r="E99" s="7">
        <v>36442.730000000003</v>
      </c>
      <c r="F99" s="7"/>
      <c r="G99" s="7">
        <v>68561.710000000006</v>
      </c>
      <c r="H99" s="7">
        <v>42912.22</v>
      </c>
      <c r="I99" s="7">
        <v>41353.78</v>
      </c>
      <c r="J99" s="7"/>
      <c r="K99" s="7"/>
      <c r="L99" s="7"/>
      <c r="M99" s="7"/>
      <c r="N99" s="7"/>
      <c r="O99" s="13" t="s">
        <v>163</v>
      </c>
      <c r="P99" s="7">
        <v>235538.93</v>
      </c>
      <c r="Q99" s="7"/>
      <c r="R99" s="7"/>
      <c r="S99" s="7"/>
      <c r="T99" s="7"/>
    </row>
    <row r="100" spans="1:20" x14ac:dyDescent="0.3">
      <c r="A100" s="11"/>
      <c r="B100" s="11">
        <v>0</v>
      </c>
      <c r="C100" s="11">
        <f t="shared" si="1"/>
        <v>0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87" t="s">
        <v>164</v>
      </c>
      <c r="P100" s="11">
        <v>0</v>
      </c>
      <c r="Q100" s="11"/>
      <c r="R100" s="11"/>
      <c r="S100" s="11"/>
      <c r="T100" s="11"/>
    </row>
    <row r="101" spans="1:20" ht="15" thickBot="1" x14ac:dyDescent="0.35">
      <c r="A101" s="89"/>
      <c r="B101" s="89">
        <v>0</v>
      </c>
      <c r="C101" s="89">
        <f t="shared" si="1"/>
        <v>0</v>
      </c>
      <c r="D101" s="89"/>
      <c r="E101" s="89"/>
      <c r="F101" s="90"/>
      <c r="G101" s="91"/>
      <c r="H101" s="91"/>
      <c r="I101" s="91"/>
      <c r="J101" s="91"/>
      <c r="K101" s="91"/>
      <c r="L101" s="91"/>
      <c r="M101" s="92"/>
      <c r="N101" s="92"/>
      <c r="O101" s="13"/>
      <c r="P101" s="89">
        <v>0</v>
      </c>
      <c r="Q101" s="89"/>
      <c r="R101" s="89"/>
      <c r="S101" s="89"/>
      <c r="T101" s="89"/>
    </row>
    <row r="102" spans="1:20" x14ac:dyDescent="0.3">
      <c r="A102" s="4">
        <v>3128.4</v>
      </c>
      <c r="B102" s="4">
        <v>3128.4</v>
      </c>
      <c r="C102" s="4">
        <f t="shared" si="1"/>
        <v>0</v>
      </c>
      <c r="D102" s="4">
        <v>93177.290000000008</v>
      </c>
      <c r="E102" s="4">
        <v>68165.570000000007</v>
      </c>
      <c r="F102" s="4">
        <v>24503.71</v>
      </c>
      <c r="G102" s="4">
        <v>101311.51000000001</v>
      </c>
      <c r="H102" s="4">
        <v>75873.260000000009</v>
      </c>
      <c r="I102" s="4">
        <v>63280.32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13" t="s">
        <v>166</v>
      </c>
      <c r="P102" s="4">
        <v>429440.06</v>
      </c>
      <c r="Q102" s="4"/>
      <c r="R102" s="4"/>
      <c r="S102" s="4"/>
      <c r="T102" s="4"/>
    </row>
    <row r="103" spans="1:20" x14ac:dyDescent="0.3">
      <c r="A103" s="81"/>
      <c r="B103" s="81">
        <v>0</v>
      </c>
      <c r="C103" s="81">
        <f t="shared" si="1"/>
        <v>0</v>
      </c>
      <c r="D103" s="81"/>
      <c r="E103" s="81"/>
      <c r="F103" s="82"/>
      <c r="G103" s="86"/>
      <c r="H103" s="86"/>
      <c r="I103" s="86"/>
      <c r="J103" s="87"/>
      <c r="K103" s="87"/>
      <c r="L103" s="87"/>
      <c r="M103" s="84"/>
      <c r="N103" s="84"/>
      <c r="O103" s="80"/>
      <c r="P103" s="81"/>
      <c r="Q103" s="81"/>
      <c r="R103" s="81"/>
      <c r="S103" s="81"/>
      <c r="T103" s="81"/>
    </row>
    <row r="104" spans="1:20" x14ac:dyDescent="0.3">
      <c r="A104" s="8">
        <v>300</v>
      </c>
      <c r="B104" s="8">
        <v>466.66666666666663</v>
      </c>
      <c r="C104" s="8">
        <f t="shared" si="1"/>
        <v>-166.66666666666663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87" t="s">
        <v>167</v>
      </c>
      <c r="P104" s="8">
        <v>300</v>
      </c>
      <c r="Q104" s="8"/>
      <c r="R104" s="8"/>
      <c r="S104" s="8"/>
      <c r="T104" s="8"/>
    </row>
    <row r="105" spans="1:20" x14ac:dyDescent="0.3">
      <c r="A105" s="7"/>
      <c r="B105" s="7">
        <v>0</v>
      </c>
      <c r="C105" s="7">
        <f t="shared" si="1"/>
        <v>0</v>
      </c>
      <c r="D105" s="7">
        <v>740</v>
      </c>
      <c r="E105" s="7">
        <v>279.14999999999998</v>
      </c>
      <c r="F105" s="7">
        <v>557.86</v>
      </c>
      <c r="G105" s="7"/>
      <c r="H105" s="7">
        <v>69.78</v>
      </c>
      <c r="I105" s="7">
        <v>209.15</v>
      </c>
      <c r="J105" s="7"/>
      <c r="K105" s="7"/>
      <c r="L105" s="7"/>
      <c r="M105" s="7"/>
      <c r="N105" s="7"/>
      <c r="O105" s="13" t="s">
        <v>168</v>
      </c>
      <c r="P105" s="7">
        <v>1855.94</v>
      </c>
      <c r="Q105" s="7"/>
      <c r="R105" s="7"/>
      <c r="S105" s="7"/>
      <c r="T105" s="7"/>
    </row>
    <row r="106" spans="1:20" x14ac:dyDescent="0.3">
      <c r="A106" s="11"/>
      <c r="B106" s="11">
        <v>0</v>
      </c>
      <c r="C106" s="11">
        <f t="shared" si="1"/>
        <v>0</v>
      </c>
      <c r="D106" s="11"/>
      <c r="E106" s="11"/>
      <c r="F106" s="11"/>
      <c r="G106" s="11"/>
      <c r="H106" s="11">
        <v>2264.2399999999998</v>
      </c>
      <c r="I106" s="11">
        <v>1467.24</v>
      </c>
      <c r="J106" s="11"/>
      <c r="K106" s="11"/>
      <c r="L106" s="11"/>
      <c r="M106" s="11"/>
      <c r="N106" s="11"/>
      <c r="O106" s="13" t="s">
        <v>169</v>
      </c>
      <c r="P106" s="11">
        <v>3731.4799999999996</v>
      </c>
      <c r="Q106" s="11"/>
      <c r="R106" s="11"/>
      <c r="S106" s="11"/>
      <c r="T106" s="11"/>
    </row>
    <row r="107" spans="1:20" ht="15" thickBot="1" x14ac:dyDescent="0.35">
      <c r="A107" s="89"/>
      <c r="B107" s="89">
        <v>0</v>
      </c>
      <c r="C107" s="89">
        <f t="shared" si="1"/>
        <v>0</v>
      </c>
      <c r="D107" s="89"/>
      <c r="E107" s="89"/>
      <c r="F107" s="90"/>
      <c r="G107" s="91"/>
      <c r="H107" s="91"/>
      <c r="I107" s="91"/>
      <c r="J107" s="91"/>
      <c r="K107" s="91"/>
      <c r="L107" s="91"/>
      <c r="M107" s="92"/>
      <c r="N107" s="92"/>
      <c r="O107" s="13"/>
      <c r="P107" s="89">
        <v>0</v>
      </c>
      <c r="Q107" s="89"/>
      <c r="R107" s="89"/>
      <c r="S107" s="89"/>
      <c r="T107" s="89"/>
    </row>
    <row r="108" spans="1:20" x14ac:dyDescent="0.3">
      <c r="A108" s="4">
        <v>300</v>
      </c>
      <c r="B108" s="4">
        <v>466.66666666666663</v>
      </c>
      <c r="C108" s="4">
        <f t="shared" si="1"/>
        <v>-166.66666666666663</v>
      </c>
      <c r="D108" s="4">
        <v>740</v>
      </c>
      <c r="E108" s="4">
        <v>279.14999999999998</v>
      </c>
      <c r="F108" s="4">
        <v>557.86</v>
      </c>
      <c r="G108" s="4">
        <v>0</v>
      </c>
      <c r="H108" s="4">
        <v>2334.02</v>
      </c>
      <c r="I108" s="4">
        <v>1676.39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13" t="s">
        <v>170</v>
      </c>
      <c r="P108" s="4">
        <v>5887.42</v>
      </c>
      <c r="Q108" s="4"/>
      <c r="R108" s="4"/>
      <c r="S108" s="4"/>
      <c r="T108" s="4"/>
    </row>
    <row r="109" spans="1:20" x14ac:dyDescent="0.3">
      <c r="A109" s="81"/>
      <c r="B109" s="81">
        <v>0</v>
      </c>
      <c r="C109" s="81">
        <f t="shared" si="1"/>
        <v>0</v>
      </c>
      <c r="D109" s="81"/>
      <c r="E109" s="81"/>
      <c r="F109" s="82"/>
      <c r="G109" s="81"/>
      <c r="H109" s="81"/>
      <c r="I109" s="81"/>
      <c r="J109" s="87"/>
      <c r="K109" s="87"/>
      <c r="L109" s="87"/>
      <c r="M109" s="88"/>
      <c r="N109" s="88"/>
      <c r="O109" s="80"/>
      <c r="P109" s="81">
        <v>0</v>
      </c>
      <c r="Q109" s="81"/>
      <c r="R109" s="81"/>
      <c r="S109" s="81"/>
      <c r="T109" s="81"/>
    </row>
    <row r="110" spans="1:20" x14ac:dyDescent="0.3">
      <c r="A110" s="4">
        <v>833452.35000000009</v>
      </c>
      <c r="B110" s="4">
        <v>841810.48666666658</v>
      </c>
      <c r="C110" s="4">
        <f t="shared" si="1"/>
        <v>-8358.1366666664835</v>
      </c>
      <c r="D110" s="4">
        <v>1065380.45</v>
      </c>
      <c r="E110" s="4">
        <v>2235281.7799999998</v>
      </c>
      <c r="F110" s="4">
        <v>1607729.2500000002</v>
      </c>
      <c r="G110" s="4">
        <v>2031947.34</v>
      </c>
      <c r="H110" s="4">
        <v>1537172.4600000002</v>
      </c>
      <c r="I110" s="4">
        <v>2245381.71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187" t="s">
        <v>171</v>
      </c>
      <c r="P110" s="4">
        <v>11556345.340000002</v>
      </c>
      <c r="Q110" s="4"/>
      <c r="R110" s="4"/>
      <c r="S110" s="4"/>
      <c r="T110" s="4"/>
    </row>
    <row r="111" spans="1:20" x14ac:dyDescent="0.3">
      <c r="A111" s="81"/>
      <c r="B111" s="81">
        <v>0</v>
      </c>
      <c r="C111" s="81">
        <f t="shared" si="1"/>
        <v>0</v>
      </c>
      <c r="D111" s="81"/>
      <c r="E111" s="81"/>
      <c r="F111" s="82"/>
      <c r="G111" s="81"/>
      <c r="H111" s="81"/>
      <c r="I111" s="81"/>
      <c r="J111" s="87"/>
      <c r="K111" s="87"/>
      <c r="L111" s="87"/>
      <c r="M111" s="88"/>
      <c r="N111" s="88"/>
      <c r="O111" s="122"/>
      <c r="P111" s="81">
        <v>0</v>
      </c>
      <c r="Q111" s="81"/>
      <c r="R111" s="81"/>
      <c r="S111" s="81"/>
      <c r="T111" s="81"/>
    </row>
    <row r="112" spans="1:20" x14ac:dyDescent="0.3">
      <c r="A112" s="4">
        <v>2864595.8600000003</v>
      </c>
      <c r="B112" s="4">
        <v>2899078.7666666666</v>
      </c>
      <c r="C112" s="4">
        <f t="shared" si="1"/>
        <v>-34482.906666666269</v>
      </c>
      <c r="D112" s="4">
        <v>3295602.83</v>
      </c>
      <c r="E112" s="4">
        <v>4658019.83</v>
      </c>
      <c r="F112" s="4">
        <v>3852538.71</v>
      </c>
      <c r="G112" s="4">
        <v>4256876.91</v>
      </c>
      <c r="H112" s="4">
        <v>3785733.5300000003</v>
      </c>
      <c r="I112" s="4">
        <v>4496940.2899999991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13" t="s">
        <v>240</v>
      </c>
      <c r="P112" s="4">
        <v>27210307.960000001</v>
      </c>
      <c r="Q112" s="4"/>
      <c r="R112" s="4"/>
      <c r="S112" s="4"/>
      <c r="T112" s="4"/>
    </row>
    <row r="113" spans="1:20" x14ac:dyDescent="0.3">
      <c r="A113" s="81"/>
      <c r="B113" s="81">
        <v>0</v>
      </c>
      <c r="C113" s="81">
        <f t="shared" si="1"/>
        <v>0</v>
      </c>
      <c r="D113" s="81"/>
      <c r="E113" s="81"/>
      <c r="F113" s="82"/>
      <c r="G113" s="81"/>
      <c r="H113" s="81"/>
      <c r="I113" s="81"/>
      <c r="J113" s="87"/>
      <c r="K113" s="87"/>
      <c r="L113" s="87"/>
      <c r="M113" s="88"/>
      <c r="N113" s="88"/>
      <c r="O113" s="122"/>
      <c r="P113" s="81">
        <v>0</v>
      </c>
      <c r="Q113" s="81"/>
      <c r="R113" s="81"/>
      <c r="S113" s="81"/>
      <c r="T113" s="81"/>
    </row>
    <row r="114" spans="1:20" x14ac:dyDescent="0.3">
      <c r="A114" s="8">
        <v>0</v>
      </c>
      <c r="B114" s="8">
        <v>0</v>
      </c>
      <c r="C114" s="8">
        <f t="shared" si="1"/>
        <v>0</v>
      </c>
      <c r="D114" s="8">
        <v>231010.83</v>
      </c>
      <c r="E114" s="8"/>
      <c r="F114" s="8">
        <v>37729.410000000003</v>
      </c>
      <c r="G114" s="8">
        <v>9089.9</v>
      </c>
      <c r="H114" s="8">
        <v>9288.9</v>
      </c>
      <c r="I114" s="8">
        <v>9288.9</v>
      </c>
      <c r="J114" s="8"/>
      <c r="K114" s="8"/>
      <c r="L114" s="8"/>
      <c r="M114" s="8"/>
      <c r="N114" s="8"/>
      <c r="O114" s="187" t="s">
        <v>173</v>
      </c>
      <c r="P114" s="8">
        <v>296407.94000000006</v>
      </c>
      <c r="Q114" s="8"/>
      <c r="R114" s="8"/>
      <c r="S114" s="8"/>
      <c r="T114" s="8"/>
    </row>
    <row r="115" spans="1:20" x14ac:dyDescent="0.3">
      <c r="A115" s="7">
        <v>0</v>
      </c>
      <c r="B115" s="7">
        <v>0</v>
      </c>
      <c r="C115" s="7">
        <f t="shared" si="1"/>
        <v>0</v>
      </c>
      <c r="D115" s="7">
        <v>10080.9</v>
      </c>
      <c r="E115" s="7"/>
      <c r="F115" s="7"/>
      <c r="G115" s="7">
        <v>199</v>
      </c>
      <c r="H115" s="7"/>
      <c r="I115" s="7"/>
      <c r="J115" s="7"/>
      <c r="K115" s="7"/>
      <c r="L115" s="7"/>
      <c r="M115" s="7"/>
      <c r="N115" s="7"/>
      <c r="O115" s="13" t="s">
        <v>174</v>
      </c>
      <c r="P115" s="7">
        <v>10279.9</v>
      </c>
      <c r="Q115" s="7"/>
      <c r="R115" s="7"/>
      <c r="S115" s="7"/>
      <c r="T115" s="7"/>
    </row>
    <row r="116" spans="1:20" x14ac:dyDescent="0.3">
      <c r="A116" s="7">
        <v>0</v>
      </c>
      <c r="B116" s="7">
        <v>0</v>
      </c>
      <c r="C116" s="7">
        <f t="shared" si="1"/>
        <v>0</v>
      </c>
      <c r="D116" s="7">
        <v>0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13" t="s">
        <v>175</v>
      </c>
      <c r="P116" s="7">
        <v>0</v>
      </c>
      <c r="Q116" s="7"/>
      <c r="R116" s="7"/>
      <c r="S116" s="7"/>
      <c r="T116" s="7"/>
    </row>
    <row r="117" spans="1:20" x14ac:dyDescent="0.3">
      <c r="A117" s="7">
        <v>0</v>
      </c>
      <c r="B117" s="7">
        <v>0</v>
      </c>
      <c r="C117" s="7">
        <f t="shared" si="1"/>
        <v>0</v>
      </c>
      <c r="D117" s="7">
        <v>417233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187" t="s">
        <v>176</v>
      </c>
      <c r="P117" s="7">
        <v>417233</v>
      </c>
      <c r="Q117" s="7"/>
      <c r="R117" s="7"/>
      <c r="S117" s="7"/>
      <c r="T117" s="7"/>
    </row>
    <row r="118" spans="1:20" x14ac:dyDescent="0.3">
      <c r="A118" s="7">
        <v>0</v>
      </c>
      <c r="B118" s="7">
        <v>0</v>
      </c>
      <c r="C118" s="7">
        <f t="shared" si="1"/>
        <v>0</v>
      </c>
      <c r="D118" s="7">
        <v>0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13" t="s">
        <v>177</v>
      </c>
      <c r="P118" s="7">
        <v>0</v>
      </c>
      <c r="Q118" s="7"/>
      <c r="R118" s="7"/>
      <c r="S118" s="7"/>
      <c r="T118" s="7"/>
    </row>
    <row r="119" spans="1:20" x14ac:dyDescent="0.3">
      <c r="A119" s="7">
        <v>0</v>
      </c>
      <c r="B119" s="7">
        <v>0</v>
      </c>
      <c r="C119" s="7">
        <f t="shared" si="1"/>
        <v>0</v>
      </c>
      <c r="D119" s="7">
        <v>0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13" t="s">
        <v>178</v>
      </c>
      <c r="P119" s="7">
        <v>0</v>
      </c>
      <c r="Q119" s="7"/>
      <c r="R119" s="7"/>
      <c r="S119" s="7"/>
      <c r="T119" s="7"/>
    </row>
    <row r="120" spans="1:20" x14ac:dyDescent="0.3">
      <c r="A120" s="7">
        <v>0</v>
      </c>
      <c r="B120" s="7">
        <v>0</v>
      </c>
      <c r="C120" s="7">
        <f t="shared" si="1"/>
        <v>0</v>
      </c>
      <c r="D120" s="7">
        <v>0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187" t="s">
        <v>179</v>
      </c>
      <c r="P120" s="7">
        <v>0</v>
      </c>
      <c r="Q120" s="7"/>
      <c r="R120" s="7"/>
      <c r="S120" s="7"/>
      <c r="T120" s="7"/>
    </row>
    <row r="121" spans="1:20" x14ac:dyDescent="0.3">
      <c r="A121" s="7">
        <v>0</v>
      </c>
      <c r="B121" s="7">
        <v>0</v>
      </c>
      <c r="C121" s="7">
        <f t="shared" si="1"/>
        <v>0</v>
      </c>
      <c r="D121" s="7">
        <v>0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13" t="s">
        <v>180</v>
      </c>
      <c r="P121" s="7">
        <v>0</v>
      </c>
      <c r="Q121" s="7"/>
      <c r="R121" s="7"/>
      <c r="S121" s="7"/>
      <c r="T121" s="7"/>
    </row>
    <row r="122" spans="1:20" x14ac:dyDescent="0.3">
      <c r="A122" s="7">
        <v>0</v>
      </c>
      <c r="B122" s="7">
        <v>17332.12</v>
      </c>
      <c r="C122" s="7">
        <f t="shared" si="1"/>
        <v>-17332.12</v>
      </c>
      <c r="D122" s="7">
        <v>0</v>
      </c>
      <c r="E122" s="7">
        <v>3258.34</v>
      </c>
      <c r="F122" s="7"/>
      <c r="G122" s="7">
        <v>6516.68</v>
      </c>
      <c r="H122" s="7">
        <v>3258.34</v>
      </c>
      <c r="I122" s="7">
        <v>2150.88</v>
      </c>
      <c r="J122" s="7"/>
      <c r="K122" s="7"/>
      <c r="L122" s="7"/>
      <c r="M122" s="7"/>
      <c r="N122" s="7"/>
      <c r="O122" s="13" t="s">
        <v>181</v>
      </c>
      <c r="P122" s="7">
        <v>15184.240000000002</v>
      </c>
      <c r="Q122" s="7"/>
      <c r="R122" s="7"/>
      <c r="S122" s="7"/>
      <c r="T122" s="7"/>
    </row>
    <row r="123" spans="1:20" x14ac:dyDescent="0.3">
      <c r="A123" s="7">
        <v>0</v>
      </c>
      <c r="B123" s="7">
        <v>0</v>
      </c>
      <c r="C123" s="7">
        <f t="shared" si="1"/>
        <v>0</v>
      </c>
      <c r="D123" s="7">
        <v>178910.36</v>
      </c>
      <c r="E123" s="7">
        <v>94477.17</v>
      </c>
      <c r="F123" s="7"/>
      <c r="G123" s="7"/>
      <c r="H123" s="7">
        <v>94477.17</v>
      </c>
      <c r="I123" s="7">
        <v>91429.53</v>
      </c>
      <c r="J123" s="7"/>
      <c r="K123" s="7"/>
      <c r="L123" s="7"/>
      <c r="M123" s="7"/>
      <c r="N123" s="7"/>
      <c r="O123" s="187" t="s">
        <v>182</v>
      </c>
      <c r="P123" s="7">
        <v>459294.23</v>
      </c>
      <c r="Q123" s="7"/>
      <c r="R123" s="7"/>
      <c r="S123" s="7"/>
      <c r="T123" s="7"/>
    </row>
    <row r="124" spans="1:20" x14ac:dyDescent="0.3">
      <c r="A124" s="7">
        <v>0</v>
      </c>
      <c r="B124" s="7">
        <v>0</v>
      </c>
      <c r="C124" s="7">
        <f t="shared" si="1"/>
        <v>0</v>
      </c>
      <c r="D124" s="7">
        <v>0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13" t="s">
        <v>183</v>
      </c>
      <c r="P124" s="7">
        <v>0</v>
      </c>
      <c r="Q124" s="7"/>
      <c r="R124" s="7"/>
      <c r="S124" s="7"/>
      <c r="T124" s="7"/>
    </row>
    <row r="125" spans="1:20" x14ac:dyDescent="0.3">
      <c r="A125" s="11">
        <v>0</v>
      </c>
      <c r="B125" s="11">
        <v>0</v>
      </c>
      <c r="C125" s="11">
        <f t="shared" si="1"/>
        <v>0</v>
      </c>
      <c r="D125" s="11">
        <v>0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3" t="s">
        <v>184</v>
      </c>
      <c r="P125" s="11">
        <v>0</v>
      </c>
      <c r="Q125" s="11"/>
      <c r="R125" s="11"/>
      <c r="S125" s="11"/>
      <c r="T125" s="11"/>
    </row>
    <row r="126" spans="1:20" x14ac:dyDescent="0.3">
      <c r="A126" s="7"/>
      <c r="B126" s="7">
        <v>0</v>
      </c>
      <c r="C126" s="7">
        <f t="shared" si="1"/>
        <v>0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13"/>
      <c r="P126" s="7">
        <v>0</v>
      </c>
      <c r="Q126" s="7"/>
      <c r="R126" s="7"/>
      <c r="S126" s="7"/>
      <c r="T126" s="7"/>
    </row>
    <row r="127" spans="1:20" x14ac:dyDescent="0.3">
      <c r="A127" s="4">
        <v>0</v>
      </c>
      <c r="B127" s="4">
        <v>17332.12</v>
      </c>
      <c r="C127" s="4">
        <f t="shared" si="1"/>
        <v>-17332.12</v>
      </c>
      <c r="D127" s="4">
        <v>837235.09</v>
      </c>
      <c r="E127" s="4">
        <v>97735.51</v>
      </c>
      <c r="F127" s="4">
        <v>37729.410000000003</v>
      </c>
      <c r="G127" s="4">
        <v>15805.58</v>
      </c>
      <c r="H127" s="4">
        <v>107024.41</v>
      </c>
      <c r="I127" s="4">
        <v>102869.31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13" t="s">
        <v>185</v>
      </c>
      <c r="P127" s="4">
        <v>1198399.31</v>
      </c>
      <c r="Q127" s="4"/>
      <c r="R127" s="4"/>
      <c r="S127" s="4"/>
      <c r="T127" s="4"/>
    </row>
    <row r="128" spans="1:20" x14ac:dyDescent="0.3">
      <c r="A128" s="82"/>
      <c r="B128" s="82">
        <v>0</v>
      </c>
      <c r="C128" s="82">
        <f t="shared" si="1"/>
        <v>0</v>
      </c>
      <c r="D128" s="81"/>
      <c r="E128" s="81"/>
      <c r="F128" s="82"/>
      <c r="G128" s="86"/>
      <c r="H128" s="86"/>
      <c r="I128" s="86"/>
      <c r="J128" s="86"/>
      <c r="K128" s="87"/>
      <c r="L128" s="87"/>
      <c r="M128" s="88"/>
      <c r="N128" s="88"/>
      <c r="O128" s="122"/>
      <c r="P128" s="81">
        <v>0</v>
      </c>
      <c r="Q128" s="81"/>
      <c r="R128" s="81"/>
      <c r="S128" s="81"/>
      <c r="T128" s="81"/>
    </row>
    <row r="129" spans="1:20" x14ac:dyDescent="0.3">
      <c r="A129" s="4">
        <v>2864595.8600000003</v>
      </c>
      <c r="B129" s="4">
        <v>2916410.8866666667</v>
      </c>
      <c r="C129" s="4">
        <f t="shared" si="1"/>
        <v>-51815.026666666381</v>
      </c>
      <c r="D129" s="4">
        <v>4132837.92</v>
      </c>
      <c r="E129" s="4">
        <v>4755755.34</v>
      </c>
      <c r="F129" s="4">
        <v>3890268.12</v>
      </c>
      <c r="G129" s="4">
        <v>4272682.49</v>
      </c>
      <c r="H129" s="4">
        <v>3892757.9400000004</v>
      </c>
      <c r="I129" s="4">
        <v>4599809.5999999987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13" t="s">
        <v>186</v>
      </c>
      <c r="P129" s="4">
        <v>28408707.27</v>
      </c>
      <c r="Q129" s="4"/>
      <c r="R129" s="4"/>
      <c r="S129" s="4"/>
      <c r="T129" s="4"/>
    </row>
    <row r="130" spans="1:20" x14ac:dyDescent="0.3">
      <c r="A130" s="81"/>
      <c r="B130" s="81"/>
      <c r="C130" s="81">
        <f t="shared" si="1"/>
        <v>0</v>
      </c>
      <c r="D130" s="81"/>
      <c r="E130" s="81"/>
      <c r="F130" s="82"/>
      <c r="G130" s="81"/>
      <c r="H130" s="81"/>
      <c r="I130" s="81"/>
      <c r="J130" s="81"/>
      <c r="K130" s="87"/>
      <c r="L130" s="87"/>
      <c r="M130" s="88"/>
      <c r="N130" s="88"/>
      <c r="O130" s="122"/>
      <c r="P130" s="81">
        <v>0</v>
      </c>
      <c r="Q130" s="81"/>
      <c r="R130" s="81"/>
      <c r="S130" s="81"/>
      <c r="T130" s="81"/>
    </row>
    <row r="131" spans="1:20" x14ac:dyDescent="0.3">
      <c r="A131" s="8">
        <v>0</v>
      </c>
      <c r="B131" s="8"/>
      <c r="C131" s="8">
        <f t="shared" si="1"/>
        <v>0</v>
      </c>
      <c r="D131" s="8">
        <v>315000</v>
      </c>
      <c r="E131" s="8">
        <v>20000</v>
      </c>
      <c r="F131" s="8"/>
      <c r="G131" s="8">
        <v>104000</v>
      </c>
      <c r="H131" s="8">
        <v>-17000</v>
      </c>
      <c r="I131" s="8">
        <v>182500</v>
      </c>
      <c r="J131" s="8"/>
      <c r="K131" s="8"/>
      <c r="L131" s="8"/>
      <c r="M131" s="8"/>
      <c r="N131" s="8"/>
      <c r="O131" s="187" t="s">
        <v>187</v>
      </c>
      <c r="P131" s="8">
        <v>604500</v>
      </c>
      <c r="Q131" s="8"/>
      <c r="R131" s="8"/>
      <c r="S131" s="8"/>
      <c r="T131" s="8"/>
    </row>
    <row r="132" spans="1:20" x14ac:dyDescent="0.3">
      <c r="A132" s="7">
        <v>124260</v>
      </c>
      <c r="B132" s="7"/>
      <c r="C132" s="7">
        <f t="shared" si="1"/>
        <v>124260</v>
      </c>
      <c r="D132" s="7">
        <v>13080</v>
      </c>
      <c r="E132" s="7">
        <v>0</v>
      </c>
      <c r="F132" s="7"/>
      <c r="G132" s="7">
        <v>15260</v>
      </c>
      <c r="H132" s="7">
        <v>7500</v>
      </c>
      <c r="I132" s="7">
        <v>6540</v>
      </c>
      <c r="J132" s="7"/>
      <c r="K132" s="7"/>
      <c r="L132" s="7"/>
      <c r="M132" s="7"/>
      <c r="N132" s="7"/>
      <c r="O132" s="13" t="s">
        <v>188</v>
      </c>
      <c r="P132" s="7">
        <v>166640</v>
      </c>
      <c r="Q132" s="7"/>
      <c r="R132" s="7"/>
      <c r="S132" s="7"/>
      <c r="T132" s="7"/>
    </row>
    <row r="133" spans="1:20" x14ac:dyDescent="0.3">
      <c r="A133" s="7">
        <v>2730</v>
      </c>
      <c r="B133" s="7"/>
      <c r="C133" s="7">
        <f t="shared" si="1"/>
        <v>2730</v>
      </c>
      <c r="D133" s="7">
        <v>0</v>
      </c>
      <c r="E133" s="7">
        <v>0</v>
      </c>
      <c r="F133" s="7"/>
      <c r="G133" s="7">
        <v>2180</v>
      </c>
      <c r="H133" s="7">
        <v>0</v>
      </c>
      <c r="I133" s="7">
        <v>3545</v>
      </c>
      <c r="J133" s="7"/>
      <c r="K133" s="7"/>
      <c r="L133" s="7"/>
      <c r="M133" s="7"/>
      <c r="N133" s="7"/>
      <c r="O133" s="13" t="s">
        <v>189</v>
      </c>
      <c r="P133" s="7">
        <v>8455</v>
      </c>
      <c r="Q133" s="7"/>
      <c r="R133" s="7"/>
      <c r="S133" s="7"/>
      <c r="T133" s="7"/>
    </row>
    <row r="134" spans="1:20" x14ac:dyDescent="0.3">
      <c r="A134" s="7">
        <v>96250</v>
      </c>
      <c r="B134" s="7"/>
      <c r="C134" s="7">
        <f t="shared" si="1"/>
        <v>96250</v>
      </c>
      <c r="D134" s="7">
        <v>152845</v>
      </c>
      <c r="E134" s="7">
        <v>35035</v>
      </c>
      <c r="F134" s="7">
        <v>42735</v>
      </c>
      <c r="G134" s="7">
        <v>122815</v>
      </c>
      <c r="H134" s="7">
        <v>190575</v>
      </c>
      <c r="I134" s="7">
        <v>116270</v>
      </c>
      <c r="J134" s="7"/>
      <c r="K134" s="7"/>
      <c r="L134" s="7"/>
      <c r="M134" s="7"/>
      <c r="N134" s="7"/>
      <c r="O134" s="187" t="s">
        <v>190</v>
      </c>
      <c r="P134" s="7">
        <v>756525</v>
      </c>
      <c r="Q134" s="7"/>
      <c r="R134" s="7"/>
      <c r="S134" s="7"/>
      <c r="T134" s="7"/>
    </row>
    <row r="135" spans="1:20" x14ac:dyDescent="0.3">
      <c r="A135" s="7">
        <v>0</v>
      </c>
      <c r="B135" s="7"/>
      <c r="C135" s="7">
        <f t="shared" si="1"/>
        <v>0</v>
      </c>
      <c r="D135" s="7"/>
      <c r="E135" s="7">
        <v>0</v>
      </c>
      <c r="F135" s="7"/>
      <c r="G135" s="7"/>
      <c r="H135" s="7">
        <v>0</v>
      </c>
      <c r="I135" s="7"/>
      <c r="J135" s="7"/>
      <c r="K135" s="7"/>
      <c r="L135" s="7"/>
      <c r="M135" s="7"/>
      <c r="N135" s="7"/>
      <c r="O135" s="13" t="s">
        <v>191</v>
      </c>
      <c r="P135" s="7">
        <v>0</v>
      </c>
      <c r="Q135" s="7"/>
      <c r="R135" s="7"/>
      <c r="S135" s="7"/>
      <c r="T135" s="7"/>
    </row>
    <row r="136" spans="1:20" x14ac:dyDescent="0.3">
      <c r="A136" s="7">
        <v>1330</v>
      </c>
      <c r="B136" s="7"/>
      <c r="C136" s="7">
        <f t="shared" ref="C136:C172" si="2">A136-B136</f>
        <v>1330</v>
      </c>
      <c r="D136" s="7">
        <v>4190</v>
      </c>
      <c r="E136" s="7">
        <v>3565.8</v>
      </c>
      <c r="F136" s="7">
        <v>5060</v>
      </c>
      <c r="G136" s="7">
        <v>4840</v>
      </c>
      <c r="H136" s="7">
        <v>3190</v>
      </c>
      <c r="I136" s="7">
        <v>3850</v>
      </c>
      <c r="J136" s="7"/>
      <c r="K136" s="7"/>
      <c r="L136" s="7"/>
      <c r="M136" s="7"/>
      <c r="N136" s="7"/>
      <c r="O136" s="13" t="s">
        <v>192</v>
      </c>
      <c r="P136" s="7">
        <v>26025.8</v>
      </c>
      <c r="Q136" s="7"/>
      <c r="R136" s="7"/>
      <c r="S136" s="7"/>
      <c r="T136" s="7"/>
    </row>
    <row r="137" spans="1:20" x14ac:dyDescent="0.3">
      <c r="A137" s="7">
        <v>68200</v>
      </c>
      <c r="B137" s="7"/>
      <c r="C137" s="7">
        <f t="shared" si="2"/>
        <v>68200</v>
      </c>
      <c r="D137" s="7">
        <v>109935</v>
      </c>
      <c r="E137" s="7">
        <v>101215</v>
      </c>
      <c r="F137" s="7">
        <v>109935</v>
      </c>
      <c r="G137" s="7">
        <v>133985</v>
      </c>
      <c r="H137" s="7">
        <v>108570</v>
      </c>
      <c r="I137" s="7">
        <v>75035</v>
      </c>
      <c r="J137" s="7"/>
      <c r="K137" s="7"/>
      <c r="L137" s="7"/>
      <c r="M137" s="7"/>
      <c r="N137" s="7"/>
      <c r="O137" s="187" t="s">
        <v>193</v>
      </c>
      <c r="P137" s="7">
        <v>706875</v>
      </c>
      <c r="Q137" s="7"/>
      <c r="R137" s="7"/>
      <c r="S137" s="7"/>
      <c r="T137" s="7"/>
    </row>
    <row r="138" spans="1:20" x14ac:dyDescent="0.3">
      <c r="A138" s="7">
        <v>2130</v>
      </c>
      <c r="B138" s="7"/>
      <c r="C138" s="7">
        <f t="shared" si="2"/>
        <v>2130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/>
      <c r="J138" s="7"/>
      <c r="K138" s="7"/>
      <c r="L138" s="7"/>
      <c r="M138" s="7"/>
      <c r="N138" s="7"/>
      <c r="O138" s="13" t="s">
        <v>194</v>
      </c>
      <c r="P138" s="7">
        <v>2130</v>
      </c>
      <c r="Q138" s="7"/>
      <c r="R138" s="7"/>
      <c r="S138" s="7"/>
      <c r="T138" s="7"/>
    </row>
    <row r="139" spans="1:20" x14ac:dyDescent="0.3">
      <c r="A139" s="7">
        <v>1365</v>
      </c>
      <c r="B139" s="7"/>
      <c r="C139" s="7">
        <f t="shared" si="2"/>
        <v>1365</v>
      </c>
      <c r="D139" s="7">
        <v>3550</v>
      </c>
      <c r="E139" s="7">
        <v>4910</v>
      </c>
      <c r="F139" s="7">
        <v>60</v>
      </c>
      <c r="G139" s="7">
        <v>2130</v>
      </c>
      <c r="H139" s="7">
        <v>1155</v>
      </c>
      <c r="I139" s="7">
        <v>710</v>
      </c>
      <c r="J139" s="7"/>
      <c r="K139" s="7"/>
      <c r="L139" s="7"/>
      <c r="M139" s="7"/>
      <c r="N139" s="7"/>
      <c r="O139" s="13" t="s">
        <v>195</v>
      </c>
      <c r="P139" s="7">
        <v>13880</v>
      </c>
      <c r="Q139" s="7"/>
      <c r="R139" s="7"/>
      <c r="S139" s="7"/>
      <c r="T139" s="7"/>
    </row>
    <row r="140" spans="1:20" x14ac:dyDescent="0.3">
      <c r="A140" s="7">
        <v>10430</v>
      </c>
      <c r="B140" s="7"/>
      <c r="C140" s="7">
        <f t="shared" si="2"/>
        <v>10430</v>
      </c>
      <c r="D140" s="7">
        <v>4095</v>
      </c>
      <c r="E140" s="7">
        <v>1365</v>
      </c>
      <c r="F140" s="7">
        <v>0</v>
      </c>
      <c r="G140" s="7">
        <v>6825</v>
      </c>
      <c r="H140" s="7">
        <v>1365</v>
      </c>
      <c r="I140" s="7">
        <v>7825</v>
      </c>
      <c r="J140" s="7"/>
      <c r="K140" s="7"/>
      <c r="L140" s="7"/>
      <c r="M140" s="7"/>
      <c r="N140" s="7"/>
      <c r="O140" s="187" t="s">
        <v>196</v>
      </c>
      <c r="P140" s="7">
        <v>31905</v>
      </c>
      <c r="Q140" s="7"/>
      <c r="R140" s="7"/>
      <c r="S140" s="7"/>
      <c r="T140" s="7"/>
    </row>
    <row r="141" spans="1:20" x14ac:dyDescent="0.3">
      <c r="A141" s="7">
        <v>14260</v>
      </c>
      <c r="B141" s="7"/>
      <c r="C141" s="7">
        <f t="shared" si="2"/>
        <v>14260</v>
      </c>
      <c r="D141" s="7">
        <v>16940</v>
      </c>
      <c r="E141" s="7">
        <v>18095</v>
      </c>
      <c r="F141" s="7">
        <v>13475</v>
      </c>
      <c r="G141" s="7">
        <v>20020</v>
      </c>
      <c r="H141" s="7">
        <v>15680</v>
      </c>
      <c r="I141" s="7">
        <v>13475</v>
      </c>
      <c r="J141" s="7"/>
      <c r="K141" s="7"/>
      <c r="L141" s="7"/>
      <c r="M141" s="7"/>
      <c r="N141" s="7"/>
      <c r="O141" s="13" t="s">
        <v>197</v>
      </c>
      <c r="P141" s="7">
        <v>111945</v>
      </c>
      <c r="Q141" s="7"/>
      <c r="R141" s="7"/>
      <c r="S141" s="7"/>
      <c r="T141" s="7"/>
    </row>
    <row r="142" spans="1:20" x14ac:dyDescent="0.3">
      <c r="A142" s="7">
        <v>1850</v>
      </c>
      <c r="B142" s="7"/>
      <c r="C142" s="7">
        <f t="shared" si="2"/>
        <v>1850</v>
      </c>
      <c r="D142" s="7">
        <v>13490</v>
      </c>
      <c r="E142" s="7">
        <v>16330</v>
      </c>
      <c r="F142" s="7">
        <v>17040</v>
      </c>
      <c r="G142" s="7">
        <v>29110</v>
      </c>
      <c r="H142" s="7">
        <v>27690</v>
      </c>
      <c r="I142" s="7">
        <v>23430</v>
      </c>
      <c r="J142" s="7"/>
      <c r="K142" s="7"/>
      <c r="L142" s="7"/>
      <c r="M142" s="7"/>
      <c r="N142" s="7"/>
      <c r="O142" s="13" t="s">
        <v>198</v>
      </c>
      <c r="P142" s="7">
        <v>128940</v>
      </c>
      <c r="Q142" s="7"/>
      <c r="R142" s="7"/>
      <c r="S142" s="7"/>
      <c r="T142" s="7"/>
    </row>
    <row r="143" spans="1:20" x14ac:dyDescent="0.3">
      <c r="A143" s="7">
        <v>1420</v>
      </c>
      <c r="B143" s="7"/>
      <c r="C143" s="7">
        <f t="shared" si="2"/>
        <v>1420</v>
      </c>
      <c r="D143" s="7">
        <v>3470</v>
      </c>
      <c r="E143" s="7">
        <v>1150</v>
      </c>
      <c r="F143" s="7">
        <v>2280</v>
      </c>
      <c r="G143" s="7">
        <v>1850</v>
      </c>
      <c r="H143" s="7">
        <v>880</v>
      </c>
      <c r="I143" s="7">
        <v>1530</v>
      </c>
      <c r="J143" s="7"/>
      <c r="K143" s="7"/>
      <c r="L143" s="7"/>
      <c r="M143" s="7"/>
      <c r="N143" s="7"/>
      <c r="O143" s="187" t="s">
        <v>199</v>
      </c>
      <c r="P143" s="7">
        <v>12580</v>
      </c>
      <c r="Q143" s="7"/>
      <c r="R143" s="7"/>
      <c r="S143" s="7"/>
      <c r="T143" s="7"/>
    </row>
    <row r="144" spans="1:20" x14ac:dyDescent="0.3">
      <c r="A144" s="7">
        <v>9660</v>
      </c>
      <c r="B144" s="7"/>
      <c r="C144" s="7">
        <f t="shared" si="2"/>
        <v>9660</v>
      </c>
      <c r="D144" s="7">
        <v>2130</v>
      </c>
      <c r="E144" s="7">
        <v>4260</v>
      </c>
      <c r="F144" s="7">
        <v>1420</v>
      </c>
      <c r="G144" s="7">
        <v>710</v>
      </c>
      <c r="H144" s="7">
        <v>1420</v>
      </c>
      <c r="I144" s="7">
        <v>3550</v>
      </c>
      <c r="J144" s="7"/>
      <c r="K144" s="7"/>
      <c r="L144" s="7"/>
      <c r="M144" s="7"/>
      <c r="N144" s="7"/>
      <c r="O144" s="13" t="s">
        <v>200</v>
      </c>
      <c r="P144" s="7">
        <v>23150</v>
      </c>
      <c r="Q144" s="7"/>
      <c r="R144" s="7"/>
      <c r="S144" s="7"/>
      <c r="T144" s="7"/>
    </row>
    <row r="145" spans="1:20" x14ac:dyDescent="0.3">
      <c r="A145" s="7">
        <v>3550</v>
      </c>
      <c r="B145" s="7"/>
      <c r="C145" s="7">
        <f t="shared" si="2"/>
        <v>3550</v>
      </c>
      <c r="D145" s="7">
        <v>16555</v>
      </c>
      <c r="E145" s="7">
        <v>14630</v>
      </c>
      <c r="F145" s="7">
        <v>12320</v>
      </c>
      <c r="G145" s="7">
        <v>17325</v>
      </c>
      <c r="H145" s="7">
        <v>13405</v>
      </c>
      <c r="I145" s="7">
        <v>11936</v>
      </c>
      <c r="J145" s="7"/>
      <c r="K145" s="7"/>
      <c r="L145" s="7"/>
      <c r="M145" s="7"/>
      <c r="N145" s="7"/>
      <c r="O145" s="13" t="s">
        <v>201</v>
      </c>
      <c r="P145" s="7">
        <v>89721</v>
      </c>
      <c r="Q145" s="7"/>
      <c r="R145" s="7"/>
      <c r="S145" s="7"/>
      <c r="T145" s="7"/>
    </row>
    <row r="146" spans="1:20" x14ac:dyDescent="0.3">
      <c r="A146" s="7">
        <v>0</v>
      </c>
      <c r="B146" s="7"/>
      <c r="C146" s="7">
        <f t="shared" si="2"/>
        <v>0</v>
      </c>
      <c r="D146" s="7">
        <v>6390</v>
      </c>
      <c r="E146" s="7">
        <v>5680</v>
      </c>
      <c r="F146" s="7">
        <v>6390</v>
      </c>
      <c r="G146" s="7">
        <v>34080</v>
      </c>
      <c r="H146" s="7">
        <v>7160</v>
      </c>
      <c r="I146" s="7">
        <v>22720</v>
      </c>
      <c r="J146" s="7"/>
      <c r="K146" s="7"/>
      <c r="L146" s="7"/>
      <c r="M146" s="7"/>
      <c r="N146" s="7"/>
      <c r="O146" s="187" t="s">
        <v>202</v>
      </c>
      <c r="P146" s="7">
        <v>82420</v>
      </c>
      <c r="Q146" s="7"/>
      <c r="R146" s="7"/>
      <c r="S146" s="7"/>
      <c r="T146" s="7"/>
    </row>
    <row r="147" spans="1:20" x14ac:dyDescent="0.3">
      <c r="A147" s="7">
        <v>0</v>
      </c>
      <c r="B147" s="7"/>
      <c r="C147" s="7">
        <f t="shared" si="2"/>
        <v>0</v>
      </c>
      <c r="D147" s="7"/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/>
      <c r="K147" s="7"/>
      <c r="L147" s="7"/>
      <c r="M147" s="7"/>
      <c r="N147" s="7"/>
      <c r="O147" s="13" t="s">
        <v>203</v>
      </c>
      <c r="P147" s="7">
        <v>0</v>
      </c>
      <c r="Q147" s="7"/>
      <c r="R147" s="7"/>
      <c r="S147" s="7"/>
      <c r="T147" s="7"/>
    </row>
    <row r="148" spans="1:20" x14ac:dyDescent="0.3">
      <c r="A148" s="7">
        <v>0</v>
      </c>
      <c r="B148" s="7"/>
      <c r="C148" s="7">
        <f t="shared" si="2"/>
        <v>0</v>
      </c>
      <c r="D148" s="7">
        <v>1540</v>
      </c>
      <c r="E148" s="7">
        <v>1540</v>
      </c>
      <c r="F148" s="7">
        <v>770</v>
      </c>
      <c r="G148" s="7">
        <v>385</v>
      </c>
      <c r="H148" s="7">
        <v>770</v>
      </c>
      <c r="I148" s="7">
        <v>385</v>
      </c>
      <c r="J148" s="7"/>
      <c r="K148" s="7"/>
      <c r="L148" s="7"/>
      <c r="M148" s="7"/>
      <c r="N148" s="7"/>
      <c r="O148" s="13" t="s">
        <v>204</v>
      </c>
      <c r="P148" s="7">
        <v>5390</v>
      </c>
      <c r="Q148" s="7"/>
      <c r="R148" s="7"/>
      <c r="S148" s="7"/>
      <c r="T148" s="7"/>
    </row>
    <row r="149" spans="1:20" x14ac:dyDescent="0.3">
      <c r="A149" s="7">
        <v>0</v>
      </c>
      <c r="B149" s="7"/>
      <c r="C149" s="7">
        <f t="shared" si="2"/>
        <v>0</v>
      </c>
      <c r="D149" s="7">
        <v>0</v>
      </c>
      <c r="E149" s="7">
        <v>0</v>
      </c>
      <c r="F149" s="7">
        <v>0</v>
      </c>
      <c r="G149" s="7">
        <v>385</v>
      </c>
      <c r="H149" s="7">
        <v>0</v>
      </c>
      <c r="I149" s="7">
        <v>0</v>
      </c>
      <c r="J149" s="7"/>
      <c r="K149" s="7"/>
      <c r="L149" s="7"/>
      <c r="M149" s="7"/>
      <c r="N149" s="7"/>
      <c r="O149" s="187" t="s">
        <v>205</v>
      </c>
      <c r="P149" s="7">
        <v>385</v>
      </c>
      <c r="Q149" s="7"/>
      <c r="R149" s="7"/>
      <c r="S149" s="7"/>
      <c r="T149" s="7"/>
    </row>
    <row r="150" spans="1:20" x14ac:dyDescent="0.3">
      <c r="A150" s="7">
        <v>0</v>
      </c>
      <c r="B150" s="7"/>
      <c r="C150" s="7">
        <f t="shared" si="2"/>
        <v>0</v>
      </c>
      <c r="D150" s="7"/>
      <c r="E150" s="7"/>
      <c r="F150" s="7">
        <v>0</v>
      </c>
      <c r="G150" s="7"/>
      <c r="H150" s="7">
        <v>0</v>
      </c>
      <c r="I150" s="7">
        <v>0</v>
      </c>
      <c r="J150" s="7"/>
      <c r="K150" s="7"/>
      <c r="L150" s="7"/>
      <c r="M150" s="7"/>
      <c r="N150" s="7"/>
      <c r="O150" s="13" t="s">
        <v>206</v>
      </c>
      <c r="P150" s="7">
        <v>0</v>
      </c>
      <c r="Q150" s="7"/>
      <c r="R150" s="7"/>
      <c r="S150" s="7"/>
      <c r="T150" s="7"/>
    </row>
    <row r="151" spans="1:20" x14ac:dyDescent="0.3">
      <c r="A151" s="7">
        <v>0</v>
      </c>
      <c r="B151" s="7"/>
      <c r="C151" s="7">
        <f t="shared" si="2"/>
        <v>0</v>
      </c>
      <c r="D151" s="7"/>
      <c r="E151" s="7"/>
      <c r="F151" s="7">
        <v>0</v>
      </c>
      <c r="G151" s="7"/>
      <c r="H151" s="7">
        <v>0</v>
      </c>
      <c r="I151" s="7">
        <v>0</v>
      </c>
      <c r="J151" s="7"/>
      <c r="K151" s="7"/>
      <c r="L151" s="7"/>
      <c r="M151" s="7"/>
      <c r="N151" s="7"/>
      <c r="O151" s="13" t="s">
        <v>207</v>
      </c>
      <c r="P151" s="7">
        <v>0</v>
      </c>
      <c r="Q151" s="7"/>
      <c r="R151" s="7"/>
      <c r="S151" s="7"/>
      <c r="T151" s="7"/>
    </row>
    <row r="152" spans="1:20" x14ac:dyDescent="0.3">
      <c r="A152" s="7">
        <v>0</v>
      </c>
      <c r="B152" s="7"/>
      <c r="C152" s="7">
        <f t="shared" si="2"/>
        <v>0</v>
      </c>
      <c r="D152" s="7"/>
      <c r="E152" s="7"/>
      <c r="F152" s="7">
        <v>0</v>
      </c>
      <c r="G152" s="7"/>
      <c r="H152" s="7">
        <v>0</v>
      </c>
      <c r="I152" s="7">
        <v>0</v>
      </c>
      <c r="J152" s="7"/>
      <c r="K152" s="7"/>
      <c r="L152" s="7"/>
      <c r="M152" s="7"/>
      <c r="N152" s="7"/>
      <c r="O152" s="187" t="s">
        <v>208</v>
      </c>
      <c r="P152" s="7">
        <v>0</v>
      </c>
      <c r="Q152" s="7"/>
      <c r="R152" s="7"/>
      <c r="S152" s="7"/>
      <c r="T152" s="7"/>
    </row>
    <row r="153" spans="1:20" x14ac:dyDescent="0.3">
      <c r="A153" s="7">
        <v>1540</v>
      </c>
      <c r="B153" s="7"/>
      <c r="C153" s="7">
        <f t="shared" si="2"/>
        <v>1540</v>
      </c>
      <c r="D153" s="7">
        <v>2695</v>
      </c>
      <c r="E153" s="7">
        <v>1925</v>
      </c>
      <c r="F153" s="7">
        <v>2695</v>
      </c>
      <c r="G153" s="7">
        <v>2695</v>
      </c>
      <c r="H153" s="7">
        <v>1155</v>
      </c>
      <c r="I153" s="7">
        <v>1540</v>
      </c>
      <c r="J153" s="7"/>
      <c r="K153" s="7"/>
      <c r="L153" s="7"/>
      <c r="M153" s="7"/>
      <c r="N153" s="7"/>
      <c r="O153" s="13" t="s">
        <v>209</v>
      </c>
      <c r="P153" s="7">
        <v>14245</v>
      </c>
      <c r="Q153" s="7"/>
      <c r="R153" s="7"/>
      <c r="S153" s="7"/>
      <c r="T153" s="7"/>
    </row>
    <row r="154" spans="1:20" x14ac:dyDescent="0.3">
      <c r="A154" s="7">
        <v>710</v>
      </c>
      <c r="B154" s="7"/>
      <c r="C154" s="7">
        <f t="shared" si="2"/>
        <v>710</v>
      </c>
      <c r="D154" s="7">
        <v>2130</v>
      </c>
      <c r="E154" s="7">
        <v>2130</v>
      </c>
      <c r="F154" s="7">
        <v>4260</v>
      </c>
      <c r="G154" s="7">
        <v>5620</v>
      </c>
      <c r="H154" s="7">
        <v>2130</v>
      </c>
      <c r="I154" s="7">
        <v>6330</v>
      </c>
      <c r="J154" s="7"/>
      <c r="K154" s="7"/>
      <c r="L154" s="7"/>
      <c r="M154" s="7"/>
      <c r="N154" s="7"/>
      <c r="O154" s="13" t="s">
        <v>210</v>
      </c>
      <c r="P154" s="7">
        <v>23310</v>
      </c>
      <c r="Q154" s="7"/>
      <c r="R154" s="7"/>
      <c r="S154" s="7"/>
      <c r="T154" s="7"/>
    </row>
    <row r="155" spans="1:20" x14ac:dyDescent="0.3">
      <c r="A155" s="7">
        <v>80660</v>
      </c>
      <c r="B155" s="7"/>
      <c r="C155" s="7">
        <f t="shared" si="2"/>
        <v>80660</v>
      </c>
      <c r="D155" s="7">
        <v>79980</v>
      </c>
      <c r="E155" s="7">
        <v>74120</v>
      </c>
      <c r="F155" s="7">
        <v>133120</v>
      </c>
      <c r="G155" s="7">
        <v>154780</v>
      </c>
      <c r="H155" s="7">
        <v>67580</v>
      </c>
      <c r="I155" s="7">
        <v>102280</v>
      </c>
      <c r="J155" s="7"/>
      <c r="K155" s="7"/>
      <c r="L155" s="7"/>
      <c r="M155" s="7"/>
      <c r="N155" s="7"/>
      <c r="O155" s="187" t="s">
        <v>211</v>
      </c>
      <c r="P155" s="7">
        <v>692520</v>
      </c>
      <c r="Q155" s="7"/>
      <c r="R155" s="7"/>
      <c r="S155" s="7"/>
      <c r="T155" s="7"/>
    </row>
    <row r="156" spans="1:20" x14ac:dyDescent="0.3">
      <c r="A156" s="7">
        <v>164780</v>
      </c>
      <c r="B156" s="7"/>
      <c r="C156" s="7">
        <f t="shared" si="2"/>
        <v>164780</v>
      </c>
      <c r="D156" s="7">
        <v>172275</v>
      </c>
      <c r="E156" s="7">
        <v>90590</v>
      </c>
      <c r="F156" s="7">
        <v>137500</v>
      </c>
      <c r="G156" s="7">
        <v>148915</v>
      </c>
      <c r="H156" s="7">
        <v>141845</v>
      </c>
      <c r="I156" s="7">
        <v>171875</v>
      </c>
      <c r="J156" s="7"/>
      <c r="K156" s="7"/>
      <c r="L156" s="7"/>
      <c r="M156" s="7"/>
      <c r="N156" s="7"/>
      <c r="O156" s="13" t="s">
        <v>212</v>
      </c>
      <c r="P156" s="7">
        <v>1027780</v>
      </c>
      <c r="Q156" s="7"/>
      <c r="R156" s="7"/>
      <c r="S156" s="7"/>
      <c r="T156" s="7"/>
    </row>
    <row r="157" spans="1:20" x14ac:dyDescent="0.3">
      <c r="A157" s="7">
        <v>21840</v>
      </c>
      <c r="B157" s="7"/>
      <c r="C157" s="7">
        <f t="shared" si="2"/>
        <v>21840</v>
      </c>
      <c r="D157" s="7">
        <v>83985</v>
      </c>
      <c r="E157" s="7">
        <v>72885</v>
      </c>
      <c r="F157" s="7">
        <v>45390</v>
      </c>
      <c r="G157" s="7">
        <v>97510</v>
      </c>
      <c r="H157" s="7">
        <v>37260</v>
      </c>
      <c r="I157" s="7">
        <v>98335</v>
      </c>
      <c r="J157" s="7"/>
      <c r="K157" s="7"/>
      <c r="L157" s="7"/>
      <c r="M157" s="7"/>
      <c r="N157" s="7"/>
      <c r="O157" s="13" t="s">
        <v>213</v>
      </c>
      <c r="P157" s="7">
        <v>457205</v>
      </c>
      <c r="Q157" s="7"/>
      <c r="R157" s="7"/>
      <c r="S157" s="7"/>
      <c r="T157" s="7"/>
    </row>
    <row r="158" spans="1:20" x14ac:dyDescent="0.3">
      <c r="A158" s="7">
        <v>24255</v>
      </c>
      <c r="B158" s="7"/>
      <c r="C158" s="7">
        <f t="shared" si="2"/>
        <v>24255</v>
      </c>
      <c r="D158" s="7">
        <v>29260</v>
      </c>
      <c r="E158" s="7">
        <v>23870</v>
      </c>
      <c r="F158" s="7">
        <v>43120</v>
      </c>
      <c r="G158" s="7">
        <v>42600</v>
      </c>
      <c r="H158" s="7">
        <v>61405</v>
      </c>
      <c r="I158" s="7">
        <v>52360</v>
      </c>
      <c r="J158" s="7"/>
      <c r="K158" s="7"/>
      <c r="L158" s="7"/>
      <c r="M158" s="7"/>
      <c r="N158" s="7"/>
      <c r="O158" s="187" t="s">
        <v>214</v>
      </c>
      <c r="P158" s="7">
        <v>276870</v>
      </c>
      <c r="Q158" s="7"/>
      <c r="R158" s="7"/>
      <c r="S158" s="7"/>
      <c r="T158" s="7"/>
    </row>
    <row r="159" spans="1:20" x14ac:dyDescent="0.3">
      <c r="A159" s="7">
        <v>4260</v>
      </c>
      <c r="B159" s="7"/>
      <c r="C159" s="7">
        <f t="shared" si="2"/>
        <v>4260</v>
      </c>
      <c r="D159" s="7">
        <v>11240</v>
      </c>
      <c r="E159" s="7">
        <v>710</v>
      </c>
      <c r="F159" s="7">
        <v>8520</v>
      </c>
      <c r="G159" s="7">
        <v>5680</v>
      </c>
      <c r="H159" s="7">
        <v>1420</v>
      </c>
      <c r="I159" s="7">
        <v>2840</v>
      </c>
      <c r="J159" s="7"/>
      <c r="K159" s="7"/>
      <c r="L159" s="7"/>
      <c r="M159" s="7"/>
      <c r="N159" s="7"/>
      <c r="O159" s="13" t="s">
        <v>215</v>
      </c>
      <c r="P159" s="7">
        <v>34670</v>
      </c>
      <c r="Q159" s="7"/>
      <c r="R159" s="7"/>
      <c r="S159" s="7"/>
      <c r="T159" s="7"/>
    </row>
    <row r="160" spans="1:20" x14ac:dyDescent="0.3">
      <c r="A160" s="11">
        <v>0</v>
      </c>
      <c r="B160" s="11"/>
      <c r="C160" s="11">
        <f t="shared" si="2"/>
        <v>0</v>
      </c>
      <c r="D160" s="11">
        <v>0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3" t="s">
        <v>216</v>
      </c>
      <c r="P160" s="11">
        <v>0</v>
      </c>
      <c r="Q160" s="11"/>
      <c r="R160" s="11"/>
      <c r="S160" s="11"/>
      <c r="T160" s="11"/>
    </row>
    <row r="161" spans="1:20" x14ac:dyDescent="0.3">
      <c r="A161" s="81"/>
      <c r="B161" s="81"/>
      <c r="C161" s="81">
        <f t="shared" si="2"/>
        <v>0</v>
      </c>
      <c r="D161" s="81"/>
      <c r="E161" s="81"/>
      <c r="F161" s="82"/>
      <c r="G161" s="81"/>
      <c r="H161" s="81"/>
      <c r="I161" s="81"/>
      <c r="J161" s="81"/>
      <c r="K161" s="87"/>
      <c r="L161" s="87"/>
      <c r="M161" s="88"/>
      <c r="N161" s="88"/>
      <c r="O161" s="13"/>
      <c r="P161" s="81">
        <v>0</v>
      </c>
      <c r="Q161" s="81"/>
      <c r="R161" s="81"/>
      <c r="S161" s="81"/>
      <c r="T161" s="81"/>
    </row>
    <row r="162" spans="1:20" x14ac:dyDescent="0.3">
      <c r="A162" s="4">
        <v>635480</v>
      </c>
      <c r="B162" s="4"/>
      <c r="C162" s="4">
        <f t="shared" si="2"/>
        <v>635480</v>
      </c>
      <c r="D162" s="4">
        <v>1044775</v>
      </c>
      <c r="E162" s="4">
        <v>494005.8</v>
      </c>
      <c r="F162" s="4">
        <v>586090</v>
      </c>
      <c r="G162" s="4">
        <v>953700</v>
      </c>
      <c r="H162" s="4">
        <v>675155</v>
      </c>
      <c r="I162" s="4">
        <v>908861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13" t="s">
        <v>217</v>
      </c>
      <c r="P162" s="4">
        <v>5298066.8</v>
      </c>
      <c r="Q162" s="4"/>
      <c r="R162" s="4"/>
      <c r="S162" s="4"/>
      <c r="T162" s="4"/>
    </row>
    <row r="163" spans="1:20" x14ac:dyDescent="0.3">
      <c r="A163" s="81"/>
      <c r="B163" s="81"/>
      <c r="C163" s="81">
        <f t="shared" si="2"/>
        <v>0</v>
      </c>
      <c r="D163" s="81"/>
      <c r="E163" s="81"/>
      <c r="F163" s="82"/>
      <c r="G163" s="95"/>
      <c r="H163" s="95"/>
      <c r="I163" s="95"/>
      <c r="J163" s="95"/>
      <c r="K163" s="87"/>
      <c r="L163" s="87"/>
      <c r="M163" s="88"/>
      <c r="N163" s="88"/>
      <c r="O163" s="122"/>
      <c r="P163" s="81">
        <v>0</v>
      </c>
      <c r="Q163" s="81"/>
      <c r="R163" s="81"/>
      <c r="S163" s="81"/>
      <c r="T163" s="81"/>
    </row>
    <row r="164" spans="1:20" x14ac:dyDescent="0.3">
      <c r="A164" s="8">
        <v>54474.16</v>
      </c>
      <c r="B164" s="8"/>
      <c r="C164" s="8">
        <f t="shared" si="2"/>
        <v>54474.16</v>
      </c>
      <c r="D164" s="8">
        <v>43394.62</v>
      </c>
      <c r="E164" s="8">
        <v>44882.31</v>
      </c>
      <c r="F164" s="8">
        <v>36455.99</v>
      </c>
      <c r="G164" s="8">
        <v>61024.2</v>
      </c>
      <c r="H164" s="8">
        <v>40266.14</v>
      </c>
      <c r="I164" s="8">
        <v>73014.36</v>
      </c>
      <c r="J164" s="8"/>
      <c r="K164" s="8"/>
      <c r="L164" s="8"/>
      <c r="M164" s="8"/>
      <c r="N164" s="8"/>
      <c r="O164" s="13" t="s">
        <v>218</v>
      </c>
      <c r="P164" s="8">
        <v>353511.77999999997</v>
      </c>
      <c r="Q164" s="8"/>
      <c r="R164" s="8"/>
      <c r="S164" s="8"/>
      <c r="T164" s="8"/>
    </row>
    <row r="165" spans="1:20" x14ac:dyDescent="0.3">
      <c r="A165" s="7">
        <v>0</v>
      </c>
      <c r="B165" s="7"/>
      <c r="C165" s="7">
        <f t="shared" si="2"/>
        <v>0</v>
      </c>
      <c r="D165" s="7">
        <v>0</v>
      </c>
      <c r="E165" s="7">
        <v>10785750</v>
      </c>
      <c r="F165" s="7">
        <v>0</v>
      </c>
      <c r="G165" s="7">
        <v>10527000</v>
      </c>
      <c r="H165" s="7">
        <v>0</v>
      </c>
      <c r="I165" s="7"/>
      <c r="J165" s="7"/>
      <c r="K165" s="7"/>
      <c r="L165" s="7"/>
      <c r="M165" s="7"/>
      <c r="N165" s="7"/>
      <c r="O165" s="187" t="s">
        <v>219</v>
      </c>
      <c r="P165" s="7">
        <v>21312750</v>
      </c>
      <c r="Q165" s="7"/>
      <c r="R165" s="7"/>
      <c r="S165" s="7"/>
      <c r="T165" s="7"/>
    </row>
    <row r="166" spans="1:20" x14ac:dyDescent="0.3">
      <c r="A166" s="7">
        <v>0</v>
      </c>
      <c r="B166" s="7"/>
      <c r="C166" s="7">
        <f t="shared" si="2"/>
        <v>0</v>
      </c>
      <c r="D166" s="7">
        <v>0</v>
      </c>
      <c r="E166" s="7">
        <v>0</v>
      </c>
      <c r="F166" s="7"/>
      <c r="G166" s="7"/>
      <c r="H166" s="7"/>
      <c r="I166" s="7"/>
      <c r="J166" s="7"/>
      <c r="K166" s="7"/>
      <c r="L166" s="7"/>
      <c r="M166" s="7"/>
      <c r="N166" s="7"/>
      <c r="O166" s="13" t="s">
        <v>220</v>
      </c>
      <c r="P166" s="7">
        <v>0</v>
      </c>
      <c r="Q166" s="7"/>
      <c r="R166" s="7"/>
      <c r="S166" s="7"/>
      <c r="T166" s="7"/>
    </row>
    <row r="167" spans="1:20" x14ac:dyDescent="0.3">
      <c r="A167" s="7">
        <v>0</v>
      </c>
      <c r="B167" s="7"/>
      <c r="C167" s="7">
        <f t="shared" si="2"/>
        <v>0</v>
      </c>
      <c r="D167" s="7">
        <v>0</v>
      </c>
      <c r="E167" s="7">
        <v>0</v>
      </c>
      <c r="F167" s="7"/>
      <c r="G167" s="7"/>
      <c r="H167" s="7"/>
      <c r="I167" s="7"/>
      <c r="J167" s="7"/>
      <c r="K167" s="7"/>
      <c r="L167" s="7"/>
      <c r="M167" s="7"/>
      <c r="N167" s="7"/>
      <c r="O167" s="13" t="s">
        <v>221</v>
      </c>
      <c r="P167" s="7">
        <v>0</v>
      </c>
      <c r="Q167" s="7"/>
      <c r="R167" s="7"/>
      <c r="S167" s="7"/>
      <c r="T167" s="7"/>
    </row>
    <row r="168" spans="1:20" x14ac:dyDescent="0.3">
      <c r="A168" s="11">
        <v>258750</v>
      </c>
      <c r="B168" s="11"/>
      <c r="C168" s="11">
        <f t="shared" si="2"/>
        <v>258750</v>
      </c>
      <c r="D168" s="11">
        <v>225000</v>
      </c>
      <c r="E168" s="11">
        <v>0</v>
      </c>
      <c r="F168" s="11">
        <v>0</v>
      </c>
      <c r="G168" s="11"/>
      <c r="H168" s="11"/>
      <c r="I168" s="11"/>
      <c r="J168" s="11"/>
      <c r="K168" s="11"/>
      <c r="L168" s="11"/>
      <c r="M168" s="11"/>
      <c r="N168" s="11"/>
      <c r="O168" s="187" t="s">
        <v>222</v>
      </c>
      <c r="P168" s="11">
        <v>483750</v>
      </c>
      <c r="Q168" s="11"/>
      <c r="R168" s="11"/>
      <c r="S168" s="11"/>
      <c r="T168" s="11"/>
    </row>
    <row r="169" spans="1:20" x14ac:dyDescent="0.3">
      <c r="A169" s="81"/>
      <c r="B169" s="81"/>
      <c r="C169" s="81">
        <f t="shared" si="2"/>
        <v>0</v>
      </c>
      <c r="D169" s="81"/>
      <c r="E169" s="81"/>
      <c r="F169" s="82"/>
      <c r="G169" s="97"/>
      <c r="H169" s="96"/>
      <c r="I169" s="96"/>
      <c r="J169" s="96"/>
      <c r="K169" s="77"/>
      <c r="L169" s="78"/>
      <c r="M169" s="84"/>
      <c r="N169" s="84"/>
      <c r="O169" s="13"/>
      <c r="P169" s="81">
        <v>0</v>
      </c>
      <c r="Q169" s="81"/>
      <c r="R169" s="81"/>
      <c r="S169" s="81"/>
      <c r="T169" s="81"/>
    </row>
    <row r="170" spans="1:20" x14ac:dyDescent="0.3">
      <c r="A170" s="4">
        <v>948704.16</v>
      </c>
      <c r="B170" s="4"/>
      <c r="C170" s="4">
        <f t="shared" si="2"/>
        <v>948704.16</v>
      </c>
      <c r="D170" s="4">
        <v>1313169.6200000001</v>
      </c>
      <c r="E170" s="4">
        <v>11324638.110000001</v>
      </c>
      <c r="F170" s="4">
        <v>622545.99</v>
      </c>
      <c r="G170" s="4">
        <v>11541724.199999999</v>
      </c>
      <c r="H170" s="4">
        <v>715421.14</v>
      </c>
      <c r="I170" s="4">
        <v>981875.36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13" t="s">
        <v>223</v>
      </c>
      <c r="P170" s="4">
        <v>27448078.580000002</v>
      </c>
      <c r="Q170" s="4"/>
      <c r="R170" s="4"/>
      <c r="S170" s="4"/>
      <c r="T170" s="4"/>
    </row>
    <row r="171" spans="1:20" x14ac:dyDescent="0.3">
      <c r="A171" s="99"/>
      <c r="B171" s="99"/>
      <c r="C171" s="99">
        <f t="shared" si="2"/>
        <v>0</v>
      </c>
      <c r="D171" s="99"/>
      <c r="E171" s="99"/>
      <c r="F171" s="100"/>
      <c r="G171" s="98"/>
      <c r="H171" s="78"/>
      <c r="I171" s="78"/>
      <c r="J171" s="78"/>
      <c r="K171" s="77"/>
      <c r="L171" s="78"/>
      <c r="M171" s="79"/>
      <c r="N171" s="79"/>
      <c r="O171" s="13"/>
      <c r="P171" s="99">
        <v>0</v>
      </c>
      <c r="Q171" s="99"/>
      <c r="R171" s="99"/>
      <c r="S171" s="99"/>
      <c r="T171" s="99"/>
    </row>
    <row r="172" spans="1:20" x14ac:dyDescent="0.3">
      <c r="A172" s="4">
        <v>1915891.7000000002</v>
      </c>
      <c r="B172" s="4"/>
      <c r="C172" s="4">
        <f t="shared" si="2"/>
        <v>1915891.7000000002</v>
      </c>
      <c r="D172" s="4">
        <v>2819668.3</v>
      </c>
      <c r="E172" s="4">
        <v>-6568882.7700000014</v>
      </c>
      <c r="F172" s="4">
        <v>3267722.13</v>
      </c>
      <c r="G172" s="4">
        <v>-7269041.709999999</v>
      </c>
      <c r="H172" s="4">
        <v>3177336.8000000003</v>
      </c>
      <c r="I172" s="4">
        <v>3617934.2399999988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13" t="s">
        <v>224</v>
      </c>
      <c r="P172" s="4">
        <v>960628.68999999762</v>
      </c>
      <c r="Q172" s="4"/>
      <c r="R172" s="4"/>
      <c r="S172" s="4"/>
      <c r="T172" s="4"/>
    </row>
  </sheetData>
  <mergeCells count="3">
    <mergeCell ref="A3:N3"/>
    <mergeCell ref="P3:T3"/>
    <mergeCell ref="O4:O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GL310"/>
  <sheetViews>
    <sheetView zoomScale="63" zoomScaleNormal="63" workbookViewId="0">
      <pane xSplit="13" ySplit="6" topLeftCell="Z7" activePane="bottomRight" state="frozen"/>
      <selection pane="topRight" activeCell="N1" sqref="N1"/>
      <selection pane="bottomLeft" activeCell="A7" sqref="A7"/>
      <selection pane="bottomRight" activeCell="AD1" sqref="AD1:AD1048576"/>
    </sheetView>
  </sheetViews>
  <sheetFormatPr defaultColWidth="9.109375" defaultRowHeight="14.4" x14ac:dyDescent="0.3"/>
  <cols>
    <col min="1" max="2" width="14.33203125" style="107" customWidth="1"/>
    <col min="3" max="3" width="15.88671875" style="107" bestFit="1" customWidth="1"/>
    <col min="4" max="4" width="14.33203125" style="108" customWidth="1"/>
    <col min="5" max="5" width="15.88671875" style="78" bestFit="1" customWidth="1"/>
    <col min="6" max="7" width="14.33203125" style="78" customWidth="1"/>
    <col min="8" max="8" width="15.44140625" style="78" bestFit="1" customWidth="1"/>
    <col min="9" max="9" width="14.33203125" style="77" customWidth="1"/>
    <col min="10" max="10" width="14.33203125" style="78" customWidth="1"/>
    <col min="11" max="11" width="15.88671875" style="79" bestFit="1" customWidth="1"/>
    <col min="12" max="12" width="14.33203125" style="79" customWidth="1"/>
    <col min="13" max="13" width="64.5546875" style="121" customWidth="1"/>
    <col min="14" max="14" width="17" style="107" customWidth="1"/>
    <col min="15" max="15" width="15.5546875" style="107" customWidth="1"/>
    <col min="16" max="16" width="16" style="107" customWidth="1"/>
    <col min="17" max="17" width="16.6640625" style="107" customWidth="1"/>
    <col min="18" max="18" width="15.109375" style="107" hidden="1" customWidth="1"/>
    <col min="19" max="19" width="15.33203125" style="107" hidden="1" customWidth="1"/>
    <col min="20" max="20" width="13.44140625" style="107" hidden="1" customWidth="1"/>
    <col min="21" max="21" width="16.88671875" style="107" hidden="1" customWidth="1"/>
    <col min="22" max="22" width="15.109375" style="107" hidden="1" customWidth="1"/>
    <col min="23" max="23" width="20.33203125" style="107" hidden="1" customWidth="1"/>
    <col min="24" max="24" width="20.109375" style="167" hidden="1" customWidth="1"/>
    <col min="25" max="25" width="18" style="167" hidden="1" customWidth="1"/>
    <col min="26" max="26" width="17" style="167" customWidth="1"/>
    <col min="27" max="27" width="16.33203125" style="167" customWidth="1"/>
    <col min="28" max="28" width="12.109375" style="167" bestFit="1" customWidth="1"/>
    <col min="29" max="29" width="16.33203125" style="167" customWidth="1"/>
    <col min="30" max="30" width="15.33203125" style="167" customWidth="1"/>
    <col min="31" max="31" width="9.6640625" style="167" customWidth="1"/>
    <col min="32" max="32" width="11.6640625" style="167" bestFit="1" customWidth="1"/>
    <col min="33" max="33" width="11.44140625" style="167" bestFit="1" customWidth="1"/>
    <col min="34" max="16384" width="9.109375" style="167"/>
  </cols>
  <sheetData>
    <row r="1" spans="1:33" ht="17.399999999999999" x14ac:dyDescent="0.3">
      <c r="A1" s="167"/>
      <c r="B1" s="167"/>
      <c r="C1" s="167"/>
      <c r="D1" s="167">
        <v>1.1000000000000001</v>
      </c>
      <c r="E1" s="167"/>
      <c r="F1" s="167"/>
      <c r="G1" s="167"/>
      <c r="H1" s="167"/>
      <c r="I1" s="167"/>
      <c r="J1" s="167"/>
      <c r="K1" s="167">
        <f>110/100</f>
        <v>1.1000000000000001</v>
      </c>
      <c r="L1" s="166">
        <v>1.0999999999999999E-2</v>
      </c>
      <c r="M1" s="407" t="s">
        <v>410</v>
      </c>
      <c r="N1" s="407"/>
      <c r="O1" s="389"/>
      <c r="P1" s="389"/>
      <c r="Q1" s="389"/>
      <c r="R1" s="389"/>
      <c r="S1" s="389"/>
      <c r="T1" s="389"/>
      <c r="U1" s="389"/>
      <c r="V1" s="389"/>
      <c r="W1" s="389"/>
    </row>
    <row r="2" spans="1:33" ht="24.6" hidden="1" customHeight="1" x14ac:dyDescent="0.4">
      <c r="A2" s="75"/>
      <c r="B2" s="75"/>
      <c r="C2" s="75"/>
      <c r="D2" s="76"/>
      <c r="E2" s="75"/>
      <c r="F2" s="75"/>
      <c r="G2" s="75"/>
      <c r="H2" s="75"/>
      <c r="M2" s="120" t="s">
        <v>68</v>
      </c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3" ht="17.399999999999999" customHeight="1" x14ac:dyDescent="0.3">
      <c r="A3" s="408" t="s">
        <v>231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14" t="s">
        <v>69</v>
      </c>
      <c r="N3" s="424" t="s">
        <v>226</v>
      </c>
      <c r="O3" s="425"/>
      <c r="P3" s="425"/>
      <c r="Q3" s="425"/>
      <c r="R3" s="425"/>
      <c r="S3" s="425"/>
      <c r="T3" s="425"/>
      <c r="U3" s="425"/>
      <c r="V3" s="425"/>
      <c r="W3" s="425"/>
      <c r="Z3" s="382">
        <v>4.8000000000000001E-2</v>
      </c>
      <c r="AA3" s="382">
        <v>4.7E-2</v>
      </c>
    </row>
    <row r="4" spans="1:33" ht="77.25" customHeight="1" x14ac:dyDescent="0.3">
      <c r="A4" s="125">
        <v>44287</v>
      </c>
      <c r="B4" s="125">
        <v>44317</v>
      </c>
      <c r="C4" s="125">
        <v>44348</v>
      </c>
      <c r="D4" s="125">
        <v>44378</v>
      </c>
      <c r="E4" s="125">
        <v>44409</v>
      </c>
      <c r="F4" s="125">
        <v>44440</v>
      </c>
      <c r="G4" s="125">
        <v>44470</v>
      </c>
      <c r="H4" s="125">
        <v>44501</v>
      </c>
      <c r="I4" s="125">
        <v>44531</v>
      </c>
      <c r="J4" s="125">
        <v>44562</v>
      </c>
      <c r="K4" s="125">
        <v>44593</v>
      </c>
      <c r="L4" s="125">
        <v>44621</v>
      </c>
      <c r="M4" s="395" t="s">
        <v>230</v>
      </c>
      <c r="N4" s="243" t="s">
        <v>411</v>
      </c>
      <c r="O4" s="243" t="s">
        <v>413</v>
      </c>
      <c r="P4" s="243" t="s">
        <v>18</v>
      </c>
      <c r="Q4" s="243" t="s">
        <v>235</v>
      </c>
      <c r="R4" s="243" t="s">
        <v>228</v>
      </c>
      <c r="S4" s="243" t="s">
        <v>378</v>
      </c>
      <c r="T4" s="243" t="s">
        <v>294</v>
      </c>
      <c r="U4" s="243" t="s">
        <v>74</v>
      </c>
      <c r="V4" s="243" t="s">
        <v>295</v>
      </c>
      <c r="W4" s="243" t="s">
        <v>229</v>
      </c>
      <c r="X4" s="243" t="s">
        <v>402</v>
      </c>
      <c r="Y4" s="243" t="s">
        <v>403</v>
      </c>
      <c r="Z4" s="243" t="s">
        <v>407</v>
      </c>
      <c r="AA4" s="243" t="s">
        <v>408</v>
      </c>
    </row>
    <row r="5" spans="1:33" ht="42" customHeight="1" x14ac:dyDescent="0.3">
      <c r="A5" s="10" t="s">
        <v>1</v>
      </c>
      <c r="B5" s="10" t="s">
        <v>1</v>
      </c>
      <c r="C5" s="10" t="s">
        <v>1</v>
      </c>
      <c r="D5" s="10" t="s">
        <v>1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396"/>
      <c r="N5" s="201" t="s">
        <v>2</v>
      </c>
      <c r="O5" s="10" t="s">
        <v>1</v>
      </c>
      <c r="P5" s="289" t="s">
        <v>329</v>
      </c>
      <c r="Q5" s="289" t="s">
        <v>241</v>
      </c>
      <c r="R5" s="10" t="s">
        <v>399</v>
      </c>
      <c r="S5" s="289" t="s">
        <v>235</v>
      </c>
      <c r="T5" s="289" t="s">
        <v>235</v>
      </c>
      <c r="U5" s="289" t="s">
        <v>235</v>
      </c>
      <c r="V5" s="10" t="s">
        <v>399</v>
      </c>
      <c r="W5" s="10" t="s">
        <v>400</v>
      </c>
      <c r="X5" s="289" t="s">
        <v>235</v>
      </c>
      <c r="Y5" s="289" t="s">
        <v>401</v>
      </c>
      <c r="Z5" s="289" t="s">
        <v>409</v>
      </c>
      <c r="AA5" s="289" t="s">
        <v>409</v>
      </c>
    </row>
    <row r="6" spans="1:33" ht="3" customHeight="1" x14ac:dyDescent="0.3">
      <c r="A6" s="1"/>
      <c r="B6" s="1"/>
      <c r="C6" s="1"/>
      <c r="D6" s="1"/>
      <c r="E6" s="1"/>
      <c r="F6" s="1"/>
      <c r="G6" s="1"/>
      <c r="H6" s="1"/>
      <c r="I6" s="5"/>
      <c r="J6" s="1"/>
      <c r="K6" s="1"/>
      <c r="L6" s="1"/>
      <c r="M6" s="12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33" x14ac:dyDescent="0.3">
      <c r="A7" s="8">
        <f>CEO!A7+CS!A7+CFO!A7+LLA!A7+'C&amp;E'!A7+CES!A7+LLT!A7+GB!A7</f>
        <v>0</v>
      </c>
      <c r="B7" s="8">
        <f>CEO!B7+CS!B7+CFO!B7+LLA!B7+'C&amp;E'!B7+CES!B7+LLT!B7+GB!B7</f>
        <v>60109.515933333336</v>
      </c>
      <c r="C7" s="8">
        <f>CEO!C7+CS!C7+CFO!C7+LLA!C7+'C&amp;E'!C7+CES!C7+LLT!C7+GB!C7</f>
        <v>0</v>
      </c>
      <c r="D7" s="8">
        <f>CEO!D7+CS!D7+CFO!D7+LLA!D7+'C&amp;E'!D7+CES!D7+LLT!D7+GB!D7</f>
        <v>60109.515933333336</v>
      </c>
      <c r="E7" s="8">
        <f>CEO!E7+CS!E7+CFO!E7+LLA!E7+'C&amp;E'!E7+CES!E7+LLT!E7+GB!E7</f>
        <v>0</v>
      </c>
      <c r="F7" s="8">
        <f>CEO!F7+CS!F7+CFO!F7+LLA!F7+'C&amp;E'!F7+CES!F7+LLT!F7+GB!F7</f>
        <v>0</v>
      </c>
      <c r="G7" s="8">
        <f>CEO!G7+CS!G7+CFO!G7+LLA!G7+'C&amp;E'!G7+CES!G7+LLT!G7+GB!G7</f>
        <v>60109.515933333336</v>
      </c>
      <c r="H7" s="8">
        <f>CEO!H7+CS!H7+CFO!H7+LLA!H7+'C&amp;E'!H7+CES!H7+LLT!H7+GB!H7</f>
        <v>60109.515933333336</v>
      </c>
      <c r="I7" s="8">
        <f>CEO!I7+CS!I7+CFO!I7+LLA!I7+'C&amp;E'!I7+CES!I7+LLT!I7+GB!I7</f>
        <v>0</v>
      </c>
      <c r="J7" s="8">
        <f>CEO!J7+CS!J7+CFO!J7+LLA!J7+'C&amp;E'!J7+CES!J7+LLT!J7+GB!J7</f>
        <v>60109.515933333336</v>
      </c>
      <c r="K7" s="8">
        <f>CEO!K7+CS!K7+CFO!K7+LLA!K7+'C&amp;E'!K7+CES!K7+LLT!K7+GB!K7</f>
        <v>0</v>
      </c>
      <c r="L7" s="8">
        <f>CEO!L7+CS!L7+CFO!L7+LLA!L7+'C&amp;E'!L7+CES!L7+LLT!L7+GB!L7</f>
        <v>60109.515933333336</v>
      </c>
      <c r="M7" s="390" t="s">
        <v>414</v>
      </c>
      <c r="N7" s="8">
        <f>SUM(0)</f>
        <v>0</v>
      </c>
      <c r="O7" s="8">
        <f>SUM(A7:L7)</f>
        <v>360657.0956</v>
      </c>
      <c r="P7" s="8">
        <f>SUM(N7:O7)</f>
        <v>360657.0956</v>
      </c>
      <c r="Q7" s="8">
        <v>360657.0956</v>
      </c>
      <c r="R7" s="8">
        <f>Q7-P7</f>
        <v>0</v>
      </c>
      <c r="S7" s="8">
        <v>0</v>
      </c>
      <c r="T7" s="8">
        <f>CEO!T7+CS!T7+CFO!T7+LLA!T7+'C&amp;E'!T7+CES!T7+LLT!T7+GB!T7</f>
        <v>-5163.7524699999485</v>
      </c>
      <c r="U7" s="8">
        <f>CEO!U7+CS!U7+CFO!U7+LLA!U7+'C&amp;E'!U7+CES!U7+LLT!U7+GB!U7</f>
        <v>355493.34313000005</v>
      </c>
      <c r="V7" s="8">
        <f>U7-P7</f>
        <v>-5163.7524699999485</v>
      </c>
      <c r="W7" s="8"/>
      <c r="X7" s="8">
        <f>CEO!Q7+CS!Q7+CFO!Q7+LLA!Q7+'C&amp;E'!Q7+CES!Q7+LLT!Q7+GB!Q7</f>
        <v>360657.0956</v>
      </c>
      <c r="Y7" s="8">
        <f>X7-Q7</f>
        <v>0</v>
      </c>
      <c r="Z7" s="8">
        <v>360657.0956</v>
      </c>
      <c r="AA7" s="8">
        <f t="shared" ref="AA7:AA16" si="0">Z7*(1+AA$3)</f>
        <v>377607.9790932</v>
      </c>
      <c r="AC7" s="295">
        <f t="shared" ref="AC7:AC18" si="1">Q7-Z7</f>
        <v>0</v>
      </c>
    </row>
    <row r="8" spans="1:33" x14ac:dyDescent="0.3">
      <c r="A8" s="7">
        <f>CEO!A8+CS!A8+CFO!A8+LLA!A8+'C&amp;E'!A8+CES!A8+LLT!A8+GB!A8</f>
        <v>2610331.1068600002</v>
      </c>
      <c r="B8" s="7">
        <f>CEO!B8+CS!B8+CFO!B8+LLA!B8+'C&amp;E'!B8+CES!B8+LLT!B8+GB!B8</f>
        <v>2655397.64817724</v>
      </c>
      <c r="C8" s="7">
        <f>CEO!C8+CS!C8+CFO!C8+LLA!C8+'C&amp;E'!C8+CES!C8+LLT!C8+GB!C8</f>
        <v>2791140.8284950005</v>
      </c>
      <c r="D8" s="7">
        <f>CEO!D8+CS!D8+CFO!D8+LLA!D8+'C&amp;E'!D8+CES!D8+LLT!D8+GB!D8</f>
        <v>2791140.8284950005</v>
      </c>
      <c r="E8" s="7">
        <f>CEO!E8+CS!E8+CFO!E8+LLA!E8+'C&amp;E'!E8+CES!E8+LLT!E8+GB!E8</f>
        <v>2791140.8284950005</v>
      </c>
      <c r="F8" s="7">
        <f>CEO!F8+CS!F8+CFO!F8+LLA!F8+'C&amp;E'!F8+CES!F8+LLT!F8+GB!F8</f>
        <v>2791140.8284950005</v>
      </c>
      <c r="G8" s="7">
        <f>CEO!G8+CS!G8+CFO!G8+LLA!G8+'C&amp;E'!G8+CES!G8+LLT!G8+GB!G8</f>
        <v>2791140.8284950005</v>
      </c>
      <c r="H8" s="7">
        <f>CEO!H8+CS!H8+CFO!H8+LLA!H8+'C&amp;E'!H8+CES!H8+LLT!H8+GB!H8</f>
        <v>2791140.8284950005</v>
      </c>
      <c r="I8" s="7">
        <f>CEO!I8+CS!I8+CFO!I8+LLA!I8+'C&amp;E'!I8+CES!I8+LLT!I8+GB!I8</f>
        <v>2791140.8284950005</v>
      </c>
      <c r="J8" s="7">
        <f>CEO!J8+CS!J8+CFO!J8+LLA!J8+'C&amp;E'!J8+CES!J8+LLT!J8+GB!J8</f>
        <v>2791140.8284950005</v>
      </c>
      <c r="K8" s="7">
        <f>CEO!K8+CS!K8+CFO!K8+LLA!K8+'C&amp;E'!K8+CES!K8+LLT!K8+GB!K8</f>
        <v>2791140.8284950005</v>
      </c>
      <c r="L8" s="7">
        <f>CEO!L8+CS!L8+CFO!L8+LLA!L8+'C&amp;E'!L8+CES!L8+LLT!L8+GB!L8</f>
        <v>2638715.7084950004</v>
      </c>
      <c r="M8" s="13" t="s">
        <v>415</v>
      </c>
      <c r="N8" s="7">
        <f t="shared" ref="N8:N16" si="2">SUM(0)</f>
        <v>0</v>
      </c>
      <c r="O8" s="7">
        <f t="shared" ref="O8:O16" si="3">SUM(A8:L8)</f>
        <v>33024711.919987239</v>
      </c>
      <c r="P8" s="7">
        <f t="shared" ref="P8:P71" si="4">SUM(N8:O8)</f>
        <v>33024711.919987239</v>
      </c>
      <c r="Q8" s="7">
        <v>33024711.919987243</v>
      </c>
      <c r="R8" s="7">
        <f t="shared" ref="R8:R16" si="5">Q8-P8</f>
        <v>0</v>
      </c>
      <c r="S8" s="202">
        <v>1869274</v>
      </c>
      <c r="T8" s="7">
        <f>CEO!T8+CS!T8+CFO!T8+LLA!T8+'C&amp;E'!T8+CES!T8+LLT!T8+GB!T8</f>
        <v>-1186874.3599999999</v>
      </c>
      <c r="U8" s="7">
        <f>S8+Q8+T8</f>
        <v>33707111.559987247</v>
      </c>
      <c r="V8" s="7">
        <f t="shared" ref="V8:V71" si="6">U8-P8</f>
        <v>682399.64000000805</v>
      </c>
      <c r="W8" s="7"/>
      <c r="X8" s="7">
        <f>CEO!Q8+CS!Q8+CFO!Q8+LLA!Q8+'C&amp;E'!Q8+CES!Q8+LLT!Q8+GB!Q8</f>
        <v>33024711.919987243</v>
      </c>
      <c r="Y8" s="202">
        <f>(X8-Q8)+2033523</f>
        <v>2033523</v>
      </c>
      <c r="Z8" s="7">
        <v>33024711.5972354</v>
      </c>
      <c r="AA8" s="7">
        <f t="shared" si="0"/>
        <v>34576873.042305462</v>
      </c>
      <c r="AC8" s="295">
        <f t="shared" si="1"/>
        <v>0.32275184243917465</v>
      </c>
      <c r="AD8" s="182"/>
      <c r="AE8" s="295"/>
      <c r="AG8" s="295"/>
    </row>
    <row r="9" spans="1:33" x14ac:dyDescent="0.3">
      <c r="A9" s="7">
        <f>CEO!A9+CS!A9+CFO!A9+LLA!A9+'C&amp;E'!A9+CES!A9+LLT!A9+GB!A9</f>
        <v>0</v>
      </c>
      <c r="B9" s="7">
        <f>CEO!B9+CS!B9+CFO!B9+LLA!B9+'C&amp;E'!B9+CES!B9+LLT!B9+GB!B9</f>
        <v>0</v>
      </c>
      <c r="C9" s="7">
        <f>CEO!C9+CS!C9+CFO!C9+LLA!C9+'C&amp;E'!C9+CES!C9+LLT!C9+GB!C9</f>
        <v>0</v>
      </c>
      <c r="D9" s="7">
        <f>CEO!D9+CS!D9+CFO!D9+LLA!D9+'C&amp;E'!D9+CES!D9+LLT!D9+GB!D9</f>
        <v>0</v>
      </c>
      <c r="E9" s="7">
        <f>CEO!E9+CS!E9+CFO!E9+LLA!E9+'C&amp;E'!E9+CES!E9+LLT!E9+GB!E9</f>
        <v>0</v>
      </c>
      <c r="F9" s="7">
        <f>CEO!F9+CS!F9+CFO!F9+LLA!F9+'C&amp;E'!F9+CES!F9+LLT!F9+GB!F9</f>
        <v>0</v>
      </c>
      <c r="G9" s="7">
        <f>CEO!G9+CS!G9+CFO!G9+LLA!G9+'C&amp;E'!G9+CES!G9+LLT!G9+GB!G9</f>
        <v>0</v>
      </c>
      <c r="H9" s="7">
        <f>CEO!H9+CS!H9+CFO!H9+LLA!H9+'C&amp;E'!H9+CES!H9+LLT!H9+GB!H9</f>
        <v>0</v>
      </c>
      <c r="I9" s="7">
        <f>CEO!I9+CS!I9+CFO!I9+LLA!I9+'C&amp;E'!I9+CES!I9+LLT!I9+GB!I9</f>
        <v>0</v>
      </c>
      <c r="J9" s="7">
        <f>CEO!J9+CS!J9+CFO!J9+LLA!J9+'C&amp;E'!J9+CES!J9+LLT!J9+GB!J9</f>
        <v>0</v>
      </c>
      <c r="K9" s="7">
        <f>CEO!K9+CS!K9+CFO!K9+LLA!K9+'C&amp;E'!K9+CES!K9+LLT!K9+GB!K9</f>
        <v>0</v>
      </c>
      <c r="L9" s="7">
        <f>CEO!L9+CS!L9+CFO!L9+LLA!L9+'C&amp;E'!L9+CES!L9+LLT!L9+GB!L9</f>
        <v>43789.632000000005</v>
      </c>
      <c r="M9" s="13" t="s">
        <v>416</v>
      </c>
      <c r="N9" s="7">
        <f t="shared" si="2"/>
        <v>0</v>
      </c>
      <c r="O9" s="7">
        <f t="shared" si="3"/>
        <v>43789.632000000005</v>
      </c>
      <c r="P9" s="7">
        <f t="shared" si="4"/>
        <v>43789.632000000005</v>
      </c>
      <c r="Q9" s="7">
        <v>43789.632000000005</v>
      </c>
      <c r="R9" s="7">
        <f t="shared" si="5"/>
        <v>0</v>
      </c>
      <c r="S9" s="7">
        <v>0.12305581101099961</v>
      </c>
      <c r="T9" s="7">
        <f>CEO!T9+CS!T9+CFO!T9+LLA!T9+'C&amp;E'!T9+CES!T9+LLT!T9+GB!T9</f>
        <v>0</v>
      </c>
      <c r="U9" s="7">
        <f t="shared" ref="U9:U72" si="7">S9+Q9+T9</f>
        <v>43789.755055811016</v>
      </c>
      <c r="V9" s="7">
        <f t="shared" si="6"/>
        <v>0.12305581101099961</v>
      </c>
      <c r="W9" s="7"/>
      <c r="X9" s="7">
        <f>CEO!Q9+CS!Q9+CFO!Q9+LLA!Q9+'C&amp;E'!Q9+CES!Q9+LLT!Q9+GB!Q9</f>
        <v>43789.632000000005</v>
      </c>
      <c r="Y9" s="7">
        <f t="shared" ref="Y9:Y16" si="8">X9-Q9</f>
        <v>0</v>
      </c>
      <c r="Z9" s="7">
        <v>43789.632000000005</v>
      </c>
      <c r="AA9" s="7">
        <f t="shared" si="0"/>
        <v>45847.744704000004</v>
      </c>
      <c r="AC9" s="295">
        <f t="shared" si="1"/>
        <v>0</v>
      </c>
    </row>
    <row r="10" spans="1:33" x14ac:dyDescent="0.3">
      <c r="A10" s="7">
        <f>CEO!A10+CS!A10+CFO!A10+LLA!A10+'C&amp;E'!A10+CES!A10+LLT!A10+GB!A10</f>
        <v>0</v>
      </c>
      <c r="B10" s="7">
        <f>CEO!B10+CS!B10+CFO!B10+LLA!B10+'C&amp;E'!B10+CES!B10+LLT!B10+GB!B10</f>
        <v>9432.509909639999</v>
      </c>
      <c r="C10" s="7">
        <f>CEO!C10+CS!C10+CFO!C10+LLA!C10+'C&amp;E'!C10+CES!C10+LLT!C10+GB!C10</f>
        <v>0</v>
      </c>
      <c r="D10" s="7">
        <f>CEO!D10+CS!D10+CFO!D10+LLA!D10+'C&amp;E'!D10+CES!D10+LLT!D10+GB!D10</f>
        <v>9432.509909639999</v>
      </c>
      <c r="E10" s="7">
        <f>CEO!E10+CS!E10+CFO!E10+LLA!E10+'C&amp;E'!E10+CES!E10+LLT!E10+GB!E10</f>
        <v>0</v>
      </c>
      <c r="F10" s="7">
        <f>CEO!F10+CS!F10+CFO!F10+LLA!F10+'C&amp;E'!F10+CES!F10+LLT!F10+GB!F10</f>
        <v>0</v>
      </c>
      <c r="G10" s="7">
        <f>CEO!G10+CS!G10+CFO!G10+LLA!G10+'C&amp;E'!G10+CES!G10+LLT!G10+GB!G10</f>
        <v>9432.509909639999</v>
      </c>
      <c r="H10" s="7">
        <f>CEO!H10+CS!H10+CFO!H10+LLA!H10+'C&amp;E'!H10+CES!H10+LLT!H10+GB!H10</f>
        <v>9432.509909639999</v>
      </c>
      <c r="I10" s="7">
        <f>CEO!I10+CS!I10+CFO!I10+LLA!I10+'C&amp;E'!I10+CES!I10+LLT!I10+GB!I10</f>
        <v>0</v>
      </c>
      <c r="J10" s="7">
        <f>CEO!J10+CS!J10+CFO!J10+LLA!J10+'C&amp;E'!J10+CES!J10+LLT!J10+GB!J10</f>
        <v>9432.509909639999</v>
      </c>
      <c r="K10" s="7">
        <f>CEO!K10+CS!K10+CFO!K10+LLA!K10+'C&amp;E'!K10+CES!K10+LLT!K10+GB!K10</f>
        <v>0</v>
      </c>
      <c r="L10" s="7">
        <f>CEO!L10+CS!L10+CFO!L10+LLA!L10+'C&amp;E'!L10+CES!L10+LLT!L10+GB!L10</f>
        <v>9432.509909639999</v>
      </c>
      <c r="M10" s="13" t="s">
        <v>417</v>
      </c>
      <c r="N10" s="7">
        <f t="shared" si="2"/>
        <v>0</v>
      </c>
      <c r="O10" s="7">
        <f t="shared" si="3"/>
        <v>56595.059457839998</v>
      </c>
      <c r="P10" s="7">
        <f t="shared" si="4"/>
        <v>56595.059457839998</v>
      </c>
      <c r="Q10" s="7">
        <v>56595.059457839998</v>
      </c>
      <c r="R10" s="7">
        <f t="shared" si="5"/>
        <v>0</v>
      </c>
      <c r="S10" s="7">
        <v>711</v>
      </c>
      <c r="T10" s="7">
        <f>CEO!T10+CS!T10+CFO!T10+LLA!T10+'C&amp;E'!T10+CES!T10+LLT!T10+GB!T10</f>
        <v>0</v>
      </c>
      <c r="U10" s="7">
        <f t="shared" si="7"/>
        <v>57306.059457839998</v>
      </c>
      <c r="V10" s="7">
        <f t="shared" si="6"/>
        <v>711</v>
      </c>
      <c r="W10" s="7"/>
      <c r="X10" s="7">
        <f>CEO!Q10+CS!Q10+CFO!Q10+LLA!Q10+'C&amp;E'!Q10+CES!Q10+LLT!Q10+GB!Q10</f>
        <v>56595.059457839998</v>
      </c>
      <c r="Y10" s="7">
        <f t="shared" si="8"/>
        <v>0</v>
      </c>
      <c r="Z10" s="7">
        <v>56595.059457839998</v>
      </c>
      <c r="AA10" s="7">
        <f t="shared" si="0"/>
        <v>59255.027252358472</v>
      </c>
      <c r="AC10" s="295">
        <f t="shared" si="1"/>
        <v>0</v>
      </c>
    </row>
    <row r="11" spans="1:33" x14ac:dyDescent="0.3">
      <c r="A11" s="7">
        <f>CEO!A11+CS!A11+CFO!A11+LLA!A11+'C&amp;E'!A11+CES!A11+LLT!A11+GB!A11</f>
        <v>0</v>
      </c>
      <c r="B11" s="7">
        <f>CEO!B11+CS!B11+CFO!B11+LLA!B11+'C&amp;E'!B11+CES!B11+LLT!B11+GB!B11</f>
        <v>0</v>
      </c>
      <c r="C11" s="7">
        <f>CEO!C11+CS!C11+CFO!C11+LLA!C11+'C&amp;E'!C11+CES!C11+LLT!C11+GB!C11</f>
        <v>0</v>
      </c>
      <c r="D11" s="7">
        <f>CEO!D11+CS!D11+CFO!D11+LLA!D11+'C&amp;E'!D11+CES!D11+LLT!D11+GB!D11</f>
        <v>0</v>
      </c>
      <c r="E11" s="7">
        <f>CEO!E11+CS!E11+CFO!E11+LLA!E11+'C&amp;E'!E11+CES!E11+LLT!E11+GB!E11</f>
        <v>0</v>
      </c>
      <c r="F11" s="7">
        <f>CEO!F11+CS!F11+CFO!F11+LLA!F11+'C&amp;E'!F11+CES!F11+LLT!F11+GB!F11</f>
        <v>0</v>
      </c>
      <c r="G11" s="7">
        <f>CEO!G11+CS!G11+CFO!G11+LLA!G11+'C&amp;E'!G11+CES!G11+LLT!G11+GB!G11</f>
        <v>0</v>
      </c>
      <c r="H11" s="7">
        <f>CEO!H11+CS!H11+CFO!H11+LLA!H11+'C&amp;E'!H11+CES!H11+LLT!H11+GB!H11</f>
        <v>0</v>
      </c>
      <c r="I11" s="7">
        <f>CEO!I11+CS!I11+CFO!I11+LLA!I11+'C&amp;E'!I11+CES!I11+LLT!I11+GB!I11</f>
        <v>0</v>
      </c>
      <c r="J11" s="7">
        <f>CEO!J11+CS!J11+CFO!J11+LLA!J11+'C&amp;E'!J11+CES!J11+LLT!J11+GB!J11</f>
        <v>0</v>
      </c>
      <c r="K11" s="7">
        <f>CEO!K11+CS!K11+CFO!K11+LLA!K11+'C&amp;E'!K11+CES!K11+LLT!K11+GB!K11</f>
        <v>0</v>
      </c>
      <c r="L11" s="7">
        <f>CEO!L11+CS!L11+CFO!L11+LLA!L11+'C&amp;E'!L11+CES!L11+LLT!L11+GB!L11</f>
        <v>0</v>
      </c>
      <c r="M11" s="13" t="s">
        <v>418</v>
      </c>
      <c r="N11" s="7">
        <f t="shared" si="2"/>
        <v>0</v>
      </c>
      <c r="O11" s="7">
        <f t="shared" si="3"/>
        <v>0</v>
      </c>
      <c r="P11" s="7">
        <f t="shared" si="4"/>
        <v>0</v>
      </c>
      <c r="Q11" s="7">
        <v>0</v>
      </c>
      <c r="R11" s="7">
        <f t="shared" si="5"/>
        <v>0</v>
      </c>
      <c r="S11" s="7">
        <v>-710.55892440000014</v>
      </c>
      <c r="T11" s="7">
        <f>CEO!T11+CS!T11+CFO!T11+LLA!T11+'C&amp;E'!T11+CES!T11+LLT!T11+GB!T11</f>
        <v>0</v>
      </c>
      <c r="U11" s="7">
        <f t="shared" si="7"/>
        <v>-710.55892440000014</v>
      </c>
      <c r="V11" s="7">
        <f t="shared" si="6"/>
        <v>-710.55892440000014</v>
      </c>
      <c r="W11" s="7"/>
      <c r="X11" s="7">
        <f>CEO!Q11+CS!Q11+CFO!Q11+LLA!Q11+'C&amp;E'!Q11+CES!Q11+LLT!Q11+GB!Q11</f>
        <v>0</v>
      </c>
      <c r="Y11" s="7">
        <f t="shared" si="8"/>
        <v>0</v>
      </c>
      <c r="Z11" s="7">
        <v>0</v>
      </c>
      <c r="AA11" s="7">
        <f t="shared" si="0"/>
        <v>0</v>
      </c>
      <c r="AC11" s="295">
        <f t="shared" si="1"/>
        <v>0</v>
      </c>
    </row>
    <row r="12" spans="1:33" x14ac:dyDescent="0.3">
      <c r="A12" s="7">
        <f>CEO!A12+CS!A12+CFO!A12+LLA!A12+'C&amp;E'!A12+CES!A12+LLT!A12+GB!A12</f>
        <v>24881.540460159998</v>
      </c>
      <c r="B12" s="7">
        <f>CEO!B12+CS!B12+CFO!B12+LLA!B12+'C&amp;E'!B12+CES!B12+LLT!B12+GB!B12</f>
        <v>24881.540460159998</v>
      </c>
      <c r="C12" s="7">
        <f>CEO!C12+CS!C12+CFO!C12+LLA!C12+'C&amp;E'!C12+CES!C12+LLT!C12+GB!C12</f>
        <v>25910.2360696</v>
      </c>
      <c r="D12" s="7">
        <f>CEO!D12+CS!D12+CFO!D12+LLA!D12+'C&amp;E'!D12+CES!D12+LLT!D12+GB!D12</f>
        <v>25910.2360696</v>
      </c>
      <c r="E12" s="7">
        <f>CEO!E12+CS!E12+CFO!E12+LLA!E12+'C&amp;E'!E12+CES!E12+LLT!E12+GB!E12</f>
        <v>25910.2360696</v>
      </c>
      <c r="F12" s="7">
        <f>CEO!F12+CS!F12+CFO!F12+LLA!F12+'C&amp;E'!F12+CES!F12+LLT!F12+GB!F12</f>
        <v>25910.2360696</v>
      </c>
      <c r="G12" s="7">
        <f>CEO!G12+CS!G12+CFO!G12+LLA!G12+'C&amp;E'!G12+CES!G12+LLT!G12+GB!G12</f>
        <v>25910.2360696</v>
      </c>
      <c r="H12" s="7">
        <f>CEO!H12+CS!H12+CFO!H12+LLA!H12+'C&amp;E'!H12+CES!H12+LLT!H12+GB!H12</f>
        <v>25910.2360696</v>
      </c>
      <c r="I12" s="7">
        <f>CEO!I12+CS!I12+CFO!I12+LLA!I12+'C&amp;E'!I12+CES!I12+LLT!I12+GB!I12</f>
        <v>25910.2360696</v>
      </c>
      <c r="J12" s="7">
        <f>CEO!J12+CS!J12+CFO!J12+LLA!J12+'C&amp;E'!J12+CES!J12+LLT!J12+GB!J12</f>
        <v>25910.2360696</v>
      </c>
      <c r="K12" s="7">
        <f>CEO!K12+CS!K12+CFO!K12+LLA!K12+'C&amp;E'!K12+CES!K12+LLT!K12+GB!K12</f>
        <v>25910.2360696</v>
      </c>
      <c r="L12" s="7">
        <f>CEO!L12+CS!L12+CFO!L12+LLA!L12+'C&amp;E'!L12+CES!L12+LLT!L12+GB!L12</f>
        <v>25910.2360696</v>
      </c>
      <c r="M12" s="13" t="s">
        <v>419</v>
      </c>
      <c r="N12" s="7">
        <f t="shared" si="2"/>
        <v>0</v>
      </c>
      <c r="O12" s="7">
        <f t="shared" si="3"/>
        <v>308865.44161631999</v>
      </c>
      <c r="P12" s="7">
        <f t="shared" si="4"/>
        <v>308865.44161631999</v>
      </c>
      <c r="Q12" s="7">
        <v>308865.44161632005</v>
      </c>
      <c r="R12" s="7">
        <f t="shared" si="5"/>
        <v>0</v>
      </c>
      <c r="S12" s="7">
        <v>299.99608000001172</v>
      </c>
      <c r="T12" s="7">
        <f>CEO!T12+CS!T12+CFO!T12+LLA!T12+'C&amp;E'!T12+CES!T12+LLT!T12+GB!T12</f>
        <v>5316</v>
      </c>
      <c r="U12" s="7">
        <f t="shared" si="7"/>
        <v>314481.43769632006</v>
      </c>
      <c r="V12" s="7">
        <f t="shared" si="6"/>
        <v>5615.9960800000699</v>
      </c>
      <c r="W12" s="7"/>
      <c r="X12" s="7">
        <f>CEO!Q12+CS!Q12+CFO!Q12+LLA!Q12+'C&amp;E'!Q12+CES!Q12+LLT!Q12+GB!Q12</f>
        <v>308865.44161632005</v>
      </c>
      <c r="Y12" s="7">
        <f t="shared" si="8"/>
        <v>0</v>
      </c>
      <c r="Z12" s="7">
        <v>308865.50994591997</v>
      </c>
      <c r="AA12" s="7">
        <f t="shared" si="0"/>
        <v>323382.18891337817</v>
      </c>
      <c r="AC12" s="295">
        <f t="shared" si="1"/>
        <v>-6.8329599918797612E-2</v>
      </c>
    </row>
    <row r="13" spans="1:33" x14ac:dyDescent="0.3">
      <c r="A13" s="7">
        <f>CEO!A13+CS!A13+CFO!A13+LLA!A13+'C&amp;E'!A13+CES!A13+LLT!A13+GB!A13</f>
        <v>5735.0437600000005</v>
      </c>
      <c r="B13" s="7">
        <f>CEO!B13+CS!B13+CFO!B13+LLA!B13+'C&amp;E'!B13+CES!B13+LLT!B13+GB!B13</f>
        <v>4372.7590399999999</v>
      </c>
      <c r="C13" s="7">
        <f>CEO!C13+CS!C13+CFO!C13+LLA!C13+'C&amp;E'!C13+CES!C13+LLT!C13+GB!C13</f>
        <v>28424.652480000001</v>
      </c>
      <c r="D13" s="7">
        <f>CEO!D13+CS!D13+CFO!D13+LLA!D13+'C&amp;E'!D13+CES!D13+LLT!D13+GB!D13</f>
        <v>17272.37096</v>
      </c>
      <c r="E13" s="7">
        <f>CEO!E13+CS!E13+CFO!E13+LLA!E13+'C&amp;E'!E13+CES!E13+LLT!E13+GB!E13</f>
        <v>12462.333920000001</v>
      </c>
      <c r="F13" s="7">
        <f>CEO!F13+CS!F13+CFO!F13+LLA!F13+'C&amp;E'!F13+CES!F13+LLT!F13+GB!F13</f>
        <v>9073.4477600000009</v>
      </c>
      <c r="G13" s="7">
        <f>CEO!G13+CS!G13+CFO!G13+LLA!G13+'C&amp;E'!G13+CES!G13+LLT!G13+GB!G13</f>
        <v>8417.5569600000017</v>
      </c>
      <c r="H13" s="7">
        <f>CEO!H13+CS!H13+CFO!H13+LLA!H13+'C&amp;E'!H13+CES!H13+LLT!H13+GB!H13</f>
        <v>0</v>
      </c>
      <c r="I13" s="7">
        <f>CEO!I13+CS!I13+CFO!I13+LLA!I13+'C&amp;E'!I13+CES!I13+LLT!I13+GB!I13</f>
        <v>20169.315439999998</v>
      </c>
      <c r="J13" s="7">
        <f>CEO!J13+CS!J13+CFO!J13+LLA!J13+'C&amp;E'!J13+CES!J13+LLT!J13+GB!J13</f>
        <v>24104.775520000003</v>
      </c>
      <c r="K13" s="7">
        <f>CEO!K13+CS!K13+CFO!K13+LLA!K13+'C&amp;E'!K13+CES!K13+LLT!K13+GB!K13</f>
        <v>24104</v>
      </c>
      <c r="L13" s="7">
        <f>CEO!L13+CS!L13+CFO!L13+LLA!L13+'C&amp;E'!L13+CES!L13+LLT!L13+GB!L13</f>
        <v>24647.974880000002</v>
      </c>
      <c r="M13" s="13" t="s">
        <v>420</v>
      </c>
      <c r="N13" s="7">
        <f>SUM(0)</f>
        <v>0</v>
      </c>
      <c r="O13" s="7">
        <f t="shared" si="3"/>
        <v>178784.23071999999</v>
      </c>
      <c r="P13" s="7">
        <f t="shared" si="4"/>
        <v>178784.23071999999</v>
      </c>
      <c r="Q13" s="7">
        <v>178784.23071999999</v>
      </c>
      <c r="R13" s="7">
        <f t="shared" si="5"/>
        <v>0</v>
      </c>
      <c r="S13" s="7">
        <v>108472</v>
      </c>
      <c r="T13" s="341">
        <f>CEO!T13+CS!T13+CFO!T13+LLA!T13+'C&amp;E'!T13+CES!T13+LLT!T13+GB!T13</f>
        <v>12124</v>
      </c>
      <c r="U13" s="341">
        <f t="shared" si="7"/>
        <v>299380.23071999999</v>
      </c>
      <c r="V13" s="341">
        <f t="shared" si="6"/>
        <v>120596</v>
      </c>
      <c r="W13" s="7"/>
      <c r="X13" s="7">
        <f>CEO!Q13+CS!Q13+CFO!Q13+LLA!Q13+'C&amp;E'!Q13+CES!Q13+LLT!Q13+GB!Q13</f>
        <v>178784.23072000002</v>
      </c>
      <c r="Y13" s="7">
        <f t="shared" si="8"/>
        <v>0</v>
      </c>
      <c r="Z13" s="7">
        <v>178784.23072000002</v>
      </c>
      <c r="AA13" s="7">
        <f t="shared" si="0"/>
        <v>187187.08956384001</v>
      </c>
      <c r="AC13" s="295">
        <f t="shared" si="1"/>
        <v>0</v>
      </c>
    </row>
    <row r="14" spans="1:33" x14ac:dyDescent="0.3">
      <c r="A14" s="7">
        <f>CEO!A14+CS!A14+CFO!A14+LLA!A14+'C&amp;E'!A14+CES!A14+LLT!A14+GB!A14</f>
        <v>0</v>
      </c>
      <c r="B14" s="7">
        <f>CEO!B14+CS!B14+CFO!B14+LLA!B14+'C&amp;E'!B14+CES!B14+LLT!B14+GB!B14</f>
        <v>0</v>
      </c>
      <c r="C14" s="7">
        <f>CEO!C14+CS!C14+CFO!C14+LLA!C14+'C&amp;E'!C14+CES!C14+LLT!C14+GB!C14</f>
        <v>0</v>
      </c>
      <c r="D14" s="7">
        <f>CEO!D14+CS!D14+CFO!D14+LLA!D14+'C&amp;E'!D14+CES!D14+LLT!D14+GB!D14</f>
        <v>0</v>
      </c>
      <c r="E14" s="7">
        <f>CEO!E14+CS!E14+CFO!E14+LLA!E14+'C&amp;E'!E14+CES!E14+LLT!E14+GB!E14</f>
        <v>0</v>
      </c>
      <c r="F14" s="7">
        <f>CEO!F14+CS!F14+CFO!F14+LLA!F14+'C&amp;E'!F14+CES!F14+LLT!F14+GB!F14</f>
        <v>0</v>
      </c>
      <c r="G14" s="7">
        <f>CEO!G14+CS!G14+CFO!G14+LLA!G14+'C&amp;E'!G14+CES!G14+LLT!G14+GB!G14</f>
        <v>0</v>
      </c>
      <c r="H14" s="7">
        <f>CEO!H14+CS!H14+CFO!H14+LLA!H14+'C&amp;E'!H14+CES!H14+LLT!H14+GB!H14</f>
        <v>1483339.5318824349</v>
      </c>
      <c r="I14" s="7">
        <f>CEO!I14+CS!I14+CFO!I14+LLA!I14+'C&amp;E'!I14+CES!I14+LLT!I14+GB!I14</f>
        <v>0</v>
      </c>
      <c r="J14" s="7">
        <f>CEO!J14+CS!J14+CFO!J14+LLA!J14+'C&amp;E'!J14+CES!J14+LLT!J14+GB!J14</f>
        <v>0</v>
      </c>
      <c r="K14" s="7">
        <f>CEO!K14+CS!K14+CFO!K14+LLA!K14+'C&amp;E'!K14+CES!K14+LLT!K14+GB!K14</f>
        <v>0</v>
      </c>
      <c r="L14" s="7">
        <f>CEO!L14+CS!L14+CFO!L14+LLA!L14+'C&amp;E'!L14+CES!L14+LLT!L14+GB!L14</f>
        <v>0</v>
      </c>
      <c r="M14" s="13" t="s">
        <v>421</v>
      </c>
      <c r="N14" s="7">
        <f t="shared" si="2"/>
        <v>0</v>
      </c>
      <c r="O14" s="7">
        <f t="shared" si="3"/>
        <v>1483339.5318824349</v>
      </c>
      <c r="P14" s="7">
        <f t="shared" si="4"/>
        <v>1483339.5318824349</v>
      </c>
      <c r="Q14" s="7">
        <v>1483339.5318824349</v>
      </c>
      <c r="R14" s="7">
        <f t="shared" si="5"/>
        <v>0</v>
      </c>
      <c r="S14" s="7">
        <v>-103000.00000000023</v>
      </c>
      <c r="T14" s="7">
        <f>CEO!T14+CS!T14+CFO!T14+LLA!T14+'C&amp;E'!T14+CES!T14+LLT!T14+GB!T14</f>
        <v>-311963</v>
      </c>
      <c r="U14" s="7">
        <f t="shared" si="7"/>
        <v>1068376.5318824346</v>
      </c>
      <c r="V14" s="7">
        <f t="shared" si="6"/>
        <v>-414963.00000000023</v>
      </c>
      <c r="W14" s="7"/>
      <c r="X14" s="7">
        <f>CEO!Q14+CS!Q14+CFO!Q14+LLA!Q14+'C&amp;E'!Q14+CES!Q14+LLT!Q14+GB!Q14</f>
        <v>1483339.5318824349</v>
      </c>
      <c r="Y14" s="7">
        <f t="shared" si="8"/>
        <v>0</v>
      </c>
      <c r="Z14" s="7">
        <v>1440938.7427047917</v>
      </c>
      <c r="AA14" s="7">
        <f t="shared" si="0"/>
        <v>1508662.8636119168</v>
      </c>
      <c r="AC14" s="295">
        <f t="shared" si="1"/>
        <v>42400.789177643135</v>
      </c>
    </row>
    <row r="15" spans="1:33" x14ac:dyDescent="0.3">
      <c r="A15" s="7">
        <f>CEO!A15+CS!A15+CFO!A15+LLA!A15+'C&amp;E'!A15+CES!A15+LLT!A15+GB!A15</f>
        <v>0</v>
      </c>
      <c r="B15" s="7">
        <f>CEO!B15+CS!B15+CFO!B15+LLA!B15+'C&amp;E'!B15+CES!B15+LLT!B15+GB!B15</f>
        <v>6288</v>
      </c>
      <c r="C15" s="7">
        <f>CEO!C15+CS!C15+CFO!C15+LLA!C15+'C&amp;E'!C15+CES!C15+LLT!C15+GB!C15</f>
        <v>0</v>
      </c>
      <c r="D15" s="7">
        <f>CEO!D15+CS!D15+CFO!D15+LLA!D15+'C&amp;E'!D15+CES!D15+LLT!D15+GB!D15</f>
        <v>3144</v>
      </c>
      <c r="E15" s="7">
        <f>CEO!E15+CS!E15+CFO!E15+LLA!E15+'C&amp;E'!E15+CES!E15+LLT!E15+GB!E15</f>
        <v>9432</v>
      </c>
      <c r="F15" s="7">
        <f>CEO!F15+CS!F15+CFO!F15+LLA!F15+'C&amp;E'!F15+CES!F15+LLT!F15+GB!F15</f>
        <v>0</v>
      </c>
      <c r="G15" s="7">
        <f>CEO!G15+CS!G15+CFO!G15+LLA!G15+'C&amp;E'!G15+CES!G15+LLT!G15+GB!G15</f>
        <v>0</v>
      </c>
      <c r="H15" s="7">
        <f>CEO!H15+CS!H15+CFO!H15+LLA!H15+'C&amp;E'!H15+CES!H15+LLT!H15+GB!H15</f>
        <v>3144</v>
      </c>
      <c r="I15" s="7">
        <f>CEO!I15+CS!I15+CFO!I15+LLA!I15+'C&amp;E'!I15+CES!I15+LLT!I15+GB!I15</f>
        <v>0</v>
      </c>
      <c r="J15" s="7">
        <f>CEO!J15+CS!J15+CFO!J15+LLA!J15+'C&amp;E'!J15+CES!J15+LLT!J15+GB!J15</f>
        <v>0</v>
      </c>
      <c r="K15" s="7">
        <f>CEO!K15+CS!K15+CFO!K15+LLA!K15+'C&amp;E'!K15+CES!K15+LLT!K15+GB!K15</f>
        <v>0</v>
      </c>
      <c r="L15" s="7">
        <f>CEO!L15+CS!L15+CFO!L15+LLA!L15+'C&amp;E'!L15+CES!L15+LLT!L15+GB!L15</f>
        <v>6288</v>
      </c>
      <c r="M15" s="13" t="s">
        <v>422</v>
      </c>
      <c r="N15" s="7">
        <f t="shared" si="2"/>
        <v>0</v>
      </c>
      <c r="O15" s="7">
        <f t="shared" si="3"/>
        <v>28296</v>
      </c>
      <c r="P15" s="7">
        <f t="shared" si="4"/>
        <v>28296</v>
      </c>
      <c r="Q15" s="7">
        <v>28296</v>
      </c>
      <c r="R15" s="7">
        <f t="shared" si="5"/>
        <v>0</v>
      </c>
      <c r="S15" s="7">
        <v>0</v>
      </c>
      <c r="T15" s="7">
        <f>CEO!T15+CS!T15+CFO!T15+LLA!T15+'C&amp;E'!T15+CES!T15+LLT!T15+GB!T15</f>
        <v>-26478.395</v>
      </c>
      <c r="U15" s="7">
        <f t="shared" si="7"/>
        <v>1817.6049999999996</v>
      </c>
      <c r="V15" s="7">
        <f t="shared" si="6"/>
        <v>-26478.395</v>
      </c>
      <c r="W15" s="7"/>
      <c r="X15" s="7">
        <f>CEO!Q15+CS!Q15+CFO!Q15+LLA!Q15+'C&amp;E'!Q15+CES!Q15+LLT!Q15+GB!Q15</f>
        <v>28296</v>
      </c>
      <c r="Y15" s="7">
        <f t="shared" si="8"/>
        <v>0</v>
      </c>
      <c r="Z15" s="7">
        <v>28296</v>
      </c>
      <c r="AA15" s="7">
        <f t="shared" si="0"/>
        <v>29625.911999999997</v>
      </c>
      <c r="AC15" s="295">
        <f t="shared" si="1"/>
        <v>0</v>
      </c>
    </row>
    <row r="16" spans="1:33" x14ac:dyDescent="0.3">
      <c r="A16" s="11"/>
      <c r="B16" s="11"/>
      <c r="C16" s="11"/>
      <c r="D16" s="11"/>
      <c r="E16" s="11">
        <v>0</v>
      </c>
      <c r="F16" s="11"/>
      <c r="G16" s="11"/>
      <c r="H16" s="11"/>
      <c r="I16" s="11">
        <f>CEO!I16+CS!I16+CFO!I16+LLA!I16+'C&amp;E'!I16+CES!I16+LLT!I16+GB!I16</f>
        <v>0</v>
      </c>
      <c r="J16" s="11"/>
      <c r="K16" s="11"/>
      <c r="L16" s="11"/>
      <c r="M16" s="13" t="s">
        <v>423</v>
      </c>
      <c r="N16" s="11">
        <f t="shared" si="2"/>
        <v>0</v>
      </c>
      <c r="O16" s="11">
        <f t="shared" si="3"/>
        <v>0</v>
      </c>
      <c r="P16" s="11">
        <f t="shared" si="4"/>
        <v>0</v>
      </c>
      <c r="Q16" s="11">
        <v>0</v>
      </c>
      <c r="R16" s="11">
        <f t="shared" si="5"/>
        <v>0</v>
      </c>
      <c r="S16" s="11">
        <v>0</v>
      </c>
      <c r="T16" s="11">
        <f>CEO!T16+CS!T16+CFO!T16+LLA!T16+'C&amp;E'!T16+CES!T16+LLT!T16+GB!T16</f>
        <v>0</v>
      </c>
      <c r="U16" s="11">
        <f t="shared" si="7"/>
        <v>0</v>
      </c>
      <c r="V16" s="11">
        <f t="shared" si="6"/>
        <v>0</v>
      </c>
      <c r="W16" s="11"/>
      <c r="X16" s="11">
        <f>CEO!Q16+CS!Q16+CFO!Q16+LLA!Q16+'C&amp;E'!Q16+CES!Q16+LLT!Q16+GB!Q16</f>
        <v>0</v>
      </c>
      <c r="Y16" s="11">
        <f t="shared" si="8"/>
        <v>0</v>
      </c>
      <c r="Z16" s="11">
        <v>0</v>
      </c>
      <c r="AA16" s="11">
        <f t="shared" si="0"/>
        <v>0</v>
      </c>
      <c r="AC16" s="295">
        <f t="shared" si="1"/>
        <v>0</v>
      </c>
    </row>
    <row r="17" spans="1:33" ht="5.4" customHeight="1" x14ac:dyDescent="0.3">
      <c r="A17" s="81"/>
      <c r="B17" s="81"/>
      <c r="C17" s="81"/>
      <c r="D17" s="85"/>
      <c r="E17" s="83"/>
      <c r="F17" s="83"/>
      <c r="G17" s="83"/>
      <c r="H17" s="83"/>
      <c r="I17" s="83"/>
      <c r="J17" s="83"/>
      <c r="K17" s="83"/>
      <c r="L17" s="83"/>
      <c r="M17" s="13"/>
      <c r="N17" s="83">
        <f t="shared" ref="N17:N66" si="9">SUM(A17:J17)</f>
        <v>0</v>
      </c>
      <c r="O17" s="83">
        <f t="shared" ref="O17:O66" si="10">SUM(K17:L17)</f>
        <v>0</v>
      </c>
      <c r="P17" s="83">
        <f t="shared" si="4"/>
        <v>0</v>
      </c>
      <c r="Q17" s="83"/>
      <c r="R17" s="83">
        <f t="shared" ref="R17:R66" si="11">P17-Q17</f>
        <v>0</v>
      </c>
      <c r="S17" s="83">
        <v>0</v>
      </c>
      <c r="T17" s="81">
        <f>CEO!T17+CS!T17+CFO!T17+LLA!T17+'C&amp;E'!T17+CES!T17+LLT!T17+GB!T17</f>
        <v>0</v>
      </c>
      <c r="U17" s="81">
        <f t="shared" si="7"/>
        <v>0</v>
      </c>
      <c r="V17" s="81">
        <f t="shared" si="6"/>
        <v>0</v>
      </c>
      <c r="W17" s="81"/>
      <c r="X17" s="83">
        <f>CEO!Q17+CS!Q17+CFO!Q17+LLA!Q17+'C&amp;E'!Q17+CES!Q17+LLT!Q17+GB!Q17</f>
        <v>0</v>
      </c>
      <c r="Y17" s="83">
        <f t="shared" ref="Y17:Y66" si="12">Q17-X17</f>
        <v>0</v>
      </c>
      <c r="Z17" s="83"/>
      <c r="AA17" s="83"/>
      <c r="AC17" s="295">
        <f t="shared" si="1"/>
        <v>0</v>
      </c>
    </row>
    <row r="18" spans="1:33" x14ac:dyDescent="0.3">
      <c r="A18" s="4">
        <f>SUM(A7:A16)</f>
        <v>2640947.69108016</v>
      </c>
      <c r="B18" s="4">
        <f>SUM(B7:B16)</f>
        <v>2760481.9735203735</v>
      </c>
      <c r="C18" s="4">
        <f t="shared" ref="C18:L18" si="13">SUM(C7:C16)</f>
        <v>2845475.7170446008</v>
      </c>
      <c r="D18" s="4">
        <f>SUM(D7:D16)</f>
        <v>2907009.4613675741</v>
      </c>
      <c r="E18" s="4">
        <f t="shared" si="13"/>
        <v>2838945.3984846007</v>
      </c>
      <c r="F18" s="4">
        <f t="shared" si="13"/>
        <v>2826124.5123246005</v>
      </c>
      <c r="G18" s="4">
        <f t="shared" si="13"/>
        <v>2895010.6473675743</v>
      </c>
      <c r="H18" s="4">
        <f t="shared" si="13"/>
        <v>4373076.6222900087</v>
      </c>
      <c r="I18" s="4">
        <f t="shared" si="13"/>
        <v>2837220.3800046006</v>
      </c>
      <c r="J18" s="4">
        <f t="shared" si="13"/>
        <v>2910697.8659275742</v>
      </c>
      <c r="K18" s="4">
        <f t="shared" si="13"/>
        <v>2841155.0645646006</v>
      </c>
      <c r="L18" s="4">
        <f t="shared" si="13"/>
        <v>2808893.5772875743</v>
      </c>
      <c r="M18" s="13" t="s">
        <v>89</v>
      </c>
      <c r="N18" s="4">
        <f t="shared" ref="N18:P18" si="14">SUM(N7:N17)</f>
        <v>0</v>
      </c>
      <c r="O18" s="4">
        <f t="shared" si="14"/>
        <v>35485038.911263831</v>
      </c>
      <c r="P18" s="4">
        <f t="shared" si="14"/>
        <v>35485038.911263831</v>
      </c>
      <c r="Q18" s="4">
        <f>SUM(Q7:Q17)</f>
        <v>35485038.911263838</v>
      </c>
      <c r="R18" s="4">
        <f t="shared" ref="R18:S18" si="15">SUM(R7:R17)</f>
        <v>0</v>
      </c>
      <c r="S18" s="4">
        <f t="shared" si="15"/>
        <v>1875046.5602114107</v>
      </c>
      <c r="T18" s="4">
        <f>CEO!T18+CS!T18+CFO!T18+LLA!T18+'C&amp;E'!T18+CES!T18+LLT!T18+GB!T18</f>
        <v>-1514082.5063470432</v>
      </c>
      <c r="U18" s="4">
        <f t="shared" si="7"/>
        <v>35846002.965128206</v>
      </c>
      <c r="V18" s="4">
        <f t="shared" si="6"/>
        <v>360964.05386437476</v>
      </c>
      <c r="W18" s="4"/>
      <c r="X18" s="4">
        <f>CEO!Q18+CS!Q18+CFO!Q18+LLA!Q18+'C&amp;E'!Q18+CES!Q18+LLT!Q18+GB!Q18</f>
        <v>35485038.911263838</v>
      </c>
      <c r="Y18" s="4">
        <f t="shared" si="12"/>
        <v>0</v>
      </c>
      <c r="Z18" s="4">
        <f>SUM(Z7:Z17)</f>
        <v>35442637.86766395</v>
      </c>
      <c r="AA18" s="4">
        <f>SUM(AA7:AA17)</f>
        <v>37108441.847444154</v>
      </c>
      <c r="AC18" s="295">
        <f t="shared" si="1"/>
        <v>42401.043599888682</v>
      </c>
      <c r="AG18" s="295"/>
    </row>
    <row r="19" spans="1:33" ht="5.4" customHeight="1" x14ac:dyDescent="0.3">
      <c r="A19" s="81"/>
      <c r="B19" s="81"/>
      <c r="C19" s="81"/>
      <c r="D19" s="82"/>
      <c r="E19" s="86"/>
      <c r="F19" s="86"/>
      <c r="G19" s="86"/>
      <c r="H19" s="86"/>
      <c r="I19" s="86"/>
      <c r="J19" s="86"/>
      <c r="K19" s="86"/>
      <c r="L19" s="86"/>
      <c r="M19" s="122"/>
      <c r="N19" s="86">
        <f t="shared" si="9"/>
        <v>0</v>
      </c>
      <c r="O19" s="86">
        <f t="shared" si="10"/>
        <v>0</v>
      </c>
      <c r="P19" s="86">
        <f t="shared" si="4"/>
        <v>0</v>
      </c>
      <c r="Q19" s="86"/>
      <c r="R19" s="86">
        <f t="shared" si="11"/>
        <v>0</v>
      </c>
      <c r="S19" s="86">
        <v>0</v>
      </c>
      <c r="T19" s="81">
        <f>CEO!T19+CS!T19+CFO!T19+LLA!T19+'C&amp;E'!T19+CES!T19+LLT!T19+GB!T19</f>
        <v>0</v>
      </c>
      <c r="U19" s="81">
        <f t="shared" si="7"/>
        <v>0</v>
      </c>
      <c r="V19" s="81">
        <f t="shared" si="6"/>
        <v>0</v>
      </c>
      <c r="W19" s="81"/>
      <c r="X19" s="86"/>
      <c r="Y19" s="86">
        <f t="shared" si="12"/>
        <v>0</v>
      </c>
      <c r="Z19" s="86"/>
      <c r="AA19" s="86"/>
    </row>
    <row r="20" spans="1:33" x14ac:dyDescent="0.3">
      <c r="A20" s="7">
        <f>CEO!A20+CS!A20+CFO!A20+LLA!A20+'C&amp;E'!A20+CES!A20+LLT!A20+GB!A20</f>
        <v>10825.84</v>
      </c>
      <c r="B20" s="7">
        <f>CEO!B20+CS!B20+CFO!B20+LLA!B20+'C&amp;E'!B20+CES!B20+LLT!B20+GB!B20</f>
        <v>10825.84</v>
      </c>
      <c r="C20" s="7">
        <f>CEO!C20+CS!C20+CFO!C20+LLA!C20+'C&amp;E'!C20+CES!C20+LLT!C20+GB!C20</f>
        <v>10825.84</v>
      </c>
      <c r="D20" s="7">
        <f>CEO!D20+CS!D20+CFO!D20+LLA!D20+'C&amp;E'!D20+CES!D20+LLT!D20+GB!D20</f>
        <v>10825.84</v>
      </c>
      <c r="E20" s="7">
        <f>CEO!E20+CS!E20+CFO!E20+LLA!E20+'C&amp;E'!E20+CES!E20+LLT!E20+GB!E20</f>
        <v>10825.84</v>
      </c>
      <c r="F20" s="7">
        <f>CEO!F20+CS!F20+CFO!F20+LLA!F20+'C&amp;E'!F20+CES!F20+LLT!F20+GB!F20</f>
        <v>10825.84</v>
      </c>
      <c r="G20" s="7">
        <f>CEO!G20+CS!G20+CFO!G20+LLA!G20+'C&amp;E'!G20+CES!G20+LLT!G20+GB!G20</f>
        <v>10825.84</v>
      </c>
      <c r="H20" s="7">
        <f>CEO!H20+CS!H20+CFO!H20+LLA!H20+'C&amp;E'!H20+CES!H20+LLT!H20+GB!H20</f>
        <v>10825.84</v>
      </c>
      <c r="I20" s="7">
        <f>CEO!I20+CS!I20+CFO!I20+LLA!I20+'C&amp;E'!I20+CES!I20+LLT!I20+GB!I20</f>
        <v>10825.84</v>
      </c>
      <c r="J20" s="7">
        <f>CEO!J20+CS!J20+CFO!J20+LLA!J20+'C&amp;E'!J20+CES!J20+LLT!J20+GB!J20</f>
        <v>10825.84</v>
      </c>
      <c r="K20" s="7">
        <f>CEO!K20+CS!K20+CFO!K20+LLA!K20+'C&amp;E'!K20+CES!K20+LLT!K20+GB!K20</f>
        <v>10825.84</v>
      </c>
      <c r="L20" s="7">
        <f>CEO!L20+CS!L20+CFO!L20+LLA!L20+'C&amp;E'!L20+CES!L20+LLT!L20+GB!L20</f>
        <v>10825.84</v>
      </c>
      <c r="M20" s="390" t="s">
        <v>424</v>
      </c>
      <c r="N20" s="8">
        <f t="shared" ref="N20:N26" si="16">SUM(0)</f>
        <v>0</v>
      </c>
      <c r="O20" s="8">
        <f t="shared" ref="O20:O26" si="17">SUM(A20:L20)</f>
        <v>129910.07999999997</v>
      </c>
      <c r="P20" s="8">
        <f t="shared" si="4"/>
        <v>129910.07999999997</v>
      </c>
      <c r="Q20" s="8">
        <f>CEO!Q20+CS!Q20+CFO!Q20+LLA!Q20+'C&amp;E'!Q20+CES!Q20+LLT!Q20+GB!Q20</f>
        <v>129910.07999999997</v>
      </c>
      <c r="R20" s="8">
        <f t="shared" ref="R20:R26" si="18">Q20-P20</f>
        <v>0</v>
      </c>
      <c r="S20" s="210">
        <v>70000</v>
      </c>
      <c r="T20" s="8">
        <f>CEO!T20+CS!T20+CFO!T20+LLA!T20+'C&amp;E'!T20+CES!T20+LLT!T20+GB!T20</f>
        <v>0</v>
      </c>
      <c r="U20" s="8">
        <f t="shared" si="7"/>
        <v>199910.07999999996</v>
      </c>
      <c r="V20" s="8">
        <f t="shared" si="6"/>
        <v>69999.999999999985</v>
      </c>
      <c r="W20" s="8"/>
      <c r="X20" s="8">
        <f>CEO!Q20+CS!Q20+CFO!Q20+LLA!Q20+'C&amp;E'!Q20+CES!Q20+LLT!Q20+GB!Q20</f>
        <v>129910.07999999997</v>
      </c>
      <c r="Y20" s="210">
        <v>70000</v>
      </c>
      <c r="Z20" s="8">
        <v>129910.28435999999</v>
      </c>
      <c r="AA20" s="8">
        <f t="shared" ref="AA20:AA26" si="19">Z20*(1+AA$3)</f>
        <v>136016.06772491999</v>
      </c>
      <c r="AB20" s="182"/>
      <c r="AC20" s="295">
        <f>Q20-Z20</f>
        <v>-0.20436000001791399</v>
      </c>
    </row>
    <row r="21" spans="1:33" x14ac:dyDescent="0.3">
      <c r="A21" s="7">
        <f>CEO!A21+CS!A21+CFO!A21+LLA!A21+'C&amp;E'!A21+CES!A21+LLT!A21+GB!A21</f>
        <v>142166.44</v>
      </c>
      <c r="B21" s="7">
        <f>CEO!B21+CS!B21+CFO!B21+LLA!B21+'C&amp;E'!B21+CES!B21+LLT!B21+GB!B21</f>
        <v>142166.44</v>
      </c>
      <c r="C21" s="7">
        <f>CEO!C21+CS!C21+CFO!C21+LLA!C21+'C&amp;E'!C21+CES!C21+LLT!C21+GB!C21</f>
        <v>142166.44</v>
      </c>
      <c r="D21" s="7">
        <f>CEO!D21+CS!D21+CFO!D21+LLA!D21+'C&amp;E'!D21+CES!D21+LLT!D21+GB!D21</f>
        <v>142166.44</v>
      </c>
      <c r="E21" s="7">
        <f>CEO!E21+CS!E21+CFO!E21+LLA!E21+'C&amp;E'!E21+CES!E21+LLT!E21+GB!E21</f>
        <v>142166.44</v>
      </c>
      <c r="F21" s="7">
        <f>CEO!F21+CS!F21+CFO!F21+LLA!F21+'C&amp;E'!F21+CES!F21+LLT!F21+GB!F21</f>
        <v>142166.44</v>
      </c>
      <c r="G21" s="7">
        <f>CEO!G21+CS!G21+CFO!G21+LLA!G21+'C&amp;E'!G21+CES!G21+LLT!G21+GB!G21</f>
        <v>142166.44</v>
      </c>
      <c r="H21" s="7">
        <f>CEO!H21+CS!H21+CFO!H21+LLA!H21+'C&amp;E'!H21+CES!H21+LLT!H21+GB!H21</f>
        <v>142166.44</v>
      </c>
      <c r="I21" s="7">
        <f>CEO!I21+CS!I21+CFO!I21+LLA!I21+'C&amp;E'!I21+CES!I21+LLT!I21+GB!I21</f>
        <v>142166.44</v>
      </c>
      <c r="J21" s="7">
        <f>CEO!J21+CS!J21+CFO!J21+LLA!J21+'C&amp;E'!J21+CES!J21+LLT!J21+GB!J21</f>
        <v>142166.44</v>
      </c>
      <c r="K21" s="7">
        <f>CEO!K21+CS!K21+CFO!K21+LLA!K21+'C&amp;E'!K21+CES!K21+LLT!K21+GB!K21</f>
        <v>142166.44</v>
      </c>
      <c r="L21" s="7">
        <f>CEO!L21+CS!L21+CFO!L21+LLA!L21+'C&amp;E'!L21+CES!L21+LLT!L21+GB!L21</f>
        <v>152930</v>
      </c>
      <c r="M21" s="13" t="s">
        <v>425</v>
      </c>
      <c r="N21" s="7">
        <f t="shared" si="16"/>
        <v>0</v>
      </c>
      <c r="O21" s="7">
        <f t="shared" si="17"/>
        <v>1716760.8399999996</v>
      </c>
      <c r="P21" s="7">
        <f t="shared" si="4"/>
        <v>1716760.8399999996</v>
      </c>
      <c r="Q21" s="7">
        <f>CEO!Q21+CS!Q21+CFO!Q21+LLA!Q21+'C&amp;E'!Q21+CES!Q21+LLT!Q21+GB!Q21</f>
        <v>1716760.8399999996</v>
      </c>
      <c r="R21" s="7">
        <f t="shared" si="18"/>
        <v>0</v>
      </c>
      <c r="S21" s="202">
        <v>4059000</v>
      </c>
      <c r="T21" s="7">
        <f>CEO!T21+CS!T21+CFO!T21+LLA!T21+'C&amp;E'!T21+CES!T21+LLT!T21+GB!T21</f>
        <v>-715404</v>
      </c>
      <c r="U21" s="7">
        <f t="shared" si="7"/>
        <v>5060356.84</v>
      </c>
      <c r="V21" s="7">
        <f t="shared" si="6"/>
        <v>3343596</v>
      </c>
      <c r="W21" s="7"/>
      <c r="X21" s="7">
        <f>CEO!Q21+CS!Q21+CFO!Q21+LLA!Q21+'C&amp;E'!Q21+CES!Q21+LLT!Q21+GB!Q21</f>
        <v>1716760.8399999996</v>
      </c>
      <c r="Y21" s="202">
        <v>4059000</v>
      </c>
      <c r="Z21" s="7">
        <v>1716760.7818472679</v>
      </c>
      <c r="AA21" s="7">
        <f>Z21*(1+AA$3)+114694</f>
        <v>1912142.5385940894</v>
      </c>
      <c r="AC21" s="295">
        <f t="shared" ref="AC21:AC28" si="20">Q21-Z21</f>
        <v>5.815273174084723E-2</v>
      </c>
    </row>
    <row r="22" spans="1:33" x14ac:dyDescent="0.3">
      <c r="A22" s="7">
        <f>CEO!A22+CS!A22+CFO!A22+LLA!A22+'C&amp;E'!A22+CES!A22+LLT!A22+GB!A22</f>
        <v>13768.624</v>
      </c>
      <c r="B22" s="7">
        <f>CEO!B22+CS!B22+CFO!B22+LLA!B22+'C&amp;E'!B22+CES!B22+LLT!B22+GB!B22</f>
        <v>13768.624</v>
      </c>
      <c r="C22" s="7">
        <f>CEO!C22+CS!C22+CFO!C22+LLA!C22+'C&amp;E'!C22+CES!C22+LLT!C22+GB!C22</f>
        <v>13768.624</v>
      </c>
      <c r="D22" s="7">
        <f>CEO!D22+CS!D22+CFO!D22+LLA!D22+'C&amp;E'!D22+CES!D22+LLT!D22+GB!D22</f>
        <v>13768.624</v>
      </c>
      <c r="E22" s="7">
        <f>CEO!E22+CS!E22+CFO!E22+LLA!E22+'C&amp;E'!E22+CES!E22+LLT!E22+GB!E22</f>
        <v>13768.624</v>
      </c>
      <c r="F22" s="7">
        <f>CEO!F22+CS!F22+CFO!F22+LLA!F22+'C&amp;E'!F22+CES!F22+LLT!F22+GB!F22</f>
        <v>13768.624</v>
      </c>
      <c r="G22" s="7">
        <f>CEO!G22+CS!G22+CFO!G22+LLA!G22+'C&amp;E'!G22+CES!G22+LLT!G22+GB!G22</f>
        <v>13768.624</v>
      </c>
      <c r="H22" s="7">
        <f>CEO!H22+CS!H22+CFO!H22+LLA!H22+'C&amp;E'!H22+CES!H22+LLT!H22+GB!H22</f>
        <v>13768.624</v>
      </c>
      <c r="I22" s="7">
        <f>CEO!I22+CS!I22+CFO!I22+LLA!I22+'C&amp;E'!I22+CES!I22+LLT!I22+GB!I22</f>
        <v>13768.624</v>
      </c>
      <c r="J22" s="7">
        <f>CEO!J22+CS!J22+CFO!J22+LLA!J22+'C&amp;E'!J22+CES!J22+LLT!J22+GB!J22</f>
        <v>13768.624</v>
      </c>
      <c r="K22" s="7">
        <f>CEO!K22+CS!K22+CFO!K22+LLA!K22+'C&amp;E'!K22+CES!K22+LLT!K22+GB!K22</f>
        <v>13768.624</v>
      </c>
      <c r="L22" s="7">
        <f>CEO!L22+CS!L22+CFO!L22+LLA!L22+'C&amp;E'!L22+CES!L22+LLT!L22+GB!L22</f>
        <v>13762.624</v>
      </c>
      <c r="M22" s="13" t="s">
        <v>426</v>
      </c>
      <c r="N22" s="7">
        <f t="shared" si="16"/>
        <v>0</v>
      </c>
      <c r="O22" s="7">
        <f t="shared" si="17"/>
        <v>165217.48800000001</v>
      </c>
      <c r="P22" s="7">
        <f t="shared" si="4"/>
        <v>165217.48800000001</v>
      </c>
      <c r="Q22" s="7">
        <f>CEO!Q22+CS!Q22+CFO!Q22+LLA!Q22+'C&amp;E'!Q22+CES!Q22+LLT!Q22+GB!Q22</f>
        <v>165217.48800000001</v>
      </c>
      <c r="R22" s="7">
        <f t="shared" si="18"/>
        <v>0</v>
      </c>
      <c r="S22" s="202">
        <v>400000</v>
      </c>
      <c r="T22" s="7">
        <f>CEO!T22+CS!T22+CFO!T22+LLA!T22+'C&amp;E'!T22+CES!T22+LLT!T22+GB!T22</f>
        <v>0</v>
      </c>
      <c r="U22" s="7">
        <f t="shared" si="7"/>
        <v>565217.48800000001</v>
      </c>
      <c r="V22" s="7">
        <f t="shared" si="6"/>
        <v>400000</v>
      </c>
      <c r="W22" s="7"/>
      <c r="X22" s="7">
        <f>CEO!Q22+CS!Q22+CFO!Q22+LLA!Q22+'C&amp;E'!Q22+CES!Q22+LLT!Q22+GB!Q22</f>
        <v>165217.48800000001</v>
      </c>
      <c r="Y22" s="202">
        <v>400000</v>
      </c>
      <c r="Z22" s="7">
        <v>165217.20000000001</v>
      </c>
      <c r="AA22" s="7">
        <f t="shared" si="19"/>
        <v>172982.40840000001</v>
      </c>
      <c r="AC22" s="295">
        <f t="shared" si="20"/>
        <v>0.28800000000046566</v>
      </c>
    </row>
    <row r="23" spans="1:33" x14ac:dyDescent="0.3">
      <c r="A23" s="7">
        <f>CEO!A23+CS!A23+CFO!A23+LLA!A23+'C&amp;E'!A23+CES!A23+LLT!A23+GB!A23</f>
        <v>0</v>
      </c>
      <c r="B23" s="7">
        <f>CEO!B23+CS!B23+CFO!B23+LLA!B23+'C&amp;E'!B23+CES!B23+LLT!B23+GB!B23</f>
        <v>0</v>
      </c>
      <c r="C23" s="7">
        <f>CEO!C23+CS!C23+CFO!C23+LLA!C23+'C&amp;E'!C23+CES!C23+LLT!C23+GB!C23</f>
        <v>0</v>
      </c>
      <c r="D23" s="7">
        <f>CEO!D23+CS!D23+CFO!D23+LLA!D23+'C&amp;E'!D23+CES!D23+LLT!D23+GB!D23</f>
        <v>0</v>
      </c>
      <c r="E23" s="7">
        <f>CEO!E23+CS!E23+CFO!E23+LLA!E23+'C&amp;E'!E23+CES!E23+LLT!E23+GB!E23</f>
        <v>0</v>
      </c>
      <c r="F23" s="7">
        <f>CEO!F23+CS!F23+CFO!F23+LLA!F23+'C&amp;E'!F23+CES!F23+LLT!F23+GB!F23</f>
        <v>0</v>
      </c>
      <c r="G23" s="7">
        <f>CEO!G23+CS!G23+CFO!G23+LLA!G23+'C&amp;E'!G23+CES!G23+LLT!G23+GB!G23</f>
        <v>0</v>
      </c>
      <c r="H23" s="7">
        <f>CEO!H23+CS!H23+CFO!H23+LLA!H23+'C&amp;E'!H23+CES!H23+LLT!H23+GB!H23</f>
        <v>0</v>
      </c>
      <c r="I23" s="7">
        <f>CEO!I23+CS!I23+CFO!I23+LLA!I23+'C&amp;E'!I23+CES!I23+LLT!I23+GB!I23</f>
        <v>0</v>
      </c>
      <c r="J23" s="7">
        <f>CEO!J23+CS!J23+CFO!J23+LLA!J23+'C&amp;E'!J23+CES!J23+LLT!J23+GB!J23</f>
        <v>0</v>
      </c>
      <c r="K23" s="7">
        <f>CEO!K23+CS!K23+CFO!K23+LLA!K23+'C&amp;E'!K23+CES!K23+LLT!K23+GB!K23</f>
        <v>0</v>
      </c>
      <c r="L23" s="7">
        <f>CEO!L23+CS!L23+CFO!L23+LLA!L23+'C&amp;E'!L23+CES!L23+LLT!L23+GB!L23</f>
        <v>0</v>
      </c>
      <c r="M23" s="125" t="s">
        <v>427</v>
      </c>
      <c r="N23" s="7">
        <f t="shared" si="16"/>
        <v>0</v>
      </c>
      <c r="O23" s="7">
        <f t="shared" si="17"/>
        <v>0</v>
      </c>
      <c r="P23" s="7">
        <f t="shared" si="4"/>
        <v>0</v>
      </c>
      <c r="Q23" s="7">
        <f>CEO!Q23+CS!Q23+CFO!Q23+LLA!Q23+'C&amp;E'!Q23+CES!Q23+LLT!Q23+GB!Q23</f>
        <v>0</v>
      </c>
      <c r="R23" s="7">
        <f t="shared" si="18"/>
        <v>0</v>
      </c>
      <c r="S23" s="7">
        <v>0</v>
      </c>
      <c r="T23" s="7">
        <f>CEO!T23+CS!T23+CFO!T23+LLA!T23+'C&amp;E'!T23+CES!T23+LLT!T23+GB!T23</f>
        <v>0</v>
      </c>
      <c r="U23" s="7">
        <f t="shared" si="7"/>
        <v>0</v>
      </c>
      <c r="V23" s="7">
        <f t="shared" si="6"/>
        <v>0</v>
      </c>
      <c r="W23" s="7"/>
      <c r="X23" s="7">
        <f>CEO!Q23+CS!Q23+CFO!Q23+LLA!Q23+'C&amp;E'!Q23+CES!Q23+LLT!Q23+GB!Q23</f>
        <v>0</v>
      </c>
      <c r="Y23" s="7">
        <f t="shared" ref="Y23:Y26" si="21">X23-Q23</f>
        <v>0</v>
      </c>
      <c r="Z23" s="7">
        <v>0</v>
      </c>
      <c r="AA23" s="7">
        <f t="shared" si="19"/>
        <v>0</v>
      </c>
      <c r="AC23" s="295">
        <f t="shared" si="20"/>
        <v>0</v>
      </c>
    </row>
    <row r="24" spans="1:33" x14ac:dyDescent="0.3">
      <c r="A24" s="7">
        <f>CEO!A24+CS!A24+CFO!A24+LLA!A24+'C&amp;E'!A24+CES!A24+LLT!A24+GB!A24</f>
        <v>23328.48</v>
      </c>
      <c r="B24" s="7">
        <f>CEO!B24+CS!B24+CFO!B24+LLA!B24+'C&amp;E'!B24+CES!B24+LLT!B24+GB!B24</f>
        <v>23328.48</v>
      </c>
      <c r="C24" s="7">
        <f>CEO!C24+CS!C24+CFO!C24+LLA!C24+'C&amp;E'!C24+CES!C24+LLT!C24+GB!C24</f>
        <v>23328.48</v>
      </c>
      <c r="D24" s="7">
        <f>CEO!D24+CS!D24+CFO!D24+LLA!D24+'C&amp;E'!D24+CES!D24+LLT!D24+GB!D24</f>
        <v>23328.48</v>
      </c>
      <c r="E24" s="7">
        <f>CEO!E24+CS!E24+CFO!E24+LLA!E24+'C&amp;E'!E24+CES!E24+LLT!E24+GB!E24</f>
        <v>23328.48</v>
      </c>
      <c r="F24" s="7">
        <f>CEO!F24+CS!F24+CFO!F24+LLA!F24+'C&amp;E'!F24+CES!F24+LLT!F24+GB!F24</f>
        <v>23328.48</v>
      </c>
      <c r="G24" s="7">
        <f>CEO!G24+CS!G24+CFO!G24+LLA!G24+'C&amp;E'!G24+CES!G24+LLT!G24+GB!G24</f>
        <v>23328.48</v>
      </c>
      <c r="H24" s="7">
        <f>CEO!H24+CS!H24+CFO!H24+LLA!H24+'C&amp;E'!H24+CES!H24+LLT!H24+GB!H24</f>
        <v>23328.48</v>
      </c>
      <c r="I24" s="7">
        <f>CEO!I24+CS!I24+CFO!I24+LLA!I24+'C&amp;E'!I24+CES!I24+LLT!I24+GB!I24</f>
        <v>23328.48</v>
      </c>
      <c r="J24" s="7">
        <f>CEO!J24+CS!J24+CFO!J24+LLA!J24+'C&amp;E'!J24+CES!J24+LLT!J24+GB!J24</f>
        <v>23328.48</v>
      </c>
      <c r="K24" s="7">
        <f>CEO!K24+CS!K24+CFO!K24+LLA!K24+'C&amp;E'!K24+CES!K24+LLT!K24+GB!K24</f>
        <v>23328.48</v>
      </c>
      <c r="L24" s="7">
        <f>CEO!L24+CS!L24+CFO!L24+LLA!L24+'C&amp;E'!L24+CES!L24+LLT!L24+GB!L24</f>
        <v>23333.48</v>
      </c>
      <c r="M24" s="125" t="s">
        <v>428</v>
      </c>
      <c r="N24" s="7">
        <f t="shared" si="16"/>
        <v>0</v>
      </c>
      <c r="O24" s="7">
        <f t="shared" si="17"/>
        <v>279946.76000000007</v>
      </c>
      <c r="P24" s="7">
        <f t="shared" si="4"/>
        <v>279946.76000000007</v>
      </c>
      <c r="Q24" s="7">
        <f>CEO!Q24+CS!Q24+CFO!Q24+LLA!Q24+'C&amp;E'!Q24+CES!Q24+LLT!Q24+GB!Q24</f>
        <v>279946.76000000007</v>
      </c>
      <c r="R24" s="7">
        <f t="shared" si="18"/>
        <v>0</v>
      </c>
      <c r="S24" s="7">
        <v>0</v>
      </c>
      <c r="T24" s="7">
        <f>CEO!T24+CS!T24+CFO!T24+LLA!T24+'C&amp;E'!T24+CES!T24+LLT!T24+GB!T24</f>
        <v>0</v>
      </c>
      <c r="U24" s="7">
        <f t="shared" si="7"/>
        <v>279946.76000000007</v>
      </c>
      <c r="V24" s="7">
        <f t="shared" si="6"/>
        <v>0</v>
      </c>
      <c r="W24" s="7"/>
      <c r="X24" s="7">
        <f>CEO!Q24+CS!Q24+CFO!Q24+LLA!Q24+'C&amp;E'!Q24+CES!Q24+LLT!Q24+GB!Q24</f>
        <v>279946.76000000007</v>
      </c>
      <c r="Y24" s="7">
        <f t="shared" si="21"/>
        <v>0</v>
      </c>
      <c r="Z24" s="7">
        <v>279947.04191999999</v>
      </c>
      <c r="AA24" s="7">
        <f t="shared" si="19"/>
        <v>293104.55289023998</v>
      </c>
      <c r="AC24" s="295">
        <f t="shared" si="20"/>
        <v>-0.28191999992122874</v>
      </c>
    </row>
    <row r="25" spans="1:33" x14ac:dyDescent="0.3">
      <c r="A25" s="7">
        <f>CEO!A25+CS!A25+CFO!A25+LLA!A25+'C&amp;E'!A25+CES!A25+LLT!A25+GB!A25</f>
        <v>1290.0880000000002</v>
      </c>
      <c r="B25" s="7">
        <f>CEO!B25+CS!B25+CFO!B25+LLA!B25+'C&amp;E'!B25+CES!B25+LLT!B25+GB!B25</f>
        <v>1290.0880000000002</v>
      </c>
      <c r="C25" s="7">
        <f>CEO!C25+CS!C25+CFO!C25+LLA!C25+'C&amp;E'!C25+CES!C25+LLT!C25+GB!C25</f>
        <v>1290.0880000000002</v>
      </c>
      <c r="D25" s="7">
        <f>CEO!D25+CS!D25+CFO!D25+LLA!D25+'C&amp;E'!D25+CES!D25+LLT!D25+GB!D25</f>
        <v>1290.0880000000002</v>
      </c>
      <c r="E25" s="7">
        <f>CEO!E25+CS!E25+CFO!E25+LLA!E25+'C&amp;E'!E25+CES!E25+LLT!E25+GB!E25</f>
        <v>1290.0880000000002</v>
      </c>
      <c r="F25" s="7">
        <f>CEO!F25+CS!F25+CFO!F25+LLA!F25+'C&amp;E'!F25+CES!F25+LLT!F25+GB!F25</f>
        <v>1290.0880000000002</v>
      </c>
      <c r="G25" s="7">
        <f>CEO!G25+CS!G25+CFO!G25+LLA!G25+'C&amp;E'!G25+CES!G25+LLT!G25+GB!G25</f>
        <v>1290.0880000000002</v>
      </c>
      <c r="H25" s="7">
        <f>CEO!H25+CS!H25+CFO!H25+LLA!H25+'C&amp;E'!H25+CES!H25+LLT!H25+GB!H25</f>
        <v>1290.0880000000002</v>
      </c>
      <c r="I25" s="7">
        <f>CEO!I25+CS!I25+CFO!I25+LLA!I25+'C&amp;E'!I25+CES!I25+LLT!I25+GB!I25</f>
        <v>1290.0880000000002</v>
      </c>
      <c r="J25" s="7">
        <f>CEO!J25+CS!J25+CFO!J25+LLA!J25+'C&amp;E'!J25+CES!J25+LLT!J25+GB!J25</f>
        <v>1290.0880000000002</v>
      </c>
      <c r="K25" s="7">
        <f>CEO!K25+CS!K25+CFO!K25+LLA!K25+'C&amp;E'!K25+CES!K25+LLT!K25+GB!K25</f>
        <v>1290.0880000000002</v>
      </c>
      <c r="L25" s="7">
        <f>CEO!L25+CS!L25+CFO!L25+LLA!L25+'C&amp;E'!L25+CES!L25+LLT!L25+GB!L25</f>
        <v>1298.0880000000002</v>
      </c>
      <c r="M25" s="13" t="s">
        <v>429</v>
      </c>
      <c r="N25" s="7">
        <f t="shared" si="16"/>
        <v>0</v>
      </c>
      <c r="O25" s="7">
        <f t="shared" si="17"/>
        <v>15489.055999999999</v>
      </c>
      <c r="P25" s="7">
        <f t="shared" si="4"/>
        <v>15489.055999999999</v>
      </c>
      <c r="Q25" s="7">
        <f>CEO!Q25+CS!Q25+CFO!Q25+LLA!Q25+'C&amp;E'!Q25+CES!Q25+LLT!Q25+GB!Q25</f>
        <v>15489.056000000004</v>
      </c>
      <c r="R25" s="7">
        <f t="shared" si="18"/>
        <v>0</v>
      </c>
      <c r="S25" s="7">
        <v>4780</v>
      </c>
      <c r="T25" s="7">
        <f>CEO!T25+CS!T25+CFO!T25+LLA!T25+'C&amp;E'!T25+CES!T25+LLT!T25+GB!T25</f>
        <v>8301</v>
      </c>
      <c r="U25" s="7">
        <f t="shared" si="7"/>
        <v>28570.056000000004</v>
      </c>
      <c r="V25" s="7">
        <f t="shared" si="6"/>
        <v>13081.000000000005</v>
      </c>
      <c r="W25" s="7"/>
      <c r="X25" s="7">
        <f>CEO!Q25+CS!Q25+CFO!Q25+LLA!Q25+'C&amp;E'!Q25+CES!Q25+LLT!Q25+GB!Q25</f>
        <v>15489.056000000004</v>
      </c>
      <c r="Y25" s="7">
        <f t="shared" si="21"/>
        <v>0</v>
      </c>
      <c r="Z25" s="7">
        <v>15489.44</v>
      </c>
      <c r="AA25" s="7">
        <f t="shared" si="19"/>
        <v>16217.44368</v>
      </c>
      <c r="AC25" s="295">
        <f t="shared" si="20"/>
        <v>-0.38399999999637657</v>
      </c>
    </row>
    <row r="26" spans="1:33" x14ac:dyDescent="0.3">
      <c r="A26" s="7">
        <f>CEO!A26+CS!A26+CFO!A26+LLA!A26+'C&amp;E'!A26+CES!A26+LLT!A26+GB!A26</f>
        <v>0</v>
      </c>
      <c r="B26" s="7">
        <f>CEO!B26+CS!B26+CFO!B26+LLA!B26+'C&amp;E'!B26+CES!B26+LLT!B26+GB!B26</f>
        <v>0</v>
      </c>
      <c r="C26" s="7">
        <f>CEO!C26+CS!C26+CFO!C26+LLA!C26+'C&amp;E'!C26+CES!C26+LLT!C26+GB!C26</f>
        <v>0</v>
      </c>
      <c r="D26" s="7">
        <f>CEO!D26+CS!D26+CFO!D26+LLA!D26+'C&amp;E'!D26+CES!D26+LLT!D26+GB!D26</f>
        <v>0</v>
      </c>
      <c r="E26" s="7">
        <f>CEO!E26+CS!E26+CFO!E26+LLA!E26+'C&amp;E'!E26+CES!E26+LLT!E26+GB!E26</f>
        <v>0</v>
      </c>
      <c r="F26" s="7">
        <f>CEO!F26+CS!F26+CFO!F26+LLA!F26+'C&amp;E'!F26+CES!F26+LLT!F26+GB!F26</f>
        <v>0</v>
      </c>
      <c r="G26" s="7">
        <f>CEO!G26+CS!G26+CFO!G26+LLA!G26+'C&amp;E'!G26+CES!G26+LLT!G26+GB!G26</f>
        <v>0</v>
      </c>
      <c r="H26" s="7">
        <f>CEO!H26+CS!H26+CFO!H26+LLA!H26+'C&amp;E'!H26+CES!H26+LLT!H26+GB!H26</f>
        <v>0</v>
      </c>
      <c r="I26" s="11">
        <f>CEO!I26+CS!I26+CFO!I26+LLA!I26+'C&amp;E'!I26+CES!I26+LLT!I26+GB!I26</f>
        <v>0</v>
      </c>
      <c r="J26" s="11">
        <f>CEO!J26+CS!J26+CFO!J26+LLA!J26+'C&amp;E'!J26+CES!J26+LLT!J26+GB!J26</f>
        <v>0</v>
      </c>
      <c r="K26" s="11">
        <f>CEO!K26+CS!K26+CFO!K26+LLA!K26+'C&amp;E'!K26+CES!K26+LLT!K26+GB!K26</f>
        <v>0</v>
      </c>
      <c r="L26" s="11">
        <f>CEO!L26+CS!L26+CFO!L26+LLA!L26+'C&amp;E'!L26+CES!L26+LLT!L26+GB!L26</f>
        <v>0</v>
      </c>
      <c r="M26" s="13" t="s">
        <v>430</v>
      </c>
      <c r="N26" s="11">
        <f t="shared" si="16"/>
        <v>0</v>
      </c>
      <c r="O26" s="11">
        <f t="shared" si="17"/>
        <v>0</v>
      </c>
      <c r="P26" s="11">
        <f t="shared" si="4"/>
        <v>0</v>
      </c>
      <c r="Q26" s="11">
        <f>CEO!Q26+CS!Q26+CFO!Q26+LLA!Q26+'C&amp;E'!Q26+CES!Q26+LLT!Q26+GB!Q26</f>
        <v>0</v>
      </c>
      <c r="R26" s="11">
        <f t="shared" si="18"/>
        <v>0</v>
      </c>
      <c r="S26" s="11">
        <v>0</v>
      </c>
      <c r="T26" s="11">
        <f>CEO!T26+CS!T26+CFO!T26+LLA!T26+'C&amp;E'!T26+CES!T26+LLT!T26+GB!T26</f>
        <v>0</v>
      </c>
      <c r="U26" s="11">
        <f t="shared" si="7"/>
        <v>0</v>
      </c>
      <c r="V26" s="11">
        <f t="shared" si="6"/>
        <v>0</v>
      </c>
      <c r="W26" s="11"/>
      <c r="X26" s="11">
        <f>CEO!Q26+CS!Q26+CFO!Q26+LLA!Q26+'C&amp;E'!Q26+CES!Q26+LLT!Q26+GB!Q26</f>
        <v>0</v>
      </c>
      <c r="Y26" s="11">
        <f t="shared" si="21"/>
        <v>0</v>
      </c>
      <c r="Z26" s="11">
        <v>0</v>
      </c>
      <c r="AA26" s="11">
        <f t="shared" si="19"/>
        <v>0</v>
      </c>
      <c r="AC26" s="295">
        <f t="shared" si="20"/>
        <v>0</v>
      </c>
    </row>
    <row r="27" spans="1:33" ht="5.4" customHeight="1" x14ac:dyDescent="0.3">
      <c r="A27" s="81"/>
      <c r="B27" s="81"/>
      <c r="C27" s="81"/>
      <c r="D27" s="85"/>
      <c r="E27" s="83"/>
      <c r="F27" s="83"/>
      <c r="G27" s="83"/>
      <c r="H27" s="83"/>
      <c r="I27" s="83"/>
      <c r="J27" s="83"/>
      <c r="K27" s="83"/>
      <c r="L27" s="83"/>
      <c r="M27" s="13"/>
      <c r="N27" s="83">
        <f t="shared" si="9"/>
        <v>0</v>
      </c>
      <c r="O27" s="83">
        <f t="shared" si="10"/>
        <v>0</v>
      </c>
      <c r="P27" s="83">
        <f t="shared" si="4"/>
        <v>0</v>
      </c>
      <c r="Q27" s="83"/>
      <c r="R27" s="83">
        <f t="shared" si="11"/>
        <v>0</v>
      </c>
      <c r="S27" s="83">
        <v>0</v>
      </c>
      <c r="T27" s="81">
        <f>CEO!T27+CS!T27+CFO!T27+LLA!T27+'C&amp;E'!T27+CES!T27+LLT!T27+GB!T27</f>
        <v>0</v>
      </c>
      <c r="U27" s="81">
        <f t="shared" si="7"/>
        <v>0</v>
      </c>
      <c r="V27" s="81">
        <f t="shared" si="6"/>
        <v>0</v>
      </c>
      <c r="W27" s="81"/>
      <c r="X27" s="83">
        <f>CEO!Q27+CS!Q27+CFO!Q27+LLA!Q27+'C&amp;E'!Q27+CES!Q27+LLT!Q27+GB!Q27</f>
        <v>0</v>
      </c>
      <c r="Y27" s="83">
        <f t="shared" si="12"/>
        <v>0</v>
      </c>
      <c r="Z27" s="83"/>
      <c r="AA27" s="83"/>
      <c r="AC27" s="295">
        <f t="shared" si="20"/>
        <v>0</v>
      </c>
    </row>
    <row r="28" spans="1:33" x14ac:dyDescent="0.3">
      <c r="A28" s="4">
        <f>SUM(A20:A26)</f>
        <v>191379.47200000001</v>
      </c>
      <c r="B28" s="4">
        <f>SUM(B20:B26)</f>
        <v>191379.47200000001</v>
      </c>
      <c r="C28" s="4">
        <f t="shared" ref="C28:L28" si="22">SUM(C20:C26)</f>
        <v>191379.47200000001</v>
      </c>
      <c r="D28" s="4">
        <f t="shared" si="22"/>
        <v>191379.47200000001</v>
      </c>
      <c r="E28" s="4">
        <f t="shared" si="22"/>
        <v>191379.47200000001</v>
      </c>
      <c r="F28" s="4">
        <f t="shared" si="22"/>
        <v>191379.47200000001</v>
      </c>
      <c r="G28" s="4">
        <f t="shared" si="22"/>
        <v>191379.47200000001</v>
      </c>
      <c r="H28" s="4">
        <f t="shared" si="22"/>
        <v>191379.47200000001</v>
      </c>
      <c r="I28" s="4">
        <f t="shared" si="22"/>
        <v>191379.47200000001</v>
      </c>
      <c r="J28" s="4">
        <f t="shared" si="22"/>
        <v>191379.47200000001</v>
      </c>
      <c r="K28" s="4">
        <f t="shared" si="22"/>
        <v>191379.47200000001</v>
      </c>
      <c r="L28" s="4">
        <f t="shared" si="22"/>
        <v>202150.03200000001</v>
      </c>
      <c r="M28" s="13" t="s">
        <v>97</v>
      </c>
      <c r="N28" s="4">
        <f t="shared" ref="N28:O28" si="23">SUM(N20:N26)</f>
        <v>0</v>
      </c>
      <c r="O28" s="4">
        <f t="shared" si="23"/>
        <v>2307324.2239999999</v>
      </c>
      <c r="P28" s="4">
        <f>SUM(P20:P26)</f>
        <v>2307324.2239999999</v>
      </c>
      <c r="Q28" s="4">
        <f>SUM(Q20:Q26)</f>
        <v>2307324.2239999999</v>
      </c>
      <c r="R28" s="4">
        <f t="shared" ref="R28:S28" si="24">SUM(R20:R26)</f>
        <v>0</v>
      </c>
      <c r="S28" s="4">
        <f t="shared" si="24"/>
        <v>4533780</v>
      </c>
      <c r="T28" s="4">
        <f>CEO!T28+CS!T28+CFO!T28+LLA!T28+'C&amp;E'!T28+CES!T28+LLT!T28+GB!T28</f>
        <v>-707103</v>
      </c>
      <c r="U28" s="4">
        <f t="shared" si="7"/>
        <v>6134001.2239999995</v>
      </c>
      <c r="V28" s="4">
        <f t="shared" si="6"/>
        <v>3826676.9999999995</v>
      </c>
      <c r="W28" s="4"/>
      <c r="X28" s="4">
        <f>CEO!Q28+CS!Q28+CFO!Q28+LLA!Q28+'C&amp;E'!Q28+CES!Q28+LLT!Q28+GB!Q28</f>
        <v>2307324.2239999995</v>
      </c>
      <c r="Y28" s="4">
        <f t="shared" si="12"/>
        <v>0</v>
      </c>
      <c r="Z28" s="4">
        <f>SUM(Z20:Z26)</f>
        <v>2307324.7481272677</v>
      </c>
      <c r="AA28" s="4">
        <f>SUM(AA20:AA26)</f>
        <v>2530463.0112892496</v>
      </c>
      <c r="AC28" s="295">
        <f t="shared" si="20"/>
        <v>-0.5241272677667439</v>
      </c>
    </row>
    <row r="29" spans="1:33" ht="3.6" customHeight="1" x14ac:dyDescent="0.3">
      <c r="A29" s="81"/>
      <c r="B29" s="81"/>
      <c r="C29" s="81"/>
      <c r="D29" s="82"/>
      <c r="E29" s="86"/>
      <c r="F29" s="86"/>
      <c r="G29" s="86"/>
      <c r="H29" s="86"/>
      <c r="I29" s="86"/>
      <c r="J29" s="86"/>
      <c r="K29" s="86"/>
      <c r="L29" s="86"/>
      <c r="M29" s="80"/>
      <c r="N29" s="86">
        <f t="shared" si="9"/>
        <v>0</v>
      </c>
      <c r="O29" s="86">
        <f t="shared" si="10"/>
        <v>0</v>
      </c>
      <c r="P29" s="86">
        <f t="shared" si="4"/>
        <v>0</v>
      </c>
      <c r="Q29" s="86"/>
      <c r="R29" s="86">
        <f t="shared" si="11"/>
        <v>0</v>
      </c>
      <c r="S29" s="86">
        <v>0</v>
      </c>
      <c r="T29" s="81">
        <f>CEO!T29+CS!T29+CFO!T29+LLA!T29+'C&amp;E'!T29+CES!T29+LLT!T29+GB!T29</f>
        <v>0</v>
      </c>
      <c r="U29" s="81">
        <f t="shared" si="7"/>
        <v>0</v>
      </c>
      <c r="V29" s="81">
        <f t="shared" si="6"/>
        <v>0</v>
      </c>
      <c r="W29" s="81"/>
      <c r="X29" s="86">
        <f>CEO!Q29+CS!Q29+CFO!Q29+LLA!Q29+'C&amp;E'!Q29+CES!Q29+LLT!Q29+GB!Q29</f>
        <v>0</v>
      </c>
      <c r="Y29" s="86">
        <f t="shared" si="12"/>
        <v>0</v>
      </c>
      <c r="Z29" s="86"/>
      <c r="AA29" s="86"/>
    </row>
    <row r="30" spans="1:33" x14ac:dyDescent="0.3">
      <c r="A30" s="8">
        <f>CEO!A30+CS!A30+CFO!A30+LLA!A30+'C&amp;E'!A30+CES!A30+LLT!A30+GB!A30</f>
        <v>0</v>
      </c>
      <c r="B30" s="8">
        <f>CEO!B30+CS!B30+CFO!B30+LLA!B30+'C&amp;E'!B30+CES!B30+LLT!B30+GB!B30</f>
        <v>295515.20767999999</v>
      </c>
      <c r="C30" s="8">
        <f>CEO!C30+CS!C30+CFO!C30+LLA!C30+'C&amp;E'!C30+CES!C30+LLT!C30+GB!C30</f>
        <v>471100.05160000001</v>
      </c>
      <c r="D30" s="8">
        <f>CEO!D30+CS!D30+CFO!D30+LLA!D30+'C&amp;E'!D30+CES!D30+LLT!D30+GB!D30</f>
        <v>667871.71416000009</v>
      </c>
      <c r="E30" s="8">
        <f>CEO!E30+CS!E30+CFO!E30+LLA!E30+'C&amp;E'!E30+CES!E30+LLT!E30+GB!E30</f>
        <v>242312.57592000006</v>
      </c>
      <c r="F30" s="8">
        <f>CEO!F30+CS!F30+CFO!F30+LLA!F30+'C&amp;E'!F30+CES!F30+LLT!F30+GB!F30</f>
        <v>0</v>
      </c>
      <c r="G30" s="8">
        <f>CEO!G30+CS!G30+CFO!G30+LLA!G30+'C&amp;E'!G30+CES!G30+LLT!G30+GB!G30</f>
        <v>0</v>
      </c>
      <c r="H30" s="8">
        <f>CEO!H30+CS!H30+CFO!H30+LLA!H30+'C&amp;E'!H30+CES!H30+LLT!H30+GB!H30</f>
        <v>0</v>
      </c>
      <c r="I30" s="8">
        <f>CEO!I30+CS!I30+CFO!I30+LLA!I30+'C&amp;E'!I30+CES!I30+LLT!I30+GB!I30</f>
        <v>0</v>
      </c>
      <c r="J30" s="8">
        <f>CEO!J30+CS!J30+CFO!J30+LLA!J30+'C&amp;E'!J30+CES!J30+LLT!J30+GB!J30</f>
        <v>0</v>
      </c>
      <c r="K30" s="8">
        <f>CEO!K30+CS!K30+CFO!K30+LLA!K30+'C&amp;E'!K30+CES!K30+LLT!K30+GB!K30</f>
        <v>0</v>
      </c>
      <c r="L30" s="8">
        <f>CEO!L30+CS!L30+CFO!L30+LLA!L30+'C&amp;E'!L30+CES!L30+LLT!L30+GB!L30</f>
        <v>0</v>
      </c>
      <c r="M30" s="390" t="s">
        <v>431</v>
      </c>
      <c r="N30" s="8">
        <f t="shared" ref="N30:N44" si="25">SUM(0)</f>
        <v>0</v>
      </c>
      <c r="O30" s="8">
        <f t="shared" ref="O30:O44" si="26">SUM(A30:L30)</f>
        <v>1676799.5493600001</v>
      </c>
      <c r="P30" s="8">
        <f t="shared" si="4"/>
        <v>1676799.5493600001</v>
      </c>
      <c r="Q30" s="8">
        <f>CEO!Q30+CS!Q30+CFO!Q30+LLA!Q30+'C&amp;E'!Q30+CES!Q30+LLT!Q30+GB!Q30</f>
        <v>1676799.5493600001</v>
      </c>
      <c r="R30" s="8">
        <f t="shared" ref="R30:R44" si="27">Q30-P30</f>
        <v>0</v>
      </c>
      <c r="S30" s="8">
        <v>0</v>
      </c>
      <c r="T30" s="8">
        <f>CEO!T30+CS!T30+CFO!T30+LLA!T30+'C&amp;E'!T30+CES!T30+LLT!T30+GB!T30</f>
        <v>683270.35999999987</v>
      </c>
      <c r="U30" s="8">
        <f t="shared" si="7"/>
        <v>2360069.9093599999</v>
      </c>
      <c r="V30" s="8">
        <f t="shared" si="6"/>
        <v>683270.35999999987</v>
      </c>
      <c r="W30" s="8"/>
      <c r="X30" s="8">
        <f>CEO!Q30+CS!Q30+CFO!Q30+LLA!Q30+'C&amp;E'!Q30+CES!Q30+LLT!Q30+GB!Q30</f>
        <v>1676799.5493600001</v>
      </c>
      <c r="Y30" s="8">
        <f t="shared" ref="Y30:Y44" si="28">X30-Q30</f>
        <v>0</v>
      </c>
      <c r="Z30" s="8">
        <v>1676800</v>
      </c>
      <c r="AA30" s="8">
        <f t="shared" ref="AA30:AA44" si="29">Z30*(1+AA$3)</f>
        <v>1755609.5999999999</v>
      </c>
      <c r="AC30" s="295">
        <f t="shared" ref="AC30:AC93" si="30">Q30-Z30</f>
        <v>-0.45063999993726611</v>
      </c>
    </row>
    <row r="31" spans="1:33" x14ac:dyDescent="0.3">
      <c r="A31" s="7">
        <f>CEO!A31+CS!A31+CFO!A31+LLA!A31+'C&amp;E'!A31+CES!A31+LLT!A31+GB!A31</f>
        <v>9215.0640000000003</v>
      </c>
      <c r="B31" s="7">
        <f>CEO!B31+CS!B31+CFO!B31+LLA!B31+'C&amp;E'!B31+CES!B31+LLT!B31+GB!B31</f>
        <v>9215.0640000000003</v>
      </c>
      <c r="C31" s="7">
        <f>CEO!C31+CS!C31+CFO!C31+LLA!C31+'C&amp;E'!C31+CES!C31+LLT!C31+GB!C31</f>
        <v>9215.0640000000003</v>
      </c>
      <c r="D31" s="7">
        <f>CEO!D31+CS!D31+CFO!D31+LLA!D31+'C&amp;E'!D31+CES!D31+LLT!D31+GB!D31</f>
        <v>9215.0640000000003</v>
      </c>
      <c r="E31" s="7">
        <f>CEO!E31+CS!E31+CFO!E31+LLA!E31+'C&amp;E'!E31+CES!E31+LLT!E31+GB!E31</f>
        <v>9215.0640000000003</v>
      </c>
      <c r="F31" s="7">
        <f>CEO!F31+CS!F31+CFO!F31+LLA!F31+'C&amp;E'!F31+CES!F31+LLT!F31+GB!F31</f>
        <v>9215.0640000000003</v>
      </c>
      <c r="G31" s="7">
        <f>CEO!G31+CS!G31+CFO!G31+LLA!G31+'C&amp;E'!G31+CES!G31+LLT!G31+GB!G31</f>
        <v>9215.0640000000003</v>
      </c>
      <c r="H31" s="7">
        <f>CEO!H31+CS!H31+CFO!H31+LLA!H31+'C&amp;E'!H31+CES!H31+LLT!H31+GB!H31</f>
        <v>9215.0640000000003</v>
      </c>
      <c r="I31" s="7">
        <f>CEO!I31+CS!I31+CFO!I31+LLA!I31+'C&amp;E'!I31+CES!I31+LLT!I31+GB!I31</f>
        <v>9215.0640000000003</v>
      </c>
      <c r="J31" s="7">
        <f>CEO!J31+CS!J31+CFO!J31+LLA!J31+'C&amp;E'!J31+CES!J31+LLT!J31+GB!J31</f>
        <v>9215.0640000000003</v>
      </c>
      <c r="K31" s="7">
        <f>CEO!K31+CS!K31+CFO!K31+LLA!K31+'C&amp;E'!K31+CES!K31+LLT!K31+GB!K31</f>
        <v>9215.0640000000003</v>
      </c>
      <c r="L31" s="7">
        <f>CEO!L31+CS!L31+CFO!L31+LLA!L31+'C&amp;E'!L31+CES!L31+LLT!L31+GB!L31</f>
        <v>9214.0640000000003</v>
      </c>
      <c r="M31" s="13" t="s">
        <v>432</v>
      </c>
      <c r="N31" s="7">
        <f t="shared" si="25"/>
        <v>0</v>
      </c>
      <c r="O31" s="7">
        <f t="shared" si="26"/>
        <v>110579.768</v>
      </c>
      <c r="P31" s="7">
        <f t="shared" si="4"/>
        <v>110579.768</v>
      </c>
      <c r="Q31" s="7">
        <f>CEO!Q31+CS!Q31+CFO!Q31+LLA!Q31+'C&amp;E'!Q31+CES!Q31+LLT!Q31+GB!Q31</f>
        <v>110579.768</v>
      </c>
      <c r="R31" s="7">
        <f t="shared" si="27"/>
        <v>0</v>
      </c>
      <c r="S31" s="7">
        <v>0</v>
      </c>
      <c r="T31" s="7">
        <f>CEO!T31+CS!T31+CFO!T31+LLA!T31+'C&amp;E'!T31+CES!T31+LLT!T31+GB!T31</f>
        <v>20432</v>
      </c>
      <c r="U31" s="7">
        <f t="shared" si="7"/>
        <v>131011.768</v>
      </c>
      <c r="V31" s="7">
        <f t="shared" si="6"/>
        <v>20432</v>
      </c>
      <c r="W31" s="7"/>
      <c r="X31" s="7">
        <f>CEO!Q31+CS!Q31+CFO!Q31+LLA!Q31+'C&amp;E'!Q31+CES!Q31+LLT!Q31+GB!Q31</f>
        <v>110579.768</v>
      </c>
      <c r="Y31" s="7">
        <f t="shared" si="28"/>
        <v>0</v>
      </c>
      <c r="Z31" s="7">
        <v>110579.34331572511</v>
      </c>
      <c r="AA31" s="7">
        <f t="shared" si="29"/>
        <v>115776.57245156419</v>
      </c>
      <c r="AC31" s="295">
        <f t="shared" si="30"/>
        <v>0.42468427488347515</v>
      </c>
    </row>
    <row r="32" spans="1:33" x14ac:dyDescent="0.3">
      <c r="A32" s="7">
        <f>CEO!A32+CS!A32+CFO!A32+LLA!A32+'C&amp;E'!A32+CES!A32+LLT!A32+GB!A32</f>
        <v>74534.808000000005</v>
      </c>
      <c r="B32" s="7">
        <f>CEO!B32+CS!B32+CFO!B32+LLA!B32+'C&amp;E'!B32+CES!B32+LLT!B32+GB!B32</f>
        <v>74534.808000000005</v>
      </c>
      <c r="C32" s="7">
        <f>CEO!C32+CS!C32+CFO!C32+LLA!C32+'C&amp;E'!C32+CES!C32+LLT!C32+GB!C32</f>
        <v>74534.808000000005</v>
      </c>
      <c r="D32" s="7">
        <f>CEO!D32+CS!D32+CFO!D32+LLA!D32+'C&amp;E'!D32+CES!D32+LLT!D32+GB!D32</f>
        <v>74534.808000000005</v>
      </c>
      <c r="E32" s="7">
        <f>CEO!E32+CS!E32+CFO!E32+LLA!E32+'C&amp;E'!E32+CES!E32+LLT!E32+GB!E32</f>
        <v>74534.808000000005</v>
      </c>
      <c r="F32" s="7">
        <f>CEO!F32+CS!F32+CFO!F32+LLA!F32+'C&amp;E'!F32+CES!F32+LLT!F32+GB!F32</f>
        <v>74534.808000000005</v>
      </c>
      <c r="G32" s="7">
        <f>CEO!G32+CS!G32+CFO!G32+LLA!G32+'C&amp;E'!G32+CES!G32+LLT!G32+GB!G32</f>
        <v>74534.808000000005</v>
      </c>
      <c r="H32" s="7">
        <f>CEO!H32+CS!H32+CFO!H32+LLA!H32+'C&amp;E'!H32+CES!H32+LLT!H32+GB!H32</f>
        <v>74534.808000000005</v>
      </c>
      <c r="I32" s="7">
        <f>CEO!I32+CS!I32+CFO!I32+LLA!I32+'C&amp;E'!I32+CES!I32+LLT!I32+GB!I32</f>
        <v>74534.808000000005</v>
      </c>
      <c r="J32" s="7">
        <f>CEO!J32+CS!J32+CFO!J32+LLA!J32+'C&amp;E'!J32+CES!J32+LLT!J32+GB!J32</f>
        <v>74534.808000000005</v>
      </c>
      <c r="K32" s="7">
        <f>CEO!K32+CS!K32+CFO!K32+LLA!K32+'C&amp;E'!K32+CES!K32+LLT!K32+GB!K32</f>
        <v>74534.808000000005</v>
      </c>
      <c r="L32" s="7">
        <f>CEO!L32+CS!L32+CFO!L32+LLA!L32+'C&amp;E'!L32+CES!L32+LLT!L32+GB!L32</f>
        <v>74535.922317440083</v>
      </c>
      <c r="M32" s="13" t="s">
        <v>433</v>
      </c>
      <c r="N32" s="7">
        <f t="shared" si="25"/>
        <v>0</v>
      </c>
      <c r="O32" s="7">
        <f t="shared" si="26"/>
        <v>894418.81031743996</v>
      </c>
      <c r="P32" s="7">
        <f t="shared" si="4"/>
        <v>894418.81031743996</v>
      </c>
      <c r="Q32" s="7">
        <f>CEO!Q32+CS!Q32+CFO!Q32+LLA!Q32+'C&amp;E'!Q32+CES!Q32+LLT!Q32+GB!Q32</f>
        <v>894418.81031743996</v>
      </c>
      <c r="R32" s="7">
        <f t="shared" si="27"/>
        <v>0</v>
      </c>
      <c r="S32" s="7">
        <v>0</v>
      </c>
      <c r="T32" s="7">
        <f>CEO!T32+CS!T32+CFO!T32+LLA!T32+'C&amp;E'!T32+CES!T32+LLT!T32+GB!T32</f>
        <v>0</v>
      </c>
      <c r="U32" s="7">
        <f t="shared" si="7"/>
        <v>894418.81031743996</v>
      </c>
      <c r="V32" s="7">
        <f t="shared" si="6"/>
        <v>0</v>
      </c>
      <c r="W32" s="7"/>
      <c r="X32" s="7">
        <f>CEO!Q32+CS!Q32+CFO!Q32+LLA!Q32+'C&amp;E'!Q32+CES!Q32+LLT!Q32+GB!Q32</f>
        <v>894418.81031743996</v>
      </c>
      <c r="Y32" s="7">
        <f t="shared" si="28"/>
        <v>0</v>
      </c>
      <c r="Z32" s="7">
        <v>894418.81031744007</v>
      </c>
      <c r="AA32" s="7">
        <f t="shared" si="29"/>
        <v>936456.49440235971</v>
      </c>
      <c r="AC32" s="295">
        <f t="shared" si="30"/>
        <v>0</v>
      </c>
    </row>
    <row r="33" spans="1:29" x14ac:dyDescent="0.3">
      <c r="A33" s="7">
        <f>CEO!A33+CS!A33+CFO!A33+LLA!A33+'C&amp;E'!A33+CES!A33+LLT!A33+GB!A33</f>
        <v>4377.4960000000001</v>
      </c>
      <c r="B33" s="7">
        <f>CEO!B33+CS!B33+CFO!B33+LLA!B33+'C&amp;E'!B33+CES!B33+LLT!B33+GB!B33</f>
        <v>4377.4960000000001</v>
      </c>
      <c r="C33" s="7">
        <f>CEO!C33+CS!C33+CFO!C33+LLA!C33+'C&amp;E'!C33+CES!C33+LLT!C33+GB!C33</f>
        <v>4377.4960000000001</v>
      </c>
      <c r="D33" s="7">
        <f>CEO!D33+CS!D33+CFO!D33+LLA!D33+'C&amp;E'!D33+CES!D33+LLT!D33+GB!D33</f>
        <v>4377.4960000000001</v>
      </c>
      <c r="E33" s="7">
        <f>CEO!E33+CS!E33+CFO!E33+LLA!E33+'C&amp;E'!E33+CES!E33+LLT!E33+GB!E33</f>
        <v>4377.4960000000001</v>
      </c>
      <c r="F33" s="7">
        <f>CEO!F33+CS!F33+CFO!F33+LLA!F33+'C&amp;E'!F33+CES!F33+LLT!F33+GB!F33</f>
        <v>4377.4960000000001</v>
      </c>
      <c r="G33" s="7">
        <f>CEO!G33+CS!G33+CFO!G33+LLA!G33+'C&amp;E'!G33+CES!G33+LLT!G33+GB!G33</f>
        <v>4377.4960000000001</v>
      </c>
      <c r="H33" s="7">
        <f>CEO!H33+CS!H33+CFO!H33+LLA!H33+'C&amp;E'!H33+CES!H33+LLT!H33+GB!H33</f>
        <v>4377.4960000000001</v>
      </c>
      <c r="I33" s="7">
        <f>CEO!I33+CS!I33+CFO!I33+LLA!I33+'C&amp;E'!I33+CES!I33+LLT!I33+GB!I33</f>
        <v>4377.4960000000001</v>
      </c>
      <c r="J33" s="7">
        <f>CEO!J33+CS!J33+CFO!J33+LLA!J33+'C&amp;E'!J33+CES!J33+LLT!J33+GB!J33</f>
        <v>4377.4960000000001</v>
      </c>
      <c r="K33" s="7">
        <f>CEO!K33+CS!K33+CFO!K33+LLA!K33+'C&amp;E'!K33+CES!K33+LLT!K33+GB!K33</f>
        <v>4377.4960000000001</v>
      </c>
      <c r="L33" s="7">
        <f>CEO!L33+CS!L33+CFO!L33+LLA!L33+'C&amp;E'!L33+CES!L33+LLT!L33+GB!L33</f>
        <v>4378.5440000000026</v>
      </c>
      <c r="M33" s="13" t="s">
        <v>434</v>
      </c>
      <c r="N33" s="7">
        <f t="shared" si="25"/>
        <v>0</v>
      </c>
      <c r="O33" s="7">
        <f t="shared" si="26"/>
        <v>52531</v>
      </c>
      <c r="P33" s="7">
        <f t="shared" si="4"/>
        <v>52531</v>
      </c>
      <c r="Q33" s="7">
        <f>CEO!Q33+CS!Q33+CFO!Q33+LLA!Q33+'C&amp;E'!Q33+CES!Q33+LLT!Q33+GB!Q33</f>
        <v>52531</v>
      </c>
      <c r="R33" s="7">
        <f t="shared" si="27"/>
        <v>0</v>
      </c>
      <c r="S33" s="7">
        <v>50125</v>
      </c>
      <c r="T33" s="7">
        <f>CEO!T33+CS!T33+CFO!T33+LLA!T33+'C&amp;E'!T33+CES!T33+LLT!T33+GB!T33</f>
        <v>0</v>
      </c>
      <c r="U33" s="7">
        <f t="shared" si="7"/>
        <v>102656</v>
      </c>
      <c r="V33" s="7">
        <f t="shared" si="6"/>
        <v>50125</v>
      </c>
      <c r="W33" s="7"/>
      <c r="X33" s="7">
        <f>CEO!Q33+CS!Q33+CFO!Q33+LLA!Q33+'C&amp;E'!Q33+CES!Q33+LLT!Q33+GB!Q33</f>
        <v>52531</v>
      </c>
      <c r="Y33" s="7">
        <f t="shared" si="28"/>
        <v>0</v>
      </c>
      <c r="Z33" s="7">
        <v>52531</v>
      </c>
      <c r="AA33" s="7">
        <f t="shared" si="29"/>
        <v>54999.956999999995</v>
      </c>
      <c r="AC33" s="295">
        <f t="shared" si="30"/>
        <v>0</v>
      </c>
    </row>
    <row r="34" spans="1:29" x14ac:dyDescent="0.3">
      <c r="A34" s="7">
        <f>CEO!A34+CS!A34+CFO!A34+LLA!A34+'C&amp;E'!A34+CES!A34+LLT!A34+GB!A34</f>
        <v>34273.792000000001</v>
      </c>
      <c r="B34" s="7">
        <f>CEO!B34+CS!B34+CFO!B34+LLA!B34+'C&amp;E'!B34+CES!B34+LLT!B34+GB!B34</f>
        <v>34273.792000000001</v>
      </c>
      <c r="C34" s="7">
        <f>CEO!C34+CS!C34+CFO!C34+LLA!C34+'C&amp;E'!C34+CES!C34+LLT!C34+GB!C34</f>
        <v>34273.792000000001</v>
      </c>
      <c r="D34" s="7">
        <f>CEO!D34+CS!D34+CFO!D34+LLA!D34+'C&amp;E'!D34+CES!D34+LLT!D34+GB!D34</f>
        <v>34273.792000000001</v>
      </c>
      <c r="E34" s="7">
        <f>CEO!E34+CS!E34+CFO!E34+LLA!E34+'C&amp;E'!E34+CES!E34+LLT!E34+GB!E34</f>
        <v>34273.792000000001</v>
      </c>
      <c r="F34" s="7">
        <f>CEO!F34+CS!F34+CFO!F34+LLA!F34+'C&amp;E'!F34+CES!F34+LLT!F34+GB!F34</f>
        <v>34273.792000000001</v>
      </c>
      <c r="G34" s="7">
        <f>CEO!G34+CS!G34+CFO!G34+LLA!G34+'C&amp;E'!G34+CES!G34+LLT!G34+GB!G34</f>
        <v>34273.792000000001</v>
      </c>
      <c r="H34" s="7">
        <f>CEO!H34+CS!H34+CFO!H34+LLA!H34+'C&amp;E'!H34+CES!H34+LLT!H34+GB!H34</f>
        <v>34273.792000000001</v>
      </c>
      <c r="I34" s="7">
        <f>CEO!I34+CS!I34+CFO!I34+LLA!I34+'C&amp;E'!I34+CES!I34+LLT!I34+GB!I34</f>
        <v>34273.792000000001</v>
      </c>
      <c r="J34" s="7">
        <f>CEO!J34+CS!J34+CFO!J34+LLA!J34+'C&amp;E'!J34+CES!J34+LLT!J34+GB!J34</f>
        <v>34273.792000000001</v>
      </c>
      <c r="K34" s="7">
        <f>CEO!K34+CS!K34+CFO!K34+LLA!K34+'C&amp;E'!K34+CES!K34+LLT!K34+GB!K34</f>
        <v>34273.792000000001</v>
      </c>
      <c r="L34" s="7">
        <f>CEO!L34+CS!L34+CFO!L34+LLA!L34+'C&amp;E'!L34+CES!L34+LLT!L34+GB!L34</f>
        <v>34268.456572264011</v>
      </c>
      <c r="M34" s="13" t="s">
        <v>435</v>
      </c>
      <c r="N34" s="7">
        <f t="shared" si="25"/>
        <v>0</v>
      </c>
      <c r="O34" s="7">
        <f t="shared" si="26"/>
        <v>411280.16857226414</v>
      </c>
      <c r="P34" s="7">
        <f t="shared" si="4"/>
        <v>411280.16857226414</v>
      </c>
      <c r="Q34" s="7">
        <f>CEO!Q34+CS!Q34+CFO!Q34+LLA!Q34+'C&amp;E'!Q34+CES!Q34+LLT!Q34+GB!Q34</f>
        <v>411280.16857226402</v>
      </c>
      <c r="R34" s="7">
        <f t="shared" si="27"/>
        <v>0</v>
      </c>
      <c r="S34" s="7">
        <v>149964</v>
      </c>
      <c r="T34" s="7">
        <f>CEO!T34+CS!T34+CFO!T34+LLA!T34+'C&amp;E'!T34+CES!T34+LLT!T34+GB!T34</f>
        <v>-390716</v>
      </c>
      <c r="U34" s="7">
        <f t="shared" si="7"/>
        <v>170528.16857226402</v>
      </c>
      <c r="V34" s="7">
        <f t="shared" si="6"/>
        <v>-240752.00000000012</v>
      </c>
      <c r="W34" s="7"/>
      <c r="X34" s="7">
        <f>CEO!Q34+CS!Q34+CFO!Q34+LLA!Q34+'C&amp;E'!Q34+CES!Q34+LLT!Q34+GB!Q34</f>
        <v>411280.16857226402</v>
      </c>
      <c r="Y34" s="7">
        <f t="shared" si="28"/>
        <v>0</v>
      </c>
      <c r="Z34" s="7">
        <v>411280.16857226402</v>
      </c>
      <c r="AA34" s="7">
        <f t="shared" si="29"/>
        <v>430610.33649516042</v>
      </c>
      <c r="AC34" s="295">
        <f t="shared" si="30"/>
        <v>0</v>
      </c>
    </row>
    <row r="35" spans="1:29" x14ac:dyDescent="0.3">
      <c r="A35" s="7">
        <f>CEO!A35+CS!A35+CFO!A35+LLA!A35+'C&amp;E'!A35+CES!A35+LLT!A35+GB!A35</f>
        <v>0</v>
      </c>
      <c r="B35" s="7">
        <f>CEO!B35+CS!B35+CFO!B35+LLA!B35+'C&amp;E'!B35+CES!B35+LLT!B35+GB!B35</f>
        <v>0</v>
      </c>
      <c r="C35" s="7">
        <f>CEO!C35+CS!C35+CFO!C35+LLA!C35+'C&amp;E'!C35+CES!C35+LLT!C35+GB!C35</f>
        <v>0</v>
      </c>
      <c r="D35" s="7">
        <f>CEO!D35+CS!D35+CFO!D35+LLA!D35+'C&amp;E'!D35+CES!D35+LLT!D35+GB!D35</f>
        <v>0</v>
      </c>
      <c r="E35" s="7">
        <f>CEO!E35+CS!E35+CFO!E35+LLA!E35+'C&amp;E'!E35+CES!E35+LLT!E35+GB!E35</f>
        <v>0</v>
      </c>
      <c r="F35" s="7">
        <f>CEO!F35+CS!F35+CFO!F35+LLA!F35+'C&amp;E'!F35+CES!F35+LLT!F35+GB!F35</f>
        <v>0</v>
      </c>
      <c r="G35" s="7">
        <f>CEO!G35+CS!G35+CFO!G35+LLA!G35+'C&amp;E'!G35+CES!G35+LLT!G35+GB!G35</f>
        <v>0</v>
      </c>
      <c r="H35" s="7">
        <f>CEO!H35+CS!H35+CFO!H35+LLA!H35+'C&amp;E'!H35+CES!H35+LLT!H35+GB!H35</f>
        <v>0</v>
      </c>
      <c r="I35" s="7">
        <f>CEO!I35+CS!I35+CFO!I35+LLA!I35+'C&amp;E'!I35+CES!I35+LLT!I35+GB!I35</f>
        <v>0</v>
      </c>
      <c r="J35" s="7">
        <f>CEO!J35+CS!J35+CFO!J35+LLA!J35+'C&amp;E'!J35+CES!J35+LLT!J35+GB!J35</f>
        <v>0</v>
      </c>
      <c r="K35" s="7">
        <f>CEO!K35+CS!K35+CFO!K35+LLA!K35+'C&amp;E'!K35+CES!K35+LLT!K35+GB!K35</f>
        <v>0</v>
      </c>
      <c r="L35" s="7">
        <f>CEO!L35+CS!L35+CFO!L35+LLA!L35+'C&amp;E'!L35+CES!L35+LLT!L35+GB!L35</f>
        <v>0</v>
      </c>
      <c r="M35" s="13" t="s">
        <v>436</v>
      </c>
      <c r="N35" s="7">
        <f t="shared" si="25"/>
        <v>0</v>
      </c>
      <c r="O35" s="7">
        <f t="shared" si="26"/>
        <v>0</v>
      </c>
      <c r="P35" s="7">
        <f t="shared" si="4"/>
        <v>0</v>
      </c>
      <c r="Q35" s="7">
        <f>CEO!Q35+CS!Q35+CFO!Q35+LLA!Q35+'C&amp;E'!Q35+CES!Q35+LLT!Q35+GB!Q35</f>
        <v>0</v>
      </c>
      <c r="R35" s="7">
        <f t="shared" si="27"/>
        <v>0</v>
      </c>
      <c r="S35" s="7">
        <v>0</v>
      </c>
      <c r="T35" s="7">
        <f>CEO!T35+CS!T35+CFO!T35+LLA!T35+'C&amp;E'!T35+CES!T35+LLT!T35+GB!T35</f>
        <v>0</v>
      </c>
      <c r="U35" s="7">
        <f t="shared" si="7"/>
        <v>0</v>
      </c>
      <c r="V35" s="7">
        <f t="shared" si="6"/>
        <v>0</v>
      </c>
      <c r="W35" s="7"/>
      <c r="X35" s="7">
        <f>CEO!Q35+CS!Q35+CFO!Q35+LLA!Q35+'C&amp;E'!Q35+CES!Q35+LLT!Q35+GB!Q35</f>
        <v>0</v>
      </c>
      <c r="Y35" s="7">
        <f t="shared" si="28"/>
        <v>0</v>
      </c>
      <c r="Z35" s="7">
        <v>0</v>
      </c>
      <c r="AA35" s="7">
        <f t="shared" si="29"/>
        <v>0</v>
      </c>
      <c r="AC35" s="295">
        <f t="shared" si="30"/>
        <v>0</v>
      </c>
    </row>
    <row r="36" spans="1:29" x14ac:dyDescent="0.3">
      <c r="A36" s="7">
        <f>CEO!A36+CS!A36+CFO!A36+LLA!A36+'C&amp;E'!A36+CES!A36+LLT!A36+GB!A36</f>
        <v>0</v>
      </c>
      <c r="B36" s="7">
        <f>CEO!B36+CS!B36+CFO!B36+LLA!B36+'C&amp;E'!B36+CES!B36+LLT!B36+GB!B36</f>
        <v>0</v>
      </c>
      <c r="C36" s="7">
        <f>CEO!C36+CS!C36+CFO!C36+LLA!C36+'C&amp;E'!C36+CES!C36+LLT!C36+GB!C36</f>
        <v>0</v>
      </c>
      <c r="D36" s="7">
        <f>CEO!D36+CS!D36+CFO!D36+LLA!D36+'C&amp;E'!D36+CES!D36+LLT!D36+GB!D36</f>
        <v>0</v>
      </c>
      <c r="E36" s="7">
        <f>CEO!E36+CS!E36+CFO!E36+LLA!E36+'C&amp;E'!E36+CES!E36+LLT!E36+GB!E36</f>
        <v>0</v>
      </c>
      <c r="F36" s="7">
        <f>CEO!F36+CS!F36+CFO!F36+LLA!F36+'C&amp;E'!F36+CES!F36+LLT!F36+GB!F36</f>
        <v>0</v>
      </c>
      <c r="G36" s="7">
        <f>CEO!G36+CS!G36+CFO!G36+LLA!G36+'C&amp;E'!G36+CES!G36+LLT!G36+GB!G36</f>
        <v>0</v>
      </c>
      <c r="H36" s="7">
        <f>CEO!H36+CS!H36+CFO!H36+LLA!H36+'C&amp;E'!H36+CES!H36+LLT!H36+GB!H36</f>
        <v>0</v>
      </c>
      <c r="I36" s="7">
        <f>CEO!I36+CS!I36+CFO!I36+LLA!I36+'C&amp;E'!I36+CES!I36+LLT!I36+GB!I36</f>
        <v>0</v>
      </c>
      <c r="J36" s="7">
        <f>CEO!J36+CS!J36+CFO!J36+LLA!J36+'C&amp;E'!J36+CES!J36+LLT!J36+GB!J36</f>
        <v>0</v>
      </c>
      <c r="K36" s="7">
        <f>CEO!K36+CS!K36+CFO!K36+LLA!K36+'C&amp;E'!K36+CES!K36+LLT!K36+GB!K36</f>
        <v>0</v>
      </c>
      <c r="L36" s="7">
        <f>CEO!L36+CS!L36+CFO!L36+LLA!L36+'C&amp;E'!L36+CES!L36+LLT!L36+GB!L36</f>
        <v>0</v>
      </c>
      <c r="M36" s="13" t="s">
        <v>437</v>
      </c>
      <c r="N36" s="7">
        <f t="shared" si="25"/>
        <v>0</v>
      </c>
      <c r="O36" s="7">
        <f t="shared" si="26"/>
        <v>0</v>
      </c>
      <c r="P36" s="7">
        <f t="shared" si="4"/>
        <v>0</v>
      </c>
      <c r="Q36" s="7">
        <f>CEO!Q36+CS!Q36+CFO!Q36+LLA!Q36+'C&amp;E'!Q36+CES!Q36+LLT!Q36+GB!Q36</f>
        <v>0</v>
      </c>
      <c r="R36" s="7">
        <f t="shared" si="27"/>
        <v>0</v>
      </c>
      <c r="S36" s="7">
        <v>29007.000000000007</v>
      </c>
      <c r="T36" s="7">
        <f>CEO!T36+CS!T36+CFO!T36+LLA!T36+'C&amp;E'!T36+CES!T36+LLT!T36+GB!T36</f>
        <v>82465</v>
      </c>
      <c r="U36" s="7">
        <f t="shared" si="7"/>
        <v>111472</v>
      </c>
      <c r="V36" s="7">
        <f t="shared" si="6"/>
        <v>111472</v>
      </c>
      <c r="W36" s="7"/>
      <c r="X36" s="7">
        <f>CEO!Q36+CS!Q36+CFO!Q36+LLA!Q36+'C&amp;E'!Q36+CES!Q36+LLT!Q36+GB!Q36</f>
        <v>0</v>
      </c>
      <c r="Y36" s="7">
        <f t="shared" si="28"/>
        <v>0</v>
      </c>
      <c r="Z36" s="7">
        <v>0</v>
      </c>
      <c r="AA36" s="7">
        <f t="shared" si="29"/>
        <v>0</v>
      </c>
      <c r="AC36" s="295">
        <f t="shared" si="30"/>
        <v>0</v>
      </c>
    </row>
    <row r="37" spans="1:29" x14ac:dyDescent="0.3">
      <c r="A37" s="7">
        <f>CEO!A37+CS!A37+CFO!A37+LLA!A37+'C&amp;E'!A37+CES!A37+LLT!A37+GB!A37</f>
        <v>23763.4</v>
      </c>
      <c r="B37" s="7">
        <f>CEO!B37+CS!B37+CFO!B37+LLA!B37+'C&amp;E'!B37+CES!B37+LLT!B37+GB!B37</f>
        <v>23763.4</v>
      </c>
      <c r="C37" s="7">
        <f>CEO!C37+CS!C37+CFO!C37+LLA!C37+'C&amp;E'!C37+CES!C37+LLT!C37+GB!C37</f>
        <v>23763.4</v>
      </c>
      <c r="D37" s="7">
        <f>CEO!D37+CS!D37+CFO!D37+LLA!D37+'C&amp;E'!D37+CES!D37+LLT!D37+GB!D37</f>
        <v>23763.4</v>
      </c>
      <c r="E37" s="7">
        <f>CEO!E37+CS!E37+CFO!E37+LLA!E37+'C&amp;E'!E37+CES!E37+LLT!E37+GB!E37</f>
        <v>23763.4</v>
      </c>
      <c r="F37" s="7">
        <f>CEO!F37+CS!F37+CFO!F37+LLA!F37+'C&amp;E'!F37+CES!F37+LLT!F37+GB!F37</f>
        <v>23763.4</v>
      </c>
      <c r="G37" s="7">
        <f>CEO!G37+CS!G37+CFO!G37+LLA!G37+'C&amp;E'!G37+CES!G37+LLT!G37+GB!G37</f>
        <v>23763.4</v>
      </c>
      <c r="H37" s="7">
        <f>CEO!H37+CS!H37+CFO!H37+LLA!H37+'C&amp;E'!H37+CES!H37+LLT!H37+GB!H37</f>
        <v>23763.4</v>
      </c>
      <c r="I37" s="7">
        <f>CEO!I37+CS!I37+CFO!I37+LLA!I37+'C&amp;E'!I37+CES!I37+LLT!I37+GB!I37</f>
        <v>23763.4</v>
      </c>
      <c r="J37" s="7">
        <f>CEO!J37+CS!J37+CFO!J37+LLA!J37+'C&amp;E'!J37+CES!J37+LLT!J37+GB!J37</f>
        <v>23763.4</v>
      </c>
      <c r="K37" s="7">
        <f>CEO!K37+CS!K37+CFO!K37+LLA!K37+'C&amp;E'!K37+CES!K37+LLT!K37+GB!K37</f>
        <v>23763.4</v>
      </c>
      <c r="L37" s="7">
        <f>CEO!L37+CS!L37+CFO!L37+LLA!L37+'C&amp;E'!L37+CES!L37+LLT!L37+GB!L37</f>
        <v>23766.400000000001</v>
      </c>
      <c r="M37" s="390" t="s">
        <v>438</v>
      </c>
      <c r="N37" s="7">
        <f t="shared" si="25"/>
        <v>0</v>
      </c>
      <c r="O37" s="7">
        <f t="shared" si="26"/>
        <v>285163.8</v>
      </c>
      <c r="P37" s="7">
        <f t="shared" si="4"/>
        <v>285163.8</v>
      </c>
      <c r="Q37" s="7">
        <f>CEO!Q37+CS!Q37+CFO!Q37+LLA!Q37+'C&amp;E'!Q37+CES!Q37+LLT!Q37+GB!Q37</f>
        <v>285163.8</v>
      </c>
      <c r="R37" s="7">
        <f t="shared" si="27"/>
        <v>0</v>
      </c>
      <c r="S37" s="7">
        <v>-59299</v>
      </c>
      <c r="T37" s="7">
        <f>CEO!T37+CS!T37+CFO!T37+LLA!T37+'C&amp;E'!T37+CES!T37+LLT!T37+GB!T37</f>
        <v>19640</v>
      </c>
      <c r="U37" s="7">
        <f t="shared" si="7"/>
        <v>245504.8</v>
      </c>
      <c r="V37" s="7">
        <f t="shared" si="6"/>
        <v>-39659</v>
      </c>
      <c r="W37" s="7"/>
      <c r="X37" s="7">
        <f>CEO!Q37+CS!Q37+CFO!Q37+LLA!Q37+'C&amp;E'!Q37+CES!Q37+LLT!Q37+GB!Q37</f>
        <v>285163.8</v>
      </c>
      <c r="Y37" s="7">
        <f t="shared" si="28"/>
        <v>0</v>
      </c>
      <c r="Z37" s="7">
        <v>285163.94817103999</v>
      </c>
      <c r="AA37" s="7">
        <f t="shared" si="29"/>
        <v>298566.65373507887</v>
      </c>
      <c r="AC37" s="295">
        <f t="shared" si="30"/>
        <v>-0.1481710399966687</v>
      </c>
    </row>
    <row r="38" spans="1:29" x14ac:dyDescent="0.3">
      <c r="A38" s="7">
        <f>CEO!A38+CS!A38+CFO!A38+LLA!A38+'C&amp;E'!A38+CES!A38+LLT!A38+GB!A38</f>
        <v>249170.38400000002</v>
      </c>
      <c r="B38" s="7">
        <f>CEO!B38+CS!B38+CFO!B38+LLA!B38+'C&amp;E'!B38+CES!B38+LLT!B38+GB!B38</f>
        <v>249170.38400000002</v>
      </c>
      <c r="C38" s="7">
        <f>CEO!C38+CS!C38+CFO!C38+LLA!C38+'C&amp;E'!C38+CES!C38+LLT!C38+GB!C38</f>
        <v>249170.38400000002</v>
      </c>
      <c r="D38" s="7">
        <f>CEO!D38+CS!D38+CFO!D38+LLA!D38+'C&amp;E'!D38+CES!D38+LLT!D38+GB!D38</f>
        <v>249170.38400000002</v>
      </c>
      <c r="E38" s="7">
        <f>CEO!E38+CS!E38+CFO!E38+LLA!E38+'C&amp;E'!E38+CES!E38+LLT!E38+GB!E38</f>
        <v>249170.38400000002</v>
      </c>
      <c r="F38" s="7">
        <f>CEO!F38+CS!F38+CFO!F38+LLA!F38+'C&amp;E'!F38+CES!F38+LLT!F38+GB!F38</f>
        <v>249170.38400000002</v>
      </c>
      <c r="G38" s="7">
        <f>CEO!G38+CS!G38+CFO!G38+LLA!G38+'C&amp;E'!G38+CES!G38+LLT!G38+GB!G38</f>
        <v>249170.38400000002</v>
      </c>
      <c r="H38" s="7">
        <f>CEO!H38+CS!H38+CFO!H38+LLA!H38+'C&amp;E'!H38+CES!H38+LLT!H38+GB!H38</f>
        <v>249170.38400000002</v>
      </c>
      <c r="I38" s="7">
        <f>CEO!I38+CS!I38+CFO!I38+LLA!I38+'C&amp;E'!I38+CES!I38+LLT!I38+GB!I38</f>
        <v>249170.38400000002</v>
      </c>
      <c r="J38" s="7">
        <f>CEO!J38+CS!J38+CFO!J38+LLA!J38+'C&amp;E'!J38+CES!J38+LLT!J38+GB!J38</f>
        <v>249170.38400000002</v>
      </c>
      <c r="K38" s="7">
        <f>CEO!K38+CS!K38+CFO!K38+LLA!K38+'C&amp;E'!K38+CES!K38+LLT!K38+GB!K38</f>
        <v>249170.38400000002</v>
      </c>
      <c r="L38" s="7">
        <f>CEO!L38+CS!L38+CFO!L38+LLA!L38+'C&amp;E'!L38+CES!L38+LLT!L38+GB!L38</f>
        <v>249175.59255999926</v>
      </c>
      <c r="M38" s="13" t="s">
        <v>439</v>
      </c>
      <c r="N38" s="7">
        <f t="shared" si="25"/>
        <v>0</v>
      </c>
      <c r="O38" s="7">
        <f t="shared" si="26"/>
        <v>2990049.8165599997</v>
      </c>
      <c r="P38" s="7">
        <f t="shared" si="4"/>
        <v>2990049.8165599997</v>
      </c>
      <c r="Q38" s="7">
        <f>CEO!Q38+CS!Q38+CFO!Q38+LLA!Q38+'C&amp;E'!Q38+CES!Q38+LLT!Q38+GB!Q38</f>
        <v>2990049.8165599997</v>
      </c>
      <c r="R38" s="7">
        <f t="shared" si="27"/>
        <v>0</v>
      </c>
      <c r="S38" s="7">
        <v>271756.81000000006</v>
      </c>
      <c r="T38" s="7">
        <f>CEO!T38+CS!T38+CFO!T38+LLA!T38+'C&amp;E'!T38+CES!T38+LLT!T38+GB!T38</f>
        <v>0</v>
      </c>
      <c r="U38" s="7">
        <f t="shared" si="7"/>
        <v>3261806.6265599998</v>
      </c>
      <c r="V38" s="7">
        <f t="shared" si="6"/>
        <v>271756.81000000006</v>
      </c>
      <c r="W38" s="7"/>
      <c r="X38" s="7">
        <f>CEO!Q38+CS!Q38+CFO!Q38+LLA!Q38+'C&amp;E'!Q38+CES!Q38+LLT!Q38+GB!Q38</f>
        <v>2990049.8165599997</v>
      </c>
      <c r="Y38" s="7">
        <f t="shared" si="28"/>
        <v>0</v>
      </c>
      <c r="Z38" s="7">
        <v>2990049.8165599997</v>
      </c>
      <c r="AA38" s="7">
        <f t="shared" si="29"/>
        <v>3130582.1579383197</v>
      </c>
      <c r="AC38" s="295">
        <f t="shared" si="30"/>
        <v>0</v>
      </c>
    </row>
    <row r="39" spans="1:29" x14ac:dyDescent="0.3">
      <c r="A39" s="7">
        <f>CEO!A39+CS!A39+CFO!A39+LLA!A39+'C&amp;E'!A39+CES!A39+LLT!A39+GB!A39</f>
        <v>60451.784</v>
      </c>
      <c r="B39" s="7">
        <f>CEO!B39+CS!B39+CFO!B39+LLA!B39+'C&amp;E'!B39+CES!B39+LLT!B39+GB!B39</f>
        <v>60451.784</v>
      </c>
      <c r="C39" s="7">
        <f>CEO!C39+CS!C39+CFO!C39+LLA!C39+'C&amp;E'!C39+CES!C39+LLT!C39+GB!C39</f>
        <v>60451.784</v>
      </c>
      <c r="D39" s="7">
        <f>CEO!D39+CS!D39+CFO!D39+LLA!D39+'C&amp;E'!D39+CES!D39+LLT!D39+GB!D39</f>
        <v>60451.784</v>
      </c>
      <c r="E39" s="7">
        <f>CEO!E39+CS!E39+CFO!E39+LLA!E39+'C&amp;E'!E39+CES!E39+LLT!E39+GB!E39</f>
        <v>60451.784</v>
      </c>
      <c r="F39" s="7">
        <f>CEO!F39+CS!F39+CFO!F39+LLA!F39+'C&amp;E'!F39+CES!F39+LLT!F39+GB!F39</f>
        <v>60451.784</v>
      </c>
      <c r="G39" s="7">
        <f>CEO!G39+CS!G39+CFO!G39+LLA!G39+'C&amp;E'!G39+CES!G39+LLT!G39+GB!G39</f>
        <v>60451.784</v>
      </c>
      <c r="H39" s="7">
        <f>CEO!H39+CS!H39+CFO!H39+LLA!H39+'C&amp;E'!H39+CES!H39+LLT!H39+GB!H39</f>
        <v>60451.784</v>
      </c>
      <c r="I39" s="7">
        <f>CEO!I39+CS!I39+CFO!I39+LLA!I39+'C&amp;E'!I39+CES!I39+LLT!I39+GB!I39</f>
        <v>60451.784</v>
      </c>
      <c r="J39" s="7">
        <f>CEO!J39+CS!J39+CFO!J39+LLA!J39+'C&amp;E'!J39+CES!J39+LLT!J39+GB!J39</f>
        <v>60451.784</v>
      </c>
      <c r="K39" s="7">
        <f>CEO!K39+CS!K39+CFO!K39+LLA!K39+'C&amp;E'!K39+CES!K39+LLT!K39+GB!K39</f>
        <v>60451.784</v>
      </c>
      <c r="L39" s="7">
        <f>CEO!L39+CS!L39+CFO!L39+LLA!L39+'C&amp;E'!L39+CES!L39+LLT!L39+GB!L39</f>
        <v>60453.259586096057</v>
      </c>
      <c r="M39" s="13" t="s">
        <v>440</v>
      </c>
      <c r="N39" s="7">
        <f t="shared" si="25"/>
        <v>0</v>
      </c>
      <c r="O39" s="7">
        <f t="shared" si="26"/>
        <v>725422.883586096</v>
      </c>
      <c r="P39" s="7">
        <f t="shared" si="4"/>
        <v>725422.883586096</v>
      </c>
      <c r="Q39" s="7">
        <f>CEO!Q39+CS!Q39+CFO!Q39+LLA!Q39+'C&amp;E'!Q39+CES!Q39+LLT!Q39+GB!Q39</f>
        <v>725422.883586096</v>
      </c>
      <c r="R39" s="7">
        <f t="shared" si="27"/>
        <v>0</v>
      </c>
      <c r="S39" s="7">
        <v>0</v>
      </c>
      <c r="T39" s="7">
        <f>CEO!T39+CS!T39+CFO!T39+LLA!T39+'C&amp;E'!T39+CES!T39+LLT!T39+GB!T39</f>
        <v>30000</v>
      </c>
      <c r="U39" s="7">
        <f t="shared" si="7"/>
        <v>755422.883586096</v>
      </c>
      <c r="V39" s="7">
        <f t="shared" si="6"/>
        <v>30000</v>
      </c>
      <c r="W39" s="7"/>
      <c r="X39" s="7">
        <f>CEO!Q39+CS!Q39+CFO!Q39+LLA!Q39+'C&amp;E'!Q39+CES!Q39+LLT!Q39+GB!Q39</f>
        <v>725422.883586096</v>
      </c>
      <c r="Y39" s="7">
        <f t="shared" si="28"/>
        <v>0</v>
      </c>
      <c r="Z39" s="7">
        <v>725422.883586096</v>
      </c>
      <c r="AA39" s="7">
        <f t="shared" si="29"/>
        <v>759517.75911464251</v>
      </c>
      <c r="AC39" s="295">
        <f t="shared" si="30"/>
        <v>0</v>
      </c>
    </row>
    <row r="40" spans="1:29" x14ac:dyDescent="0.3">
      <c r="A40" s="7">
        <f>CEO!A40+CS!A40+CFO!A40+LLA!A40+'C&amp;E'!A40+CES!A40+LLT!A40+GB!A40</f>
        <v>1180.048</v>
      </c>
      <c r="B40" s="7">
        <f>CEO!B40+CS!B40+CFO!B40+LLA!B40+'C&amp;E'!B40+CES!B40+LLT!B40+GB!B40</f>
        <v>1180.048</v>
      </c>
      <c r="C40" s="7">
        <f>CEO!C40+CS!C40+CFO!C40+LLA!C40+'C&amp;E'!C40+CES!C40+LLT!C40+GB!C40</f>
        <v>1180.048</v>
      </c>
      <c r="D40" s="7">
        <f>CEO!D40+CS!D40+CFO!D40+LLA!D40+'C&amp;E'!D40+CES!D40+LLT!D40+GB!D40</f>
        <v>1180.048</v>
      </c>
      <c r="E40" s="7">
        <f>CEO!E40+CS!E40+CFO!E40+LLA!E40+'C&amp;E'!E40+CES!E40+LLT!E40+GB!E40</f>
        <v>1180.048</v>
      </c>
      <c r="F40" s="7">
        <f>CEO!F40+CS!F40+CFO!F40+LLA!F40+'C&amp;E'!F40+CES!F40+LLT!F40+GB!F40</f>
        <v>1180.048</v>
      </c>
      <c r="G40" s="7">
        <f>CEO!G40+CS!G40+CFO!G40+LLA!G40+'C&amp;E'!G40+CES!G40+LLT!G40+GB!G40</f>
        <v>1180.048</v>
      </c>
      <c r="H40" s="7">
        <f>CEO!H40+CS!H40+CFO!H40+LLA!H40+'C&amp;E'!H40+CES!H40+LLT!H40+GB!H40</f>
        <v>1180.048</v>
      </c>
      <c r="I40" s="7">
        <f>CEO!I40+CS!I40+CFO!I40+LLA!I40+'C&amp;E'!I40+CES!I40+LLT!I40+GB!I40</f>
        <v>1180.048</v>
      </c>
      <c r="J40" s="7">
        <f>CEO!J40+CS!J40+CFO!J40+LLA!J40+'C&amp;E'!J40+CES!J40+LLT!J40+GB!J40</f>
        <v>1180.048</v>
      </c>
      <c r="K40" s="7">
        <f>CEO!K40+CS!K40+CFO!K40+LLA!K40+'C&amp;E'!K40+CES!K40+LLT!K40+GB!K40</f>
        <v>1180.048</v>
      </c>
      <c r="L40" s="7">
        <f>CEO!L40+CS!L40+CFO!L40+LLA!L40+'C&amp;E'!L40+CES!L40+LLT!L40+GB!L40</f>
        <v>1184.7884453126419</v>
      </c>
      <c r="M40" s="13" t="s">
        <v>441</v>
      </c>
      <c r="N40" s="7">
        <f t="shared" si="25"/>
        <v>0</v>
      </c>
      <c r="O40" s="7">
        <f t="shared" si="26"/>
        <v>14165.316445312645</v>
      </c>
      <c r="P40" s="7">
        <f t="shared" si="4"/>
        <v>14165.316445312645</v>
      </c>
      <c r="Q40" s="7">
        <f>CEO!Q40+CS!Q40+CFO!Q40+LLA!Q40+'C&amp;E'!Q40+CES!Q40+LLT!Q40+GB!Q40</f>
        <v>14165.316445312645</v>
      </c>
      <c r="R40" s="7">
        <f t="shared" si="27"/>
        <v>0</v>
      </c>
      <c r="S40" s="7">
        <v>-6745</v>
      </c>
      <c r="T40" s="7">
        <f>CEO!T40+CS!T40+CFO!T40+LLA!T40+'C&amp;E'!T40+CES!T40+LLT!T40+GB!T40</f>
        <v>0</v>
      </c>
      <c r="U40" s="7">
        <f t="shared" si="7"/>
        <v>7420.3164453126446</v>
      </c>
      <c r="V40" s="7">
        <f t="shared" si="6"/>
        <v>-6745</v>
      </c>
      <c r="W40" s="7"/>
      <c r="X40" s="7">
        <f>CEO!Q40+CS!Q40+CFO!Q40+LLA!Q40+'C&amp;E'!Q40+CES!Q40+LLT!Q40+GB!Q40</f>
        <v>14165.316445312645</v>
      </c>
      <c r="Y40" s="7">
        <f t="shared" si="28"/>
        <v>0</v>
      </c>
      <c r="Z40" s="7">
        <v>14165.316445312643</v>
      </c>
      <c r="AA40" s="7">
        <f t="shared" si="29"/>
        <v>14831.086318242336</v>
      </c>
      <c r="AC40" s="295">
        <f t="shared" si="30"/>
        <v>0</v>
      </c>
    </row>
    <row r="41" spans="1:29" x14ac:dyDescent="0.3">
      <c r="A41" s="7">
        <f>CEO!A41+CS!A41+CFO!A41+LLA!A41+'C&amp;E'!A41+CES!A41+LLT!A41+GB!A41</f>
        <v>19656.288</v>
      </c>
      <c r="B41" s="7">
        <f>CEO!B41+CS!B41+CFO!B41+LLA!B41+'C&amp;E'!B41+CES!B41+LLT!B41+GB!B41</f>
        <v>19656.288</v>
      </c>
      <c r="C41" s="7">
        <f>CEO!C41+CS!C41+CFO!C41+LLA!C41+'C&amp;E'!C41+CES!C41+LLT!C41+GB!C41</f>
        <v>19656.288</v>
      </c>
      <c r="D41" s="7">
        <f>CEO!D41+CS!D41+CFO!D41+LLA!D41+'C&amp;E'!D41+CES!D41+LLT!D41+GB!D41</f>
        <v>19656.288</v>
      </c>
      <c r="E41" s="7">
        <f>CEO!E41+CS!E41+CFO!E41+LLA!E41+'C&amp;E'!E41+CES!E41+LLT!E41+GB!E41</f>
        <v>19656.288</v>
      </c>
      <c r="F41" s="7">
        <f>CEO!F41+CS!F41+CFO!F41+LLA!F41+'C&amp;E'!F41+CES!F41+LLT!F41+GB!F41</f>
        <v>19656.288</v>
      </c>
      <c r="G41" s="7">
        <f>CEO!G41+CS!G41+CFO!G41+LLA!G41+'C&amp;E'!G41+CES!G41+LLT!G41+GB!G41</f>
        <v>19656.288</v>
      </c>
      <c r="H41" s="7">
        <f>CEO!H41+CS!H41+CFO!H41+LLA!H41+'C&amp;E'!H41+CES!H41+LLT!H41+GB!H41</f>
        <v>19656.288</v>
      </c>
      <c r="I41" s="7">
        <f>CEO!I41+CS!I41+CFO!I41+LLA!I41+'C&amp;E'!I41+CES!I41+LLT!I41+GB!I41</f>
        <v>19656.288</v>
      </c>
      <c r="J41" s="7">
        <f>CEO!J41+CS!J41+CFO!J41+LLA!J41+'C&amp;E'!J41+CES!J41+LLT!J41+GB!J41</f>
        <v>19656.288</v>
      </c>
      <c r="K41" s="7">
        <f>CEO!K41+CS!K41+CFO!K41+LLA!K41+'C&amp;E'!K41+CES!K41+LLT!K41+GB!K41</f>
        <v>19656.288</v>
      </c>
      <c r="L41" s="7">
        <f>CEO!L41+CS!L41+CFO!L41+LLA!L41+'C&amp;E'!L41+CES!L41+LLT!L41+GB!L41</f>
        <v>19653.382450392004</v>
      </c>
      <c r="M41" s="13" t="s">
        <v>442</v>
      </c>
      <c r="N41" s="7">
        <f t="shared" si="25"/>
        <v>0</v>
      </c>
      <c r="O41" s="7">
        <f t="shared" si="26"/>
        <v>235872.55045039201</v>
      </c>
      <c r="P41" s="7">
        <f t="shared" si="4"/>
        <v>235872.55045039201</v>
      </c>
      <c r="Q41" s="7">
        <f>CEO!Q41+CS!Q41+CFO!Q41+LLA!Q41+'C&amp;E'!Q41+CES!Q41+LLT!Q41+GB!Q41</f>
        <v>235872.55045039201</v>
      </c>
      <c r="R41" s="7">
        <f t="shared" si="27"/>
        <v>0</v>
      </c>
      <c r="S41" s="7">
        <v>2966</v>
      </c>
      <c r="T41" s="7">
        <f>CEO!T41+CS!T41+CFO!T41+LLA!T41+'C&amp;E'!T41+CES!T41+LLT!T41+GB!T41</f>
        <v>1</v>
      </c>
      <c r="U41" s="7">
        <f t="shared" si="7"/>
        <v>238839.55045039201</v>
      </c>
      <c r="V41" s="7">
        <f t="shared" si="6"/>
        <v>2967</v>
      </c>
      <c r="W41" s="7"/>
      <c r="X41" s="7">
        <f>CEO!Q41+CS!Q41+CFO!Q41+LLA!Q41+'C&amp;E'!Q41+CES!Q41+LLT!Q41+GB!Q41</f>
        <v>235872.55045039201</v>
      </c>
      <c r="Y41" s="7">
        <f t="shared" si="28"/>
        <v>0</v>
      </c>
      <c r="Z41" s="7">
        <v>235872.55045039201</v>
      </c>
      <c r="AA41" s="7">
        <f t="shared" si="29"/>
        <v>246958.56032156042</v>
      </c>
      <c r="AC41" s="295">
        <f t="shared" si="30"/>
        <v>0</v>
      </c>
    </row>
    <row r="42" spans="1:29" x14ac:dyDescent="0.3">
      <c r="A42" s="7">
        <f>CEO!A42+CS!A42+CFO!A42+LLA!A42+'C&amp;E'!A42+CES!A42+LLT!A42+GB!A42</f>
        <v>13516.056</v>
      </c>
      <c r="B42" s="7">
        <f>CEO!B42+CS!B42+CFO!B42+LLA!B42+'C&amp;E'!B42+CES!B42+LLT!B42+GB!B42</f>
        <v>13516.056</v>
      </c>
      <c r="C42" s="7">
        <f>CEO!C42+CS!C42+CFO!C42+LLA!C42+'C&amp;E'!C42+CES!C42+LLT!C42+GB!C42</f>
        <v>13516.056</v>
      </c>
      <c r="D42" s="7">
        <f>CEO!D42+CS!D42+CFO!D42+LLA!D42+'C&amp;E'!D42+CES!D42+LLT!D42+GB!D42</f>
        <v>13516.056</v>
      </c>
      <c r="E42" s="7">
        <f>CEO!E42+CS!E42+CFO!E42+LLA!E42+'C&amp;E'!E42+CES!E42+LLT!E42+GB!E42</f>
        <v>13516.056</v>
      </c>
      <c r="F42" s="7">
        <f>CEO!F42+CS!F42+CFO!F42+LLA!F42+'C&amp;E'!F42+CES!F42+LLT!F42+GB!F42</f>
        <v>13516.056</v>
      </c>
      <c r="G42" s="7">
        <f>CEO!G42+CS!G42+CFO!G42+LLA!G42+'C&amp;E'!G42+CES!G42+LLT!G42+GB!G42</f>
        <v>13516.056</v>
      </c>
      <c r="H42" s="7">
        <f>CEO!H42+CS!H42+CFO!H42+LLA!H42+'C&amp;E'!H42+CES!H42+LLT!H42+GB!H42</f>
        <v>13516.056</v>
      </c>
      <c r="I42" s="7">
        <f>CEO!I42+CS!I42+CFO!I42+LLA!I42+'C&amp;E'!I42+CES!I42+LLT!I42+GB!I42</f>
        <v>13516.056</v>
      </c>
      <c r="J42" s="7">
        <f>CEO!J42+CS!J42+CFO!J42+LLA!J42+'C&amp;E'!J42+CES!J42+LLT!J42+GB!J42</f>
        <v>13516.056</v>
      </c>
      <c r="K42" s="7">
        <f>CEO!K42+CS!K42+CFO!K42+LLA!K42+'C&amp;E'!K42+CES!K42+LLT!K42+GB!K42</f>
        <v>13516.056</v>
      </c>
      <c r="L42" s="7">
        <f>CEO!L42+CS!L42+CFO!L42+LLA!L42+'C&amp;E'!L42+CES!L42+LLT!L42+GB!L42</f>
        <v>13518.053729039984</v>
      </c>
      <c r="M42" s="13" t="s">
        <v>443</v>
      </c>
      <c r="N42" s="7">
        <f t="shared" si="25"/>
        <v>0</v>
      </c>
      <c r="O42" s="7">
        <f t="shared" si="26"/>
        <v>162194.66972904</v>
      </c>
      <c r="P42" s="7">
        <f t="shared" si="4"/>
        <v>162194.66972904</v>
      </c>
      <c r="Q42" s="7">
        <f>CEO!Q42+CS!Q42+CFO!Q42+LLA!Q42+'C&amp;E'!Q42+CES!Q42+LLT!Q42+GB!Q42</f>
        <v>162194.66972904</v>
      </c>
      <c r="R42" s="7">
        <f t="shared" si="27"/>
        <v>0</v>
      </c>
      <c r="S42" s="7">
        <v>-292461</v>
      </c>
      <c r="T42" s="7">
        <f>CEO!T42+CS!T42+CFO!T42+LLA!T42+'C&amp;E'!T42+CES!T42+LLT!T42+GB!T42</f>
        <v>0</v>
      </c>
      <c r="U42" s="7">
        <f t="shared" si="7"/>
        <v>-130266.33027096</v>
      </c>
      <c r="V42" s="7">
        <f t="shared" si="6"/>
        <v>-292461</v>
      </c>
      <c r="W42" s="7"/>
      <c r="X42" s="7">
        <f>CEO!Q42+CS!Q42+CFO!Q42+LLA!Q42+'C&amp;E'!Q42+CES!Q42+LLT!Q42+GB!Q42</f>
        <v>162194.66972904</v>
      </c>
      <c r="Y42" s="7">
        <f t="shared" si="28"/>
        <v>0</v>
      </c>
      <c r="Z42" s="7">
        <v>162194.66972903998</v>
      </c>
      <c r="AA42" s="7">
        <f t="shared" si="29"/>
        <v>169817.81920630485</v>
      </c>
      <c r="AC42" s="295">
        <f t="shared" si="30"/>
        <v>0</v>
      </c>
    </row>
    <row r="43" spans="1:29" x14ac:dyDescent="0.3">
      <c r="A43" s="7">
        <f>CEO!A43+CS!A43+CFO!A43+LLA!A43+'C&amp;E'!A43+CES!A43+LLT!A43+GB!A43</f>
        <v>12851.624</v>
      </c>
      <c r="B43" s="7">
        <f>CEO!B43+CS!B43+CFO!B43+LLA!B43+'C&amp;E'!B43+CES!B43+LLT!B43+GB!B43</f>
        <v>12851.624</v>
      </c>
      <c r="C43" s="7">
        <f>CEO!C43+CS!C43+CFO!C43+LLA!C43+'C&amp;E'!C43+CES!C43+LLT!C43+GB!C43</f>
        <v>12851.624</v>
      </c>
      <c r="D43" s="7">
        <f>CEO!D43+CS!D43+CFO!D43+LLA!D43+'C&amp;E'!D43+CES!D43+LLT!D43+GB!D43</f>
        <v>12851.624</v>
      </c>
      <c r="E43" s="7">
        <f>CEO!E43+CS!E43+CFO!E43+LLA!E43+'C&amp;E'!E43+CES!E43+LLT!E43+GB!E43</f>
        <v>12851.624</v>
      </c>
      <c r="F43" s="7">
        <f>CEO!F43+CS!F43+CFO!F43+LLA!F43+'C&amp;E'!F43+CES!F43+LLT!F43+GB!F43</f>
        <v>12851.624</v>
      </c>
      <c r="G43" s="7">
        <f>CEO!G43+CS!G43+CFO!G43+LLA!G43+'C&amp;E'!G43+CES!G43+LLT!G43+GB!G43</f>
        <v>12851.624</v>
      </c>
      <c r="H43" s="7">
        <f>CEO!H43+CS!H43+CFO!H43+LLA!H43+'C&amp;E'!H43+CES!H43+LLT!H43+GB!H43</f>
        <v>12851.624</v>
      </c>
      <c r="I43" s="7">
        <f>CEO!I43+CS!I43+CFO!I43+LLA!I43+'C&amp;E'!I43+CES!I43+LLT!I43+GB!I43</f>
        <v>12851.624</v>
      </c>
      <c r="J43" s="7">
        <f>CEO!J43+CS!J43+CFO!J43+LLA!J43+'C&amp;E'!J43+CES!J43+LLT!J43+GB!J43</f>
        <v>12851.624</v>
      </c>
      <c r="K43" s="7">
        <f>CEO!K43+CS!K43+CFO!K43+LLA!K43+'C&amp;E'!K43+CES!K43+LLT!K43+GB!K43</f>
        <v>12851.624</v>
      </c>
      <c r="L43" s="7">
        <f>CEO!L43+CS!L43+CFO!L43+LLA!L43+'C&amp;E'!L43+CES!L43+LLT!L43+GB!L43</f>
        <v>12853.283843360015</v>
      </c>
      <c r="M43" s="13" t="s">
        <v>444</v>
      </c>
      <c r="N43" s="7">
        <f t="shared" si="25"/>
        <v>0</v>
      </c>
      <c r="O43" s="7">
        <f t="shared" si="26"/>
        <v>154221.14784336</v>
      </c>
      <c r="P43" s="7">
        <f t="shared" si="4"/>
        <v>154221.14784336</v>
      </c>
      <c r="Q43" s="7">
        <f>CEO!Q43+CS!Q43+CFO!Q43+LLA!Q43+'C&amp;E'!Q43+CES!Q43+LLT!Q43+GB!Q43</f>
        <v>154221.14784336</v>
      </c>
      <c r="R43" s="7">
        <f t="shared" si="27"/>
        <v>0</v>
      </c>
      <c r="S43" s="7">
        <v>-28298</v>
      </c>
      <c r="T43" s="7">
        <f>CEO!T43+CS!T43+CFO!T43+LLA!T43+'C&amp;E'!T43+CES!T43+LLT!T43+GB!T43</f>
        <v>8135</v>
      </c>
      <c r="U43" s="7">
        <f t="shared" si="7"/>
        <v>134058.14784336</v>
      </c>
      <c r="V43" s="7">
        <f t="shared" si="6"/>
        <v>-20163</v>
      </c>
      <c r="W43" s="7"/>
      <c r="X43" s="7">
        <f>CEO!Q43+CS!Q43+CFO!Q43+LLA!Q43+'C&amp;E'!Q43+CES!Q43+LLT!Q43+GB!Q43</f>
        <v>154221.14784336</v>
      </c>
      <c r="Y43" s="7">
        <f t="shared" si="28"/>
        <v>0</v>
      </c>
      <c r="Z43" s="7">
        <v>154221.14784336</v>
      </c>
      <c r="AA43" s="7">
        <f t="shared" si="29"/>
        <v>161469.54179199791</v>
      </c>
      <c r="AC43" s="295">
        <f t="shared" si="30"/>
        <v>0</v>
      </c>
    </row>
    <row r="44" spans="1:29" x14ac:dyDescent="0.3">
      <c r="A44" s="11">
        <f>CEO!A44+CS!A44+CFO!A44+LLA!A44+'C&amp;E'!A44+CES!A44+LLT!A44+GB!A44</f>
        <v>0</v>
      </c>
      <c r="B44" s="11">
        <f>CEO!B44+CS!B44+CFO!B44+LLA!B44+'C&amp;E'!B44+CES!B44+LLT!B44+GB!B44</f>
        <v>0</v>
      </c>
      <c r="C44" s="11">
        <f>CEO!C44+CS!C44+CFO!C44+LLA!C44+'C&amp;E'!C44+CES!C44+LLT!C44+GB!C44</f>
        <v>0</v>
      </c>
      <c r="D44" s="11">
        <f>CEO!D44+CS!D44+CFO!D44+LLA!D44+'C&amp;E'!D44+CES!D44+LLT!D44+GB!D44</f>
        <v>0</v>
      </c>
      <c r="E44" s="11">
        <f>CEO!E44+CS!E44+CFO!E44+LLA!E44+'C&amp;E'!E44+CES!E44+LLT!E44+GB!E44</f>
        <v>0</v>
      </c>
      <c r="F44" s="11">
        <f>CEO!F44+CS!F44+CFO!F44+LLA!F44+'C&amp;E'!F44+CES!F44+LLT!F44+GB!F44</f>
        <v>0</v>
      </c>
      <c r="G44" s="11">
        <f>CEO!G44+CS!G44+CFO!G44+LLA!G44+'C&amp;E'!G44+CES!G44+LLT!G44+GB!G44</f>
        <v>0</v>
      </c>
      <c r="H44" s="11">
        <f>CEO!H44+CS!H44+CFO!H44+LLA!H44+'C&amp;E'!H44+CES!H44+LLT!H44+GB!H44</f>
        <v>0</v>
      </c>
      <c r="I44" s="11">
        <f>CEO!I44+CS!I44+CFO!I44+LLA!I44+'C&amp;E'!I44+CES!I44+LLT!I44+GB!I44</f>
        <v>0</v>
      </c>
      <c r="J44" s="11">
        <f>CEO!J44+CS!J44+CFO!J44+LLA!J44+'C&amp;E'!J44+CES!J44+LLT!J44+GB!J44</f>
        <v>0</v>
      </c>
      <c r="K44" s="11">
        <f>CEO!K44+CS!K44+CFO!K44+LLA!K44+'C&amp;E'!K44+CES!K44+LLT!K44+GB!K44</f>
        <v>0</v>
      </c>
      <c r="L44" s="11">
        <f>CEO!L44+CS!L44+CFO!L44+LLA!L44+'C&amp;E'!L44+CES!L44+LLT!L44+GB!L44</f>
        <v>0</v>
      </c>
      <c r="M44" s="390" t="s">
        <v>113</v>
      </c>
      <c r="N44" s="11">
        <f t="shared" si="25"/>
        <v>0</v>
      </c>
      <c r="O44" s="11">
        <f t="shared" si="26"/>
        <v>0</v>
      </c>
      <c r="P44" s="11">
        <f t="shared" si="4"/>
        <v>0</v>
      </c>
      <c r="Q44" s="11">
        <f>CEO!Q44+CS!Q44+CFO!Q44+LLA!Q44+'C&amp;E'!Q44+CES!Q44+LLT!Q44+GB!Q44</f>
        <v>0</v>
      </c>
      <c r="R44" s="11">
        <f t="shared" si="27"/>
        <v>0</v>
      </c>
      <c r="S44" s="11">
        <v>0</v>
      </c>
      <c r="T44" s="11">
        <f>CEO!T44+CS!T44+CFO!T44+LLA!T44+'C&amp;E'!T44+CES!T44+LLT!T44+GB!T44</f>
        <v>0</v>
      </c>
      <c r="U44" s="11">
        <f t="shared" si="7"/>
        <v>0</v>
      </c>
      <c r="V44" s="11">
        <f t="shared" si="6"/>
        <v>0</v>
      </c>
      <c r="W44" s="11"/>
      <c r="X44" s="11">
        <f>CEO!Q44+CS!Q44+CFO!Q44+LLA!Q44+'C&amp;E'!Q44+CES!Q44+LLT!Q44+GB!Q44</f>
        <v>0</v>
      </c>
      <c r="Y44" s="11">
        <f t="shared" si="28"/>
        <v>0</v>
      </c>
      <c r="Z44" s="11">
        <v>0</v>
      </c>
      <c r="AA44" s="11">
        <f t="shared" si="29"/>
        <v>0</v>
      </c>
      <c r="AC44" s="295">
        <f t="shared" si="30"/>
        <v>0</v>
      </c>
    </row>
    <row r="45" spans="1:29" ht="4.2" customHeight="1" x14ac:dyDescent="0.3">
      <c r="A45" s="86"/>
      <c r="B45" s="86"/>
      <c r="C45" s="86"/>
      <c r="D45" s="85"/>
      <c r="E45" s="83"/>
      <c r="F45" s="83"/>
      <c r="G45" s="83"/>
      <c r="H45" s="83"/>
      <c r="I45" s="83"/>
      <c r="J45" s="83"/>
      <c r="K45" s="83"/>
      <c r="L45" s="83"/>
      <c r="M45" s="13"/>
      <c r="N45" s="83">
        <f t="shared" si="9"/>
        <v>0</v>
      </c>
      <c r="O45" s="83">
        <f t="shared" si="10"/>
        <v>0</v>
      </c>
      <c r="P45" s="83">
        <f t="shared" si="4"/>
        <v>0</v>
      </c>
      <c r="Q45" s="83"/>
      <c r="R45" s="83">
        <f t="shared" si="11"/>
        <v>0</v>
      </c>
      <c r="S45" s="83">
        <v>0</v>
      </c>
      <c r="T45" s="86">
        <f>CEO!T45+CS!T45+CFO!T45+LLA!T45+'C&amp;E'!T45+CES!T45+LLT!T45+GB!T45</f>
        <v>0</v>
      </c>
      <c r="U45" s="86">
        <f t="shared" si="7"/>
        <v>0</v>
      </c>
      <c r="V45" s="86">
        <f t="shared" si="6"/>
        <v>0</v>
      </c>
      <c r="W45" s="86"/>
      <c r="X45" s="83">
        <f>CEO!Q45+CS!Q45+CFO!Q45+LLA!Q45+'C&amp;E'!Q45+CES!Q45+LLT!Q45+GB!Q45</f>
        <v>0</v>
      </c>
      <c r="Y45" s="83">
        <f t="shared" si="12"/>
        <v>0</v>
      </c>
      <c r="Z45" s="83"/>
      <c r="AA45" s="83"/>
      <c r="AC45" s="295">
        <f t="shared" si="30"/>
        <v>0</v>
      </c>
    </row>
    <row r="46" spans="1:29" x14ac:dyDescent="0.3">
      <c r="A46" s="4">
        <f>SUM(A30:A44)</f>
        <v>502990.74400000001</v>
      </c>
      <c r="B46" s="4">
        <f>SUM(B30:B44)</f>
        <v>798505.95167999994</v>
      </c>
      <c r="C46" s="4">
        <f>SUM(C30:C44)</f>
        <v>974090.79559999984</v>
      </c>
      <c r="D46" s="4">
        <f t="shared" ref="D46:L46" si="31">SUM(D30:D44)</f>
        <v>1170862.4581600002</v>
      </c>
      <c r="E46" s="4">
        <f t="shared" si="31"/>
        <v>745303.31991999992</v>
      </c>
      <c r="F46" s="4">
        <f t="shared" si="31"/>
        <v>502990.74400000001</v>
      </c>
      <c r="G46" s="4">
        <f t="shared" si="31"/>
        <v>502990.74400000001</v>
      </c>
      <c r="H46" s="4">
        <f t="shared" si="31"/>
        <v>502990.74400000001</v>
      </c>
      <c r="I46" s="4">
        <f t="shared" si="31"/>
        <v>502990.74400000001</v>
      </c>
      <c r="J46" s="4">
        <f t="shared" si="31"/>
        <v>502990.74400000001</v>
      </c>
      <c r="K46" s="4">
        <f t="shared" si="31"/>
        <v>502990.74400000001</v>
      </c>
      <c r="L46" s="4">
        <f t="shared" si="31"/>
        <v>503001.74750390404</v>
      </c>
      <c r="M46" s="13" t="s">
        <v>114</v>
      </c>
      <c r="N46" s="4">
        <f t="shared" ref="N46:P46" si="32">SUM(N30:N44)</f>
        <v>0</v>
      </c>
      <c r="O46" s="4">
        <f t="shared" si="32"/>
        <v>7712699.4808639036</v>
      </c>
      <c r="P46" s="4">
        <f t="shared" si="32"/>
        <v>7712699.4808639036</v>
      </c>
      <c r="Q46" s="4">
        <f>SUM(Q30:Q44)</f>
        <v>7712699.4808639036</v>
      </c>
      <c r="R46" s="4">
        <f t="shared" ref="R46:S46" si="33">SUM(R30:R44)</f>
        <v>0</v>
      </c>
      <c r="S46" s="4">
        <f t="shared" si="33"/>
        <v>117015.81000000006</v>
      </c>
      <c r="T46" s="4">
        <f>CEO!T46+CS!T46+CFO!T46+LLA!T46+'C&amp;E'!T46+CES!T46+LLT!T46+GB!T46</f>
        <v>453227.35999999987</v>
      </c>
      <c r="U46" s="4">
        <f t="shared" si="7"/>
        <v>8282942.6508639026</v>
      </c>
      <c r="V46" s="4">
        <f t="shared" si="6"/>
        <v>570243.16999999899</v>
      </c>
      <c r="W46" s="4"/>
      <c r="X46" s="4">
        <f>CEO!Q46+CS!Q46+CFO!Q46+LLA!Q46+'C&amp;E'!Q46+CES!Q46+LLT!Q46+GB!Q46</f>
        <v>7712699.4808639046</v>
      </c>
      <c r="Y46" s="4">
        <f t="shared" si="12"/>
        <v>0</v>
      </c>
      <c r="Z46" s="4">
        <f>SUM(Z30:Z44)</f>
        <v>7712699.6549906684</v>
      </c>
      <c r="AA46" s="4">
        <f>SUM(AA30:AA44)</f>
        <v>8075196.5387752308</v>
      </c>
      <c r="AC46" s="295">
        <f t="shared" si="30"/>
        <v>-0.17412676475942135</v>
      </c>
    </row>
    <row r="47" spans="1:29" x14ac:dyDescent="0.3">
      <c r="A47" s="81"/>
      <c r="B47" s="81"/>
      <c r="C47" s="81"/>
      <c r="D47" s="82"/>
      <c r="E47" s="86"/>
      <c r="F47" s="86"/>
      <c r="G47" s="86"/>
      <c r="H47" s="86"/>
      <c r="I47" s="86"/>
      <c r="J47" s="86"/>
      <c r="K47" s="86"/>
      <c r="L47" s="86"/>
      <c r="M47" s="80"/>
      <c r="N47" s="86">
        <f t="shared" si="9"/>
        <v>0</v>
      </c>
      <c r="O47" s="86">
        <f t="shared" si="10"/>
        <v>0</v>
      </c>
      <c r="P47" s="86">
        <f t="shared" si="4"/>
        <v>0</v>
      </c>
      <c r="Q47" s="86"/>
      <c r="R47" s="86">
        <f t="shared" si="11"/>
        <v>0</v>
      </c>
      <c r="S47" s="86">
        <v>0</v>
      </c>
      <c r="T47" s="81">
        <f>CEO!T47+CS!T47+CFO!T47+LLA!T47+'C&amp;E'!T47+CES!T47+LLT!T47+GB!T47</f>
        <v>0</v>
      </c>
      <c r="U47" s="81">
        <f t="shared" si="7"/>
        <v>0</v>
      </c>
      <c r="V47" s="81">
        <f t="shared" si="6"/>
        <v>0</v>
      </c>
      <c r="W47" s="81"/>
      <c r="X47" s="86">
        <f>CEO!Q47+CS!Q47+CFO!Q47+LLA!Q47+'C&amp;E'!Q47+CES!Q47+LLT!Q47+GB!Q47</f>
        <v>0</v>
      </c>
      <c r="Y47" s="86">
        <f t="shared" si="12"/>
        <v>0</v>
      </c>
      <c r="Z47" s="86"/>
      <c r="AA47" s="86"/>
    </row>
    <row r="48" spans="1:29" x14ac:dyDescent="0.3">
      <c r="A48" s="8">
        <f>CEO!A48+CS!A48+CFO!A48+LLA!A48+'C&amp;E'!A48+CES!A48+LLT!A48+GB!A48</f>
        <v>0</v>
      </c>
      <c r="B48" s="8">
        <f>CEO!B48+CS!B48+CFO!B48+LLA!B48+'C&amp;E'!B48+CES!B48+LLT!B48+GB!B48</f>
        <v>0</v>
      </c>
      <c r="C48" s="8">
        <f>CEO!C48+CS!C48+CFO!C48+LLA!C48+'C&amp;E'!C48+CES!C48+LLT!C48+GB!C48</f>
        <v>0</v>
      </c>
      <c r="D48" s="8">
        <f>CEO!D48+CS!D48+CFO!D48+LLA!D48+'C&amp;E'!D48+CES!D48+LLT!D48+GB!D48</f>
        <v>0</v>
      </c>
      <c r="E48" s="8">
        <f>CEO!E48+CS!E48+CFO!E48+LLA!E48+'C&amp;E'!E48+CES!E48+LLT!E48+GB!E48</f>
        <v>0</v>
      </c>
      <c r="F48" s="8">
        <f>CEO!F48+CS!F48+CFO!F48+LLA!F48+'C&amp;E'!F48+CES!F48+LLT!F48+GB!F48</f>
        <v>0</v>
      </c>
      <c r="G48" s="8">
        <f>CEO!G48+CS!G48+CFO!G48+LLA!G48+'C&amp;E'!G48+CES!G48+LLT!G48+GB!G48</f>
        <v>0</v>
      </c>
      <c r="H48" s="8">
        <f>CEO!H48+CS!H48+CFO!H48+LLA!H48+'C&amp;E'!H48+CES!H48+LLT!H48+GB!H48</f>
        <v>0</v>
      </c>
      <c r="I48" s="8">
        <f>CEO!I48+CS!I48+CFO!I48+LLA!I48+'C&amp;E'!I48+CES!I48+LLT!I48+GB!I48</f>
        <v>0</v>
      </c>
      <c r="J48" s="8">
        <f>CEO!J48+CS!J48+CFO!J48+LLA!J48+'C&amp;E'!J48+CES!J48+LLT!J48+GB!J48</f>
        <v>0</v>
      </c>
      <c r="K48" s="8">
        <f>CEO!K48+CS!K48+CFO!K48+LLA!K48+'C&amp;E'!K48+CES!K48+LLT!K48+GB!K48</f>
        <v>0</v>
      </c>
      <c r="L48" s="8">
        <f>CEO!L48+CS!L48+CFO!L48+LLA!L48+'C&amp;E'!L48+CES!L48+LLT!L48+GB!L48</f>
        <v>0</v>
      </c>
      <c r="M48" s="390" t="s">
        <v>445</v>
      </c>
      <c r="N48" s="8">
        <f t="shared" ref="N48:N63" si="34">SUM(0)</f>
        <v>0</v>
      </c>
      <c r="O48" s="8">
        <f t="shared" ref="O48:O63" si="35">SUM(A48:L48)</f>
        <v>0</v>
      </c>
      <c r="P48" s="8">
        <f t="shared" si="4"/>
        <v>0</v>
      </c>
      <c r="Q48" s="8">
        <f>CEO!Q48+CS!Q48+CFO!Q48+LLA!Q48+'C&amp;E'!Q48+CES!Q48+LLT!Q48+GB!Q48</f>
        <v>0</v>
      </c>
      <c r="R48" s="8">
        <f t="shared" ref="R48:R63" si="36">Q48-P48</f>
        <v>0</v>
      </c>
      <c r="S48" s="8">
        <v>0</v>
      </c>
      <c r="T48" s="8">
        <f>CEO!T48+CS!T48+CFO!T48+LLA!T48+'C&amp;E'!T48+CES!T48+LLT!T48+GB!T48</f>
        <v>0</v>
      </c>
      <c r="U48" s="8">
        <f t="shared" si="7"/>
        <v>0</v>
      </c>
      <c r="V48" s="8">
        <f t="shared" si="6"/>
        <v>0</v>
      </c>
      <c r="W48" s="8"/>
      <c r="X48" s="8">
        <f>CEO!Q48+CS!Q48+CFO!Q48+LLA!Q48+'C&amp;E'!Q48+CES!Q48+LLT!Q48+GB!Q48</f>
        <v>0</v>
      </c>
      <c r="Y48" s="8">
        <f t="shared" ref="Y48:Y63" si="37">X48-Q48</f>
        <v>0</v>
      </c>
      <c r="Z48" s="8">
        <v>0</v>
      </c>
      <c r="AA48" s="8">
        <f t="shared" ref="AA48:AA63" si="38">Z48*(1+AA$3)</f>
        <v>0</v>
      </c>
      <c r="AC48" s="295">
        <f t="shared" si="30"/>
        <v>0</v>
      </c>
    </row>
    <row r="49" spans="1:29" x14ac:dyDescent="0.3">
      <c r="A49" s="7">
        <f>CEO!A49+CS!A49+CFO!A49+LLA!A49+'C&amp;E'!A49+CES!A49+LLT!A49+GB!A49</f>
        <v>2300.36</v>
      </c>
      <c r="B49" s="7">
        <f>CEO!B49+CS!B49+CFO!B49+LLA!B49+'C&amp;E'!B49+CES!B49+LLT!B49+GB!B49</f>
        <v>4277.9359999999997</v>
      </c>
      <c r="C49" s="7">
        <f>CEO!C49+CS!C49+CFO!C49+LLA!C49+'C&amp;E'!C49+CES!C49+LLT!C49+GB!C49</f>
        <v>3348.36</v>
      </c>
      <c r="D49" s="7">
        <f>CEO!D49+CS!D49+CFO!D49+LLA!D49+'C&amp;E'!D49+CES!D49+LLT!D49+GB!D49</f>
        <v>4277.9359999999997</v>
      </c>
      <c r="E49" s="7">
        <f>CEO!E49+CS!E49+CFO!E49+LLA!E49+'C&amp;E'!E49+CES!E49+LLT!E49+GB!E49</f>
        <v>6016.5680000000002</v>
      </c>
      <c r="F49" s="7">
        <f>CEO!F49+CS!F49+CFO!F49+LLA!F49+'C&amp;E'!F49+CES!F49+LLT!F49+GB!F49</f>
        <v>2300.36</v>
      </c>
      <c r="G49" s="7">
        <f>CEO!G49+CS!G49+CFO!G49+LLA!G49+'C&amp;E'!G49+CES!G49+LLT!G49+GB!G49</f>
        <v>5325.9359999999997</v>
      </c>
      <c r="H49" s="7">
        <f>CEO!H49+CS!H49+CFO!H49+LLA!H49+'C&amp;E'!H49+CES!H49+LLT!H49+GB!H49</f>
        <v>4277.9359999999997</v>
      </c>
      <c r="I49" s="7">
        <f>CEO!I49+CS!I49+CFO!I49+LLA!I49+'C&amp;E'!I49+CES!I49+LLT!I49+GB!I49</f>
        <v>2300.36</v>
      </c>
      <c r="J49" s="7">
        <f>CEO!J49+CS!J49+CFO!J49+LLA!J49+'C&amp;E'!J49+CES!J49+LLT!J49+GB!J49</f>
        <v>4277.9359999999997</v>
      </c>
      <c r="K49" s="7">
        <f>CEO!K49+CS!K49+CFO!K49+LLA!K49+'C&amp;E'!K49+CES!K49+LLT!K49+GB!K49</f>
        <v>2300.36</v>
      </c>
      <c r="L49" s="7">
        <f>CEO!L49+CS!L49+CFO!L49+LLA!L49+'C&amp;E'!L49+CES!L49+LLT!L49+GB!L49</f>
        <v>4759.7109833727391</v>
      </c>
      <c r="M49" s="13" t="s">
        <v>446</v>
      </c>
      <c r="N49" s="7">
        <f t="shared" si="34"/>
        <v>0</v>
      </c>
      <c r="O49" s="7">
        <f t="shared" si="35"/>
        <v>45763.75898337274</v>
      </c>
      <c r="P49" s="7">
        <f t="shared" si="4"/>
        <v>45763.75898337274</v>
      </c>
      <c r="Q49" s="7">
        <f>CEO!Q49+CS!Q49+CFO!Q49+LLA!Q49+'C&amp;E'!Q49+CES!Q49+LLT!Q49+GB!Q49</f>
        <v>45763.75898337274</v>
      </c>
      <c r="R49" s="7">
        <f t="shared" si="36"/>
        <v>0</v>
      </c>
      <c r="S49" s="7">
        <v>21118.000000000007</v>
      </c>
      <c r="T49" s="7">
        <f>CEO!T49+CS!T49+CFO!T49+LLA!T49+'C&amp;E'!T49+CES!T49+LLT!T49+GB!T49</f>
        <v>15339.752469999941</v>
      </c>
      <c r="U49" s="7">
        <f t="shared" si="7"/>
        <v>82221.511453372688</v>
      </c>
      <c r="V49" s="7">
        <f t="shared" si="6"/>
        <v>36457.752469999949</v>
      </c>
      <c r="W49" s="7"/>
      <c r="X49" s="7">
        <f>CEO!Q49+CS!Q49+CFO!Q49+LLA!Q49+'C&amp;E'!Q49+CES!Q49+LLT!Q49+GB!Q49</f>
        <v>45763.75898337274</v>
      </c>
      <c r="Y49" s="7">
        <f t="shared" si="37"/>
        <v>0</v>
      </c>
      <c r="Z49" s="7">
        <v>45763.75898337274</v>
      </c>
      <c r="AA49" s="7">
        <f t="shared" si="38"/>
        <v>47914.655655591254</v>
      </c>
      <c r="AC49" s="295">
        <f t="shared" si="30"/>
        <v>0</v>
      </c>
    </row>
    <row r="50" spans="1:29" x14ac:dyDescent="0.3">
      <c r="A50" s="7">
        <f>CEO!A50+CS!A50+CFO!A50+LLA!A50+'C&amp;E'!A50+CES!A50+LLT!A50+GB!A50</f>
        <v>4308.3280000000004</v>
      </c>
      <c r="B50" s="7">
        <f>CEO!B50+CS!B50+CFO!B50+LLA!B50+'C&amp;E'!B50+CES!B50+LLT!B50+GB!B50</f>
        <v>5474.7520000000004</v>
      </c>
      <c r="C50" s="7">
        <f>CEO!C50+CS!C50+CFO!C50+LLA!C50+'C&amp;E'!C50+CES!C50+LLT!C50+GB!C50</f>
        <v>4308.3280000000004</v>
      </c>
      <c r="D50" s="7">
        <f>CEO!D50+CS!D50+CFO!D50+LLA!D50+'C&amp;E'!D50+CES!D50+LLT!D50+GB!D50</f>
        <v>4308.3280000000004</v>
      </c>
      <c r="E50" s="7">
        <f>CEO!E50+CS!E50+CFO!E50+LLA!E50+'C&amp;E'!E50+CES!E50+LLT!E50+GB!E50</f>
        <v>4308.3280000000004</v>
      </c>
      <c r="F50" s="7">
        <f>CEO!F50+CS!F50+CFO!F50+LLA!F50+'C&amp;E'!F50+CES!F50+LLT!F50+GB!F50</f>
        <v>4532.6000000000013</v>
      </c>
      <c r="G50" s="7">
        <f>CEO!G50+CS!G50+CFO!G50+LLA!G50+'C&amp;E'!G50+CES!G50+LLT!G50+GB!G50</f>
        <v>4308.3280000000004</v>
      </c>
      <c r="H50" s="7">
        <f>CEO!H50+CS!H50+CFO!H50+LLA!H50+'C&amp;E'!H50+CES!H50+LLT!H50+GB!H50</f>
        <v>4308.3280000000004</v>
      </c>
      <c r="I50" s="7">
        <f>CEO!I50+CS!I50+CFO!I50+LLA!I50+'C&amp;E'!I50+CES!I50+LLT!I50+GB!I50</f>
        <v>4308.3280000000004</v>
      </c>
      <c r="J50" s="7">
        <f>CEO!J50+CS!J50+CFO!J50+LLA!J50+'C&amp;E'!J50+CES!J50+LLT!J50+GB!J50</f>
        <v>4308.3280000000004</v>
      </c>
      <c r="K50" s="7">
        <f>CEO!K50+CS!K50+CFO!K50+LLA!K50+'C&amp;E'!K50+CES!K50+LLT!K50+GB!K50</f>
        <v>4307.7798619228697</v>
      </c>
      <c r="L50" s="7">
        <f>CEO!L50+CS!L50+CFO!L50+LLA!L50+'C&amp;E'!L50+CES!L50+LLT!L50+GB!L50</f>
        <v>4186.76</v>
      </c>
      <c r="M50" s="13" t="s">
        <v>447</v>
      </c>
      <c r="N50" s="7">
        <f t="shared" si="34"/>
        <v>0</v>
      </c>
      <c r="O50" s="7">
        <f t="shared" si="35"/>
        <v>52968.515861922882</v>
      </c>
      <c r="P50" s="7">
        <f t="shared" si="4"/>
        <v>52968.515861922882</v>
      </c>
      <c r="Q50" s="7">
        <f>CEO!Q50+CS!Q50+CFO!Q50+LLA!Q50+'C&amp;E'!Q50+CES!Q50+LLT!Q50+GB!Q50</f>
        <v>52968.51586192286</v>
      </c>
      <c r="R50" s="7">
        <f t="shared" si="36"/>
        <v>0</v>
      </c>
      <c r="S50" s="7">
        <v>4373.0000000000073</v>
      </c>
      <c r="T50" s="7">
        <f>CEO!T50+CS!T50+CFO!T50+LLA!T50+'C&amp;E'!T50+CES!T50+LLT!T50+GB!T50</f>
        <v>-16542</v>
      </c>
      <c r="U50" s="7">
        <f t="shared" si="7"/>
        <v>40799.515861922868</v>
      </c>
      <c r="V50" s="7">
        <f t="shared" si="6"/>
        <v>-12169.000000000015</v>
      </c>
      <c r="W50" s="7"/>
      <c r="X50" s="7">
        <f>CEO!Q50+CS!Q50+CFO!Q50+LLA!Q50+'C&amp;E'!Q50+CES!Q50+LLT!Q50+GB!Q50</f>
        <v>52968.51586192286</v>
      </c>
      <c r="Y50" s="7">
        <f t="shared" si="37"/>
        <v>0</v>
      </c>
      <c r="Z50" s="7">
        <v>52968.51586192286</v>
      </c>
      <c r="AA50" s="7">
        <f t="shared" si="38"/>
        <v>55458.036107433232</v>
      </c>
      <c r="AC50" s="295">
        <f t="shared" si="30"/>
        <v>0</v>
      </c>
    </row>
    <row r="51" spans="1:29" x14ac:dyDescent="0.3">
      <c r="A51" s="7">
        <f>CEO!A51+CS!A51+CFO!A51+LLA!A51+'C&amp;E'!A51+CES!A51+LLT!A51+GB!A51</f>
        <v>0</v>
      </c>
      <c r="B51" s="7">
        <f>CEO!B51+CS!B51+CFO!B51+LLA!B51+'C&amp;E'!B51+CES!B51+LLT!B51+GB!B51</f>
        <v>0</v>
      </c>
      <c r="C51" s="7">
        <f>CEO!C51+CS!C51+CFO!C51+LLA!C51+'C&amp;E'!C51+CES!C51+LLT!C51+GB!C51</f>
        <v>0</v>
      </c>
      <c r="D51" s="7">
        <f>CEO!D51+CS!D51+CFO!D51+LLA!D51+'C&amp;E'!D51+CES!D51+LLT!D51+GB!D51</f>
        <v>0</v>
      </c>
      <c r="E51" s="7">
        <f>CEO!E51+CS!E51+CFO!E51+LLA!E51+'C&amp;E'!E51+CES!E51+LLT!E51+GB!E51</f>
        <v>0</v>
      </c>
      <c r="F51" s="7">
        <f>CEO!F51+CS!F51+CFO!F51+LLA!F51+'C&amp;E'!F51+CES!F51+LLT!F51+GB!F51</f>
        <v>0</v>
      </c>
      <c r="G51" s="7">
        <f>CEO!G51+CS!G51+CFO!G51+LLA!G51+'C&amp;E'!G51+CES!G51+LLT!G51+GB!G51</f>
        <v>0</v>
      </c>
      <c r="H51" s="7">
        <f>CEO!H51+CS!H51+CFO!H51+LLA!H51+'C&amp;E'!H51+CES!H51+LLT!H51+GB!H51</f>
        <v>0</v>
      </c>
      <c r="I51" s="7">
        <f>CEO!I51+CS!I51+CFO!I51+LLA!I51+'C&amp;E'!I51+CES!I51+LLT!I51+GB!I51</f>
        <v>0</v>
      </c>
      <c r="J51" s="7">
        <f>CEO!J51+CS!J51+CFO!J51+LLA!J51+'C&amp;E'!J51+CES!J51+LLT!J51+GB!J51</f>
        <v>0</v>
      </c>
      <c r="K51" s="7">
        <f>CEO!K51+CS!K51+CFO!K51+LLA!K51+'C&amp;E'!K51+CES!K51+LLT!K51+GB!K51</f>
        <v>0</v>
      </c>
      <c r="L51" s="7">
        <f>CEO!L51+CS!L51+CFO!L51+LLA!L51+'C&amp;E'!L51+CES!L51+LLT!L51+GB!L51</f>
        <v>0</v>
      </c>
      <c r="M51" s="13" t="s">
        <v>448</v>
      </c>
      <c r="N51" s="7">
        <f t="shared" si="34"/>
        <v>0</v>
      </c>
      <c r="O51" s="7">
        <f t="shared" si="35"/>
        <v>0</v>
      </c>
      <c r="P51" s="7">
        <f t="shared" si="4"/>
        <v>0</v>
      </c>
      <c r="Q51" s="7">
        <f>CEO!Q51+CS!Q51+CFO!Q51+LLA!Q51+'C&amp;E'!Q51+CES!Q51+LLT!Q51+GB!Q51</f>
        <v>0</v>
      </c>
      <c r="R51" s="7">
        <f t="shared" si="36"/>
        <v>0</v>
      </c>
      <c r="S51" s="7">
        <v>0</v>
      </c>
      <c r="T51" s="7">
        <f>CEO!T51+CS!T51+CFO!T51+LLA!T51+'C&amp;E'!T51+CES!T51+LLT!T51+GB!T51</f>
        <v>-2000</v>
      </c>
      <c r="U51" s="7">
        <f t="shared" si="7"/>
        <v>-2000</v>
      </c>
      <c r="V51" s="7">
        <f t="shared" si="6"/>
        <v>-2000</v>
      </c>
      <c r="W51" s="7"/>
      <c r="X51" s="7">
        <f>CEO!Q51+CS!Q51+CFO!Q51+LLA!Q51+'C&amp;E'!Q51+CES!Q51+LLT!Q51+GB!Q51</f>
        <v>0</v>
      </c>
      <c r="Y51" s="7">
        <f t="shared" si="37"/>
        <v>0</v>
      </c>
      <c r="Z51" s="7">
        <v>0</v>
      </c>
      <c r="AA51" s="7">
        <f t="shared" si="38"/>
        <v>0</v>
      </c>
      <c r="AC51" s="295">
        <f t="shared" si="30"/>
        <v>0</v>
      </c>
    </row>
    <row r="52" spans="1:29" x14ac:dyDescent="0.3">
      <c r="A52" s="7">
        <f>CEO!A52+CS!A52+CFO!A52+LLA!A52+'C&amp;E'!A52+CES!A52+LLT!A52+GB!A52</f>
        <v>1210.4400000000003</v>
      </c>
      <c r="B52" s="7">
        <f>CEO!B52+CS!B52+CFO!B52+LLA!B52+'C&amp;E'!B52+CES!B52+LLT!B52+GB!B52</f>
        <v>1210.4400000000003</v>
      </c>
      <c r="C52" s="7">
        <f>CEO!C52+CS!C52+CFO!C52+LLA!C52+'C&amp;E'!C52+CES!C52+LLT!C52+GB!C52</f>
        <v>1210.4400000000003</v>
      </c>
      <c r="D52" s="7">
        <f>CEO!D52+CS!D52+CFO!D52+LLA!D52+'C&amp;E'!D52+CES!D52+LLT!D52+GB!D52</f>
        <v>1210.4400000000003</v>
      </c>
      <c r="E52" s="7">
        <f>CEO!E52+CS!E52+CFO!E52+LLA!E52+'C&amp;E'!E52+CES!E52+LLT!E52+GB!E52</f>
        <v>1661.0800000000002</v>
      </c>
      <c r="F52" s="7">
        <f>CEO!F52+CS!F52+CFO!F52+LLA!F52+'C&amp;E'!F52+CES!F52+LLT!F52+GB!F52</f>
        <v>1210.4400000000003</v>
      </c>
      <c r="G52" s="7">
        <f>CEO!G52+CS!G52+CFO!G52+LLA!G52+'C&amp;E'!G52+CES!G52+LLT!G52+GB!G52</f>
        <v>1210.4400000000003</v>
      </c>
      <c r="H52" s="7">
        <f>CEO!H52+CS!H52+CFO!H52+LLA!H52+'C&amp;E'!H52+CES!H52+LLT!H52+GB!H52</f>
        <v>1210.4400000000003</v>
      </c>
      <c r="I52" s="7">
        <f>CEO!I52+CS!I52+CFO!I52+LLA!I52+'C&amp;E'!I52+CES!I52+LLT!I52+GB!I52</f>
        <v>1210.4400000000003</v>
      </c>
      <c r="J52" s="7">
        <f>CEO!J52+CS!J52+CFO!J52+LLA!J52+'C&amp;E'!J52+CES!J52+LLT!J52+GB!J52</f>
        <v>1210.4400000000003</v>
      </c>
      <c r="K52" s="7">
        <f>CEO!K52+CS!K52+CFO!K52+LLA!K52+'C&amp;E'!K52+CES!K52+LLT!K52+GB!K52</f>
        <v>1210.4400000000003</v>
      </c>
      <c r="L52" s="7">
        <f>CEO!L52+CS!L52+CFO!L52+LLA!L52+'C&amp;E'!L52+CES!L52+LLT!L52+GB!L52</f>
        <v>981.65768920698383</v>
      </c>
      <c r="M52" s="13" t="s">
        <v>449</v>
      </c>
      <c r="N52" s="7">
        <f t="shared" si="34"/>
        <v>0</v>
      </c>
      <c r="O52" s="7">
        <f t="shared" si="35"/>
        <v>14747.137689206987</v>
      </c>
      <c r="P52" s="7">
        <f t="shared" si="4"/>
        <v>14747.137689206987</v>
      </c>
      <c r="Q52" s="7">
        <f>CEO!Q52+CS!Q52+CFO!Q52+LLA!Q52+'C&amp;E'!Q52+CES!Q52+LLT!Q52+GB!Q52</f>
        <v>14747.137689206982</v>
      </c>
      <c r="R52" s="7">
        <f t="shared" si="36"/>
        <v>0</v>
      </c>
      <c r="S52" s="7">
        <v>10298</v>
      </c>
      <c r="T52" s="7">
        <f>CEO!T52+CS!T52+CFO!T52+LLA!T52+'C&amp;E'!T52+CES!T52+LLT!T52+GB!T52</f>
        <v>-2000</v>
      </c>
      <c r="U52" s="7">
        <f t="shared" si="7"/>
        <v>23045.137689206982</v>
      </c>
      <c r="V52" s="7">
        <f t="shared" si="6"/>
        <v>8297.9999999999945</v>
      </c>
      <c r="W52" s="7"/>
      <c r="X52" s="7">
        <f>CEO!Q52+CS!Q52+CFO!Q52+LLA!Q52+'C&amp;E'!Q52+CES!Q52+LLT!Q52+GB!Q52</f>
        <v>14747.137689206982</v>
      </c>
      <c r="Y52" s="7">
        <f t="shared" si="37"/>
        <v>0</v>
      </c>
      <c r="Z52" s="7">
        <v>14747.137689206982</v>
      </c>
      <c r="AA52" s="7">
        <f t="shared" si="38"/>
        <v>15440.253160599708</v>
      </c>
      <c r="AC52" s="295">
        <f t="shared" si="30"/>
        <v>0</v>
      </c>
    </row>
    <row r="53" spans="1:29" x14ac:dyDescent="0.3">
      <c r="A53" s="7">
        <f>CEO!A53+CS!A53+CFO!A53+LLA!A53+'C&amp;E'!A53+CES!A53+LLT!A53+GB!A53</f>
        <v>8247.6726666666709</v>
      </c>
      <c r="B53" s="7">
        <f>CEO!B53+CS!B53+CFO!B53+LLA!B53+'C&amp;E'!B53+CES!B53+LLT!B53+GB!B53</f>
        <v>10343.672666666671</v>
      </c>
      <c r="C53" s="7">
        <f>CEO!C53+CS!C53+CFO!C53+LLA!C53+'C&amp;E'!C53+CES!C53+LLT!C53+GB!C53</f>
        <v>8247.6726666666709</v>
      </c>
      <c r="D53" s="7">
        <f>CEO!D53+CS!D53+CFO!D53+LLA!D53+'C&amp;E'!D53+CES!D53+LLT!D53+GB!D53</f>
        <v>8247.6726666666709</v>
      </c>
      <c r="E53" s="7">
        <f>CEO!E53+CS!E53+CFO!E53+LLA!E53+'C&amp;E'!E53+CES!E53+LLT!E53+GB!E53</f>
        <v>10343.672666666671</v>
      </c>
      <c r="F53" s="7">
        <f>CEO!F53+CS!F53+CFO!F53+LLA!F53+'C&amp;E'!F53+CES!F53+LLT!F53+GB!F53</f>
        <v>8247.6726666666709</v>
      </c>
      <c r="G53" s="7">
        <f>CEO!G53+CS!G53+CFO!G53+LLA!G53+'C&amp;E'!G53+CES!G53+LLT!G53+GB!G53</f>
        <v>8247.6726666666709</v>
      </c>
      <c r="H53" s="7">
        <f>CEO!H53+CS!H53+CFO!H53+LLA!H53+'C&amp;E'!H53+CES!H53+LLT!H53+GB!H53</f>
        <v>10801.648666666671</v>
      </c>
      <c r="I53" s="7">
        <f>CEO!I53+CS!I53+CFO!I53+LLA!I53+'C&amp;E'!I53+CES!I53+LLT!I53+GB!I53</f>
        <v>8247.6726666666709</v>
      </c>
      <c r="J53" s="7">
        <f>CEO!J53+CS!J53+CFO!J53+LLA!J53+'C&amp;E'!J53+CES!J53+LLT!J53+GB!J53</f>
        <v>8247.6726666666709</v>
      </c>
      <c r="K53" s="7">
        <f>CEO!K53+CS!K53+CFO!K53+LLA!K53+'C&amp;E'!K53+CES!K53+LLT!K53+GB!K53</f>
        <v>8247.6726666666709</v>
      </c>
      <c r="L53" s="7">
        <f>CEO!L53+CS!L53+CFO!L53+LLA!L53+'C&amp;E'!L53+CES!L53+LLT!L53+GB!L53</f>
        <v>8256.6726666666709</v>
      </c>
      <c r="M53" s="13" t="s">
        <v>450</v>
      </c>
      <c r="N53" s="7">
        <f t="shared" si="34"/>
        <v>0</v>
      </c>
      <c r="O53" s="7">
        <f t="shared" si="35"/>
        <v>105727.04800000004</v>
      </c>
      <c r="P53" s="7">
        <f t="shared" si="4"/>
        <v>105727.04800000004</v>
      </c>
      <c r="Q53" s="7">
        <f>CEO!Q53+CS!Q53+CFO!Q53+LLA!Q53+'C&amp;E'!Q53+CES!Q53+LLT!Q53+GB!Q53</f>
        <v>105727.04800000002</v>
      </c>
      <c r="R53" s="7">
        <f t="shared" si="36"/>
        <v>0</v>
      </c>
      <c r="S53" s="7">
        <v>19661</v>
      </c>
      <c r="T53" s="7">
        <f>CEO!T53+CS!T53+CFO!T53+LLA!T53+'C&amp;E'!T53+CES!T53+LLT!T53+GB!T53</f>
        <v>12991.982240000001</v>
      </c>
      <c r="U53" s="7">
        <f t="shared" si="7"/>
        <v>138380.03024000002</v>
      </c>
      <c r="V53" s="7">
        <f t="shared" si="6"/>
        <v>32652.982239999983</v>
      </c>
      <c r="W53" s="7"/>
      <c r="X53" s="7">
        <f>CEO!Q53+CS!Q53+CFO!Q53+LLA!Q53+'C&amp;E'!Q53+CES!Q53+LLT!Q53+GB!Q53</f>
        <v>105727.04800000002</v>
      </c>
      <c r="Y53" s="7">
        <f t="shared" si="37"/>
        <v>0</v>
      </c>
      <c r="Z53" s="7">
        <v>105727.36891740274</v>
      </c>
      <c r="AA53" s="7">
        <f t="shared" si="38"/>
        <v>110696.55525652066</v>
      </c>
      <c r="AC53" s="295">
        <f t="shared" si="30"/>
        <v>-0.32091740271425806</v>
      </c>
    </row>
    <row r="54" spans="1:29" x14ac:dyDescent="0.3">
      <c r="A54" s="7">
        <f>CEO!A54+CS!A54+CFO!A54+LLA!A54+'C&amp;E'!A54+CES!A54+LLT!A54+GB!A54</f>
        <v>0</v>
      </c>
      <c r="B54" s="7">
        <f>CEO!B54+CS!B54+CFO!B54+LLA!B54+'C&amp;E'!B54+CES!B54+LLT!B54+GB!B54</f>
        <v>0</v>
      </c>
      <c r="C54" s="7">
        <f>CEO!C54+CS!C54+CFO!C54+LLA!C54+'C&amp;E'!C54+CES!C54+LLT!C54+GB!C54</f>
        <v>0</v>
      </c>
      <c r="D54" s="7">
        <f>CEO!D54+CS!D54+CFO!D54+LLA!D54+'C&amp;E'!D54+CES!D54+LLT!D54+GB!D54</f>
        <v>0</v>
      </c>
      <c r="E54" s="7">
        <f>CEO!E54+CS!E54+CFO!E54+LLA!E54+'C&amp;E'!E54+CES!E54+LLT!E54+GB!E54</f>
        <v>0</v>
      </c>
      <c r="F54" s="7">
        <f>CEO!F54+CS!F54+CFO!F54+LLA!F54+'C&amp;E'!F54+CES!F54+LLT!F54+GB!F54</f>
        <v>0</v>
      </c>
      <c r="G54" s="7">
        <f>CEO!G54+CS!G54+CFO!G54+LLA!G54+'C&amp;E'!G54+CES!G54+LLT!G54+GB!G54</f>
        <v>0</v>
      </c>
      <c r="H54" s="7">
        <f>CEO!H54+CS!H54+CFO!H54+LLA!H54+'C&amp;E'!H54+CES!H54+LLT!H54+GB!H54</f>
        <v>0</v>
      </c>
      <c r="I54" s="7">
        <f>CEO!I54+CS!I54+CFO!I54+LLA!I54+'C&amp;E'!I54+CES!I54+LLT!I54+GB!I54</f>
        <v>0</v>
      </c>
      <c r="J54" s="7">
        <f>CEO!J54+CS!J54+CFO!J54+LLA!J54+'C&amp;E'!J54+CES!J54+LLT!J54+GB!J54</f>
        <v>0</v>
      </c>
      <c r="K54" s="7">
        <f>CEO!K54+CS!K54+CFO!K54+LLA!K54+'C&amp;E'!K54+CES!K54+LLT!K54+GB!K54</f>
        <v>0</v>
      </c>
      <c r="L54" s="7">
        <f>CEO!L54+CS!L54+CFO!L54+LLA!L54+'C&amp;E'!L54+CES!L54+LLT!L54+GB!L54</f>
        <v>0</v>
      </c>
      <c r="M54" s="13" t="s">
        <v>451</v>
      </c>
      <c r="N54" s="7">
        <f t="shared" si="34"/>
        <v>0</v>
      </c>
      <c r="O54" s="7">
        <f t="shared" si="35"/>
        <v>0</v>
      </c>
      <c r="P54" s="7">
        <f t="shared" si="4"/>
        <v>0</v>
      </c>
      <c r="Q54" s="7">
        <f>CEO!Q54+CS!Q54+CFO!Q54+LLA!Q54+'C&amp;E'!Q54+CES!Q54+LLT!Q54+GB!Q54</f>
        <v>0</v>
      </c>
      <c r="R54" s="7">
        <f t="shared" si="36"/>
        <v>0</v>
      </c>
      <c r="S54" s="7">
        <v>0</v>
      </c>
      <c r="T54" s="7">
        <f>CEO!T54+CS!T54+CFO!T54+LLA!T54+'C&amp;E'!T54+CES!T54+LLT!T54+GB!T54</f>
        <v>0</v>
      </c>
      <c r="U54" s="7">
        <f t="shared" si="7"/>
        <v>0</v>
      </c>
      <c r="V54" s="7">
        <f t="shared" si="6"/>
        <v>0</v>
      </c>
      <c r="W54" s="7"/>
      <c r="X54" s="7">
        <f>CEO!Q54+CS!Q54+CFO!Q54+LLA!Q54+'C&amp;E'!Q54+CES!Q54+LLT!Q54+GB!Q54</f>
        <v>0</v>
      </c>
      <c r="Y54" s="7">
        <f t="shared" si="37"/>
        <v>0</v>
      </c>
      <c r="Z54" s="7">
        <v>0</v>
      </c>
      <c r="AA54" s="7">
        <f t="shared" si="38"/>
        <v>0</v>
      </c>
      <c r="AC54" s="295">
        <f t="shared" si="30"/>
        <v>0</v>
      </c>
    </row>
    <row r="55" spans="1:29" x14ac:dyDescent="0.3">
      <c r="A55" s="7">
        <f>CEO!A55+CS!A55+CFO!A55+LLA!A55+'C&amp;E'!A55+CES!A55+LLT!A55+GB!A55</f>
        <v>3265.1194214666671</v>
      </c>
      <c r="B55" s="7">
        <f>CEO!B55+CS!B55+CFO!B55+LLA!B55+'C&amp;E'!B55+CES!B55+LLT!B55+GB!B55</f>
        <v>3265.1194214666671</v>
      </c>
      <c r="C55" s="7">
        <f>CEO!C55+CS!C55+CFO!C55+LLA!C55+'C&amp;E'!C55+CES!C55+LLT!C55+GB!C55</f>
        <v>3265.1194214666671</v>
      </c>
      <c r="D55" s="7">
        <f>CEO!D55+CS!D55+CFO!D55+LLA!D55+'C&amp;E'!D55+CES!D55+LLT!D55+GB!D55</f>
        <v>3265.1194214666671</v>
      </c>
      <c r="E55" s="7">
        <f>CEO!E55+CS!E55+CFO!E55+LLA!E55+'C&amp;E'!E55+CES!E55+LLT!E55+GB!E55</f>
        <v>5361.1194214666666</v>
      </c>
      <c r="F55" s="7">
        <f>CEO!F55+CS!F55+CFO!F55+LLA!F55+'C&amp;E'!F55+CES!F55+LLT!F55+GB!F55</f>
        <v>3265.1194214666671</v>
      </c>
      <c r="G55" s="7">
        <f>CEO!G55+CS!G55+CFO!G55+LLA!G55+'C&amp;E'!G55+CES!G55+LLT!G55+GB!G55</f>
        <v>3265.1194214666671</v>
      </c>
      <c r="H55" s="7">
        <f>CEO!H55+CS!H55+CFO!H55+LLA!H55+'C&amp;E'!H55+CES!H55+LLT!H55+GB!H55</f>
        <v>5554.9994214666676</v>
      </c>
      <c r="I55" s="7">
        <f>CEO!I55+CS!I55+CFO!I55+LLA!I55+'C&amp;E'!I55+CES!I55+LLT!I55+GB!I55</f>
        <v>6529.0629706314776</v>
      </c>
      <c r="J55" s="7">
        <f>CEO!J55+CS!J55+CFO!J55+LLA!J55+'C&amp;E'!J55+CES!J55+LLT!J55+GB!J55</f>
        <v>3265.1194214666671</v>
      </c>
      <c r="K55" s="7">
        <f>CEO!K55+CS!K55+CFO!K55+LLA!K55+'C&amp;E'!K55+CES!K55+LLT!K55+GB!K55</f>
        <v>3265.1194214666671</v>
      </c>
      <c r="L55" s="7">
        <f>CEO!L55+CS!L55+CFO!L55+LLA!L55+'C&amp;E'!L55+CES!L55+LLT!L55+GB!L55</f>
        <v>3265.1194214666671</v>
      </c>
      <c r="M55" s="390" t="s">
        <v>452</v>
      </c>
      <c r="N55" s="7">
        <f t="shared" si="34"/>
        <v>0</v>
      </c>
      <c r="O55" s="7">
        <f t="shared" si="35"/>
        <v>46831.256606764822</v>
      </c>
      <c r="P55" s="7">
        <f t="shared" si="4"/>
        <v>46831.256606764822</v>
      </c>
      <c r="Q55" s="7">
        <f>CEO!Q55+CS!Q55+CFO!Q55+LLA!Q55+'C&amp;E'!Q55+CES!Q55+LLT!Q55+GB!Q55</f>
        <v>46831.511324764804</v>
      </c>
      <c r="R55" s="7">
        <f t="shared" si="36"/>
        <v>0.25471799998194911</v>
      </c>
      <c r="S55" s="7">
        <v>23682</v>
      </c>
      <c r="T55" s="7">
        <f>CEO!T55+CS!T55+CFO!T55+LLA!T55+'C&amp;E'!T55+CES!T55+LLT!T55+GB!T55</f>
        <v>-30829.002</v>
      </c>
      <c r="U55" s="7">
        <f t="shared" si="7"/>
        <v>39684.509324764811</v>
      </c>
      <c r="V55" s="7">
        <f t="shared" si="6"/>
        <v>-7146.7472820000112</v>
      </c>
      <c r="W55" s="7"/>
      <c r="X55" s="7">
        <f>CEO!Q55+CS!Q55+CFO!Q55+LLA!Q55+'C&amp;E'!Q55+CES!Q55+LLT!Q55+GB!Q55</f>
        <v>46831.511324764804</v>
      </c>
      <c r="Y55" s="7">
        <f t="shared" si="37"/>
        <v>0</v>
      </c>
      <c r="Z55" s="7">
        <v>46831.511324764804</v>
      </c>
      <c r="AA55" s="7">
        <f t="shared" si="38"/>
        <v>49032.592357028749</v>
      </c>
      <c r="AC55" s="295">
        <f t="shared" si="30"/>
        <v>0</v>
      </c>
    </row>
    <row r="56" spans="1:29" x14ac:dyDescent="0.3">
      <c r="A56" s="7">
        <f>CEO!A56+CS!A56+CFO!A56+LLA!A56+'C&amp;E'!A56+CES!A56+LLT!A56+GB!A56</f>
        <v>8.0111324981165429E-14</v>
      </c>
      <c r="B56" s="7">
        <f>CEO!B56+CS!B56+CFO!B56+LLA!B56+'C&amp;E'!B56+CES!B56+LLT!B56+GB!B56</f>
        <v>8.0111324981165429E-14</v>
      </c>
      <c r="C56" s="7">
        <f>CEO!C56+CS!C56+CFO!C56+LLA!C56+'C&amp;E'!C56+CES!C56+LLT!C56+GB!C56</f>
        <v>8.0111324981165429E-14</v>
      </c>
      <c r="D56" s="7">
        <f>CEO!D56+CS!D56+CFO!D56+LLA!D56+'C&amp;E'!D56+CES!D56+LLT!D56+GB!D56</f>
        <v>8.0111324981165429E-14</v>
      </c>
      <c r="E56" s="7">
        <f>CEO!E56+CS!E56+CFO!E56+LLA!E56+'C&amp;E'!E56+CES!E56+LLT!E56+GB!E56</f>
        <v>8.0111324981165429E-14</v>
      </c>
      <c r="F56" s="7">
        <f>CEO!F56+CS!F56+CFO!F56+LLA!F56+'C&amp;E'!F56+CES!F56+LLT!F56+GB!F56</f>
        <v>8.0111324981165429E-14</v>
      </c>
      <c r="G56" s="7">
        <f>CEO!G56+CS!G56+CFO!G56+LLA!G56+'C&amp;E'!G56+CES!G56+LLT!G56+GB!G56</f>
        <v>8.0111324981165429E-14</v>
      </c>
      <c r="H56" s="7">
        <f>CEO!H56+CS!H56+CFO!H56+LLA!H56+'C&amp;E'!H56+CES!H56+LLT!H56+GB!H56</f>
        <v>8.0111324981165429E-14</v>
      </c>
      <c r="I56" s="7">
        <f>CEO!I56+CS!I56+CFO!I56+LLA!I56+'C&amp;E'!I56+CES!I56+LLT!I56+GB!I56</f>
        <v>8.0111324981165429E-14</v>
      </c>
      <c r="J56" s="7">
        <f>CEO!J56+CS!J56+CFO!J56+LLA!J56+'C&amp;E'!J56+CES!J56+LLT!J56+GB!J56</f>
        <v>8.0111324981165429E-14</v>
      </c>
      <c r="K56" s="7">
        <f>CEO!K56+CS!K56+CFO!K56+LLA!K56+'C&amp;E'!K56+CES!K56+LLT!K56+GB!K56</f>
        <v>8.0111324981165429E-14</v>
      </c>
      <c r="L56" s="7">
        <f>CEO!L56+CS!L56+CFO!L56+LLA!L56+'C&amp;E'!L56+CES!L56+LLT!L56+GB!L56</f>
        <v>8.0111324981165429E-14</v>
      </c>
      <c r="M56" s="13" t="s">
        <v>453</v>
      </c>
      <c r="N56" s="7">
        <f t="shared" si="34"/>
        <v>0</v>
      </c>
      <c r="O56" s="7">
        <f t="shared" si="35"/>
        <v>9.6133589977398489E-13</v>
      </c>
      <c r="P56" s="7">
        <f t="shared" si="4"/>
        <v>9.6133589977398489E-13</v>
      </c>
      <c r="Q56" s="7">
        <f>CEO!Q56+CS!Q56+CFO!Q56+LLA!Q56+'C&amp;E'!Q56+CES!Q56+LLT!Q56+GB!Q56</f>
        <v>9.6133589977398509E-13</v>
      </c>
      <c r="R56" s="7">
        <f t="shared" si="36"/>
        <v>0</v>
      </c>
      <c r="S56" s="7">
        <v>0</v>
      </c>
      <c r="T56" s="7">
        <f>CEO!T56+CS!T56+CFO!T56+LLA!T56+'C&amp;E'!T56+CES!T56+LLT!T56+GB!T56</f>
        <v>0</v>
      </c>
      <c r="U56" s="7">
        <f t="shared" si="7"/>
        <v>9.6133589977398509E-13</v>
      </c>
      <c r="V56" s="7">
        <f t="shared" si="6"/>
        <v>0</v>
      </c>
      <c r="W56" s="7"/>
      <c r="X56" s="7">
        <f>CEO!Q56+CS!Q56+CFO!Q56+LLA!Q56+'C&amp;E'!Q56+CES!Q56+LLT!Q56+GB!Q56</f>
        <v>9.6133589977398509E-13</v>
      </c>
      <c r="Y56" s="7">
        <f t="shared" si="37"/>
        <v>0</v>
      </c>
      <c r="Z56" s="7">
        <v>1.0074800229631365E-12</v>
      </c>
      <c r="AA56" s="7">
        <f t="shared" si="38"/>
        <v>1.0548315840424038E-12</v>
      </c>
      <c r="AC56" s="295">
        <f t="shared" si="30"/>
        <v>-4.6144123189151391E-14</v>
      </c>
    </row>
    <row r="57" spans="1:29" x14ac:dyDescent="0.3">
      <c r="A57" s="7">
        <f>CEO!A57+CS!A57+CFO!A57+LLA!A57+'C&amp;E'!A57+CES!A57+LLT!A57+GB!A57</f>
        <v>8663.8160000000007</v>
      </c>
      <c r="B57" s="7">
        <f>CEO!B57+CS!B57+CFO!B57+LLA!B57+'C&amp;E'!B57+CES!B57+LLT!B57+GB!B57</f>
        <v>8663.8160000000007</v>
      </c>
      <c r="C57" s="7">
        <f>CEO!C57+CS!C57+CFO!C57+LLA!C57+'C&amp;E'!C57+CES!C57+LLT!C57+GB!C57</f>
        <v>8663.8160000000007</v>
      </c>
      <c r="D57" s="7">
        <f>CEO!D57+CS!D57+CFO!D57+LLA!D57+'C&amp;E'!D57+CES!D57+LLT!D57+GB!D57</f>
        <v>8663.8160000000007</v>
      </c>
      <c r="E57" s="7">
        <f>CEO!E57+CS!E57+CFO!E57+LLA!E57+'C&amp;E'!E57+CES!E57+LLT!E57+GB!E57</f>
        <v>8663.8160000000007</v>
      </c>
      <c r="F57" s="7">
        <f>CEO!F57+CS!F57+CFO!F57+LLA!F57+'C&amp;E'!F57+CES!F57+LLT!F57+GB!F57</f>
        <v>8663.8160000000007</v>
      </c>
      <c r="G57" s="7">
        <f>CEO!G57+CS!G57+CFO!G57+LLA!G57+'C&amp;E'!G57+CES!G57+LLT!G57+GB!G57</f>
        <v>8663.8160000000007</v>
      </c>
      <c r="H57" s="7">
        <f>CEO!H57+CS!H57+CFO!H57+LLA!H57+'C&amp;E'!H57+CES!H57+LLT!H57+GB!H57</f>
        <v>8663.8160000000007</v>
      </c>
      <c r="I57" s="7">
        <f>CEO!I57+CS!I57+CFO!I57+LLA!I57+'C&amp;E'!I57+CES!I57+LLT!I57+GB!I57</f>
        <v>8663.8160000000007</v>
      </c>
      <c r="J57" s="7">
        <f>CEO!J57+CS!J57+CFO!J57+LLA!J57+'C&amp;E'!J57+CES!J57+LLT!J57+GB!J57</f>
        <v>8663.8160000000007</v>
      </c>
      <c r="K57" s="7">
        <f>CEO!K57+CS!K57+CFO!K57+LLA!K57+'C&amp;E'!K57+CES!K57+LLT!K57+GB!K57</f>
        <v>8663.8160000000007</v>
      </c>
      <c r="L57" s="7">
        <f>CEO!L57+CS!L57+CFO!L57+LLA!L57+'C&amp;E'!L57+CES!L57+LLT!L57+GB!L57</f>
        <v>8659.8160000000007</v>
      </c>
      <c r="M57" s="13" t="s">
        <v>454</v>
      </c>
      <c r="N57" s="7">
        <f t="shared" si="34"/>
        <v>0</v>
      </c>
      <c r="O57" s="7">
        <f t="shared" si="35"/>
        <v>103961.79200000003</v>
      </c>
      <c r="P57" s="7">
        <f t="shared" si="4"/>
        <v>103961.79200000003</v>
      </c>
      <c r="Q57" s="7">
        <f>CEO!Q57+CS!Q57+CFO!Q57+LLA!Q57+'C&amp;E'!Q57+CES!Q57+LLT!Q57+GB!Q57</f>
        <v>103961.79200000003</v>
      </c>
      <c r="R57" s="7">
        <f t="shared" si="36"/>
        <v>0</v>
      </c>
      <c r="S57" s="7">
        <v>0</v>
      </c>
      <c r="T57" s="7">
        <f>CEO!T57+CS!T57+CFO!T57+LLA!T57+'C&amp;E'!T57+CES!T57+LLT!T57+GB!T57</f>
        <v>129200</v>
      </c>
      <c r="U57" s="7">
        <f t="shared" si="7"/>
        <v>233161.79200000002</v>
      </c>
      <c r="V57" s="7">
        <f t="shared" si="6"/>
        <v>129199.99999999999</v>
      </c>
      <c r="W57" s="7"/>
      <c r="X57" s="7">
        <f>CEO!Q57+CS!Q57+CFO!Q57+LLA!Q57+'C&amp;E'!Q57+CES!Q57+LLT!Q57+GB!Q57</f>
        <v>103961.79200000003</v>
      </c>
      <c r="Y57" s="7">
        <f t="shared" si="37"/>
        <v>0</v>
      </c>
      <c r="Z57" s="7">
        <v>103961.60000000001</v>
      </c>
      <c r="AA57" s="7">
        <f t="shared" si="38"/>
        <v>108847.79519999999</v>
      </c>
      <c r="AC57" s="295">
        <f t="shared" si="30"/>
        <v>0.19200000002456363</v>
      </c>
    </row>
    <row r="58" spans="1:29" x14ac:dyDescent="0.3">
      <c r="A58" s="7">
        <f>CEO!A58+CS!A58+CFO!A58+LLA!A58+'C&amp;E'!A58+CES!A58+LLT!A58+GB!A58</f>
        <v>12692.153333333334</v>
      </c>
      <c r="B58" s="7">
        <f>CEO!B58+CS!B58+CFO!B58+LLA!B58+'C&amp;E'!B58+CES!B58+LLT!B58+GB!B58</f>
        <v>12697.393333333333</v>
      </c>
      <c r="C58" s="7">
        <f>CEO!C58+CS!C58+CFO!C58+LLA!C58+'C&amp;E'!C58+CES!C58+LLT!C58+GB!C58</f>
        <v>12697.393333333333</v>
      </c>
      <c r="D58" s="7">
        <f>CEO!D58+CS!D58+CFO!D58+LLA!D58+'C&amp;E'!D58+CES!D58+LLT!D58+GB!D58</f>
        <v>12697.393333333333</v>
      </c>
      <c r="E58" s="7">
        <f>CEO!E58+CS!E58+CFO!E58+LLA!E58+'C&amp;E'!E58+CES!E58+LLT!E58+GB!E58</f>
        <v>12697.393333333333</v>
      </c>
      <c r="F58" s="7">
        <f>CEO!F58+CS!F58+CFO!F58+LLA!F58+'C&amp;E'!F58+CES!F58+LLT!F58+GB!F58</f>
        <v>12697.393333333333</v>
      </c>
      <c r="G58" s="7">
        <f>CEO!G58+CS!G58+CFO!G58+LLA!G58+'C&amp;E'!G58+CES!G58+LLT!G58+GB!G58</f>
        <v>12697.393333333333</v>
      </c>
      <c r="H58" s="7">
        <f>CEO!H58+CS!H58+CFO!H58+LLA!H58+'C&amp;E'!H58+CES!H58+LLT!H58+GB!H58</f>
        <v>14697.393333333333</v>
      </c>
      <c r="I58" s="7">
        <f>CEO!I58+CS!I58+CFO!I58+LLA!I58+'C&amp;E'!I58+CES!I58+LLT!I58+GB!I58</f>
        <v>12697.393333333333</v>
      </c>
      <c r="J58" s="7">
        <f>CEO!J58+CS!J58+CFO!J58+LLA!J58+'C&amp;E'!J58+CES!J58+LLT!J58+GB!J58</f>
        <v>12697.393333333333</v>
      </c>
      <c r="K58" s="7">
        <f>CEO!K58+CS!K58+CFO!K58+LLA!K58+'C&amp;E'!K58+CES!K58+LLT!K58+GB!K58</f>
        <v>12697.393333333333</v>
      </c>
      <c r="L58" s="7">
        <f>CEO!L58+CS!L58+CFO!L58+LLA!L58+'C&amp;E'!L58+CES!L58+LLT!L58+GB!L58</f>
        <v>12793.393333333333</v>
      </c>
      <c r="M58" s="13" t="s">
        <v>455</v>
      </c>
      <c r="N58" s="7">
        <f t="shared" si="34"/>
        <v>0</v>
      </c>
      <c r="O58" s="7">
        <f t="shared" si="35"/>
        <v>154459.48000000004</v>
      </c>
      <c r="P58" s="7">
        <f t="shared" si="4"/>
        <v>154459.48000000004</v>
      </c>
      <c r="Q58" s="7">
        <f>CEO!Q58+CS!Q58+CFO!Q58+LLA!Q58+'C&amp;E'!Q58+CES!Q58+LLT!Q58+GB!Q58</f>
        <v>154459.47999999998</v>
      </c>
      <c r="R58" s="7">
        <f t="shared" si="36"/>
        <v>0</v>
      </c>
      <c r="S58" s="7">
        <v>4612</v>
      </c>
      <c r="T58" s="7">
        <f>CEO!T58+CS!T58+CFO!T58+LLA!T58+'C&amp;E'!T58+CES!T58+LLT!T58+GB!T58</f>
        <v>41405.626695324601</v>
      </c>
      <c r="U58" s="7">
        <f t="shared" si="7"/>
        <v>200477.10669532459</v>
      </c>
      <c r="V58" s="7">
        <f t="shared" si="6"/>
        <v>46017.62669532455</v>
      </c>
      <c r="W58" s="7"/>
      <c r="X58" s="7">
        <f>CEO!Q58+CS!Q58+CFO!Q58+LLA!Q58+'C&amp;E'!Q58+CES!Q58+LLT!Q58+GB!Q58</f>
        <v>154459.47999999998</v>
      </c>
      <c r="Y58" s="7">
        <f t="shared" si="37"/>
        <v>0</v>
      </c>
      <c r="Z58" s="7">
        <v>154459.97320104929</v>
      </c>
      <c r="AA58" s="7">
        <f t="shared" si="38"/>
        <v>161719.5919414986</v>
      </c>
      <c r="AC58" s="295">
        <f>Q58-Z58</f>
        <v>-0.49320104930666275</v>
      </c>
    </row>
    <row r="59" spans="1:29" x14ac:dyDescent="0.3">
      <c r="A59" s="7">
        <f>CEO!A59+CS!A59+CFO!A59+LLA!A59+'C&amp;E'!A59+CES!A59+LLT!A59+GB!A59</f>
        <v>0</v>
      </c>
      <c r="B59" s="7">
        <f>CEO!B59+CS!B59+CFO!B59+LLA!B59+'C&amp;E'!B59+CES!B59+LLT!B59+GB!B59</f>
        <v>0</v>
      </c>
      <c r="C59" s="7">
        <f>CEO!C59+CS!C59+CFO!C59+LLA!C59+'C&amp;E'!C59+CES!C59+LLT!C59+GB!C59</f>
        <v>0</v>
      </c>
      <c r="D59" s="7">
        <f>CEO!D59+CS!D59+CFO!D59+LLA!D59+'C&amp;E'!D59+CES!D59+LLT!D59+GB!D59</f>
        <v>0</v>
      </c>
      <c r="E59" s="7">
        <f>CEO!E59+CS!E59+CFO!E59+LLA!E59+'C&amp;E'!E59+CES!E59+LLT!E59+GB!E59</f>
        <v>0</v>
      </c>
      <c r="F59" s="7">
        <f>CEO!F59+CS!F59+CFO!F59+LLA!F59+'C&amp;E'!F59+CES!F59+LLT!F59+GB!F59</f>
        <v>0</v>
      </c>
      <c r="G59" s="7">
        <f>CEO!G59+CS!G59+CFO!G59+LLA!G59+'C&amp;E'!G59+CES!G59+LLT!G59+GB!G59</f>
        <v>0</v>
      </c>
      <c r="H59" s="7">
        <f>CEO!H59+CS!H59+CFO!H59+LLA!H59+'C&amp;E'!H59+CES!H59+LLT!H59+GB!H59</f>
        <v>0</v>
      </c>
      <c r="I59" s="7">
        <f>CEO!I59+CS!I59+CFO!I59+LLA!I59+'C&amp;E'!I59+CES!I59+LLT!I59+GB!I59</f>
        <v>0</v>
      </c>
      <c r="J59" s="7">
        <f>CEO!J59+CS!J59+CFO!J59+LLA!J59+'C&amp;E'!J59+CES!J59+LLT!J59+GB!J59</f>
        <v>0</v>
      </c>
      <c r="K59" s="7">
        <f>CEO!K59+CS!K59+CFO!K59+LLA!K59+'C&amp;E'!K59+CES!K59+LLT!K59+GB!K59</f>
        <v>0</v>
      </c>
      <c r="L59" s="7">
        <f>CEO!L59+CS!L59+CFO!L59+LLA!L59+'C&amp;E'!L59+CES!L59+LLT!L59+GB!L59</f>
        <v>0</v>
      </c>
      <c r="M59" s="13" t="s">
        <v>456</v>
      </c>
      <c r="N59" s="7">
        <f t="shared" si="34"/>
        <v>0</v>
      </c>
      <c r="O59" s="7">
        <f t="shared" si="35"/>
        <v>0</v>
      </c>
      <c r="P59" s="7">
        <f t="shared" si="4"/>
        <v>0</v>
      </c>
      <c r="Q59" s="7">
        <f>CEO!Q59+CS!Q59+CFO!Q59+LLA!Q59+'C&amp;E'!Q59+CES!Q59+LLT!Q59+GB!Q59</f>
        <v>0</v>
      </c>
      <c r="R59" s="7">
        <f t="shared" si="36"/>
        <v>0</v>
      </c>
      <c r="S59" s="7">
        <v>0</v>
      </c>
      <c r="T59" s="7">
        <f>CEO!T59+CS!T59+CFO!T59+LLA!T59+'C&amp;E'!T59+CES!T59+LLT!T59+GB!T59</f>
        <v>2727.395</v>
      </c>
      <c r="U59" s="7">
        <f t="shared" si="7"/>
        <v>2727.395</v>
      </c>
      <c r="V59" s="7">
        <f t="shared" si="6"/>
        <v>2727.395</v>
      </c>
      <c r="W59" s="7"/>
      <c r="X59" s="7">
        <f>CEO!Q59+CS!Q59+CFO!Q59+LLA!Q59+'C&amp;E'!Q59+CES!Q59+LLT!Q59+GB!Q59</f>
        <v>0</v>
      </c>
      <c r="Y59" s="7">
        <f t="shared" si="37"/>
        <v>0</v>
      </c>
      <c r="Z59" s="7">
        <v>0</v>
      </c>
      <c r="AA59" s="7">
        <f t="shared" si="38"/>
        <v>0</v>
      </c>
      <c r="AC59" s="295">
        <f t="shared" si="30"/>
        <v>0</v>
      </c>
    </row>
    <row r="60" spans="1:29" x14ac:dyDescent="0.3">
      <c r="A60" s="7">
        <f>CEO!A60+CS!A60+CFO!A60+LLA!A60+'C&amp;E'!A60+CES!A60+LLT!A60+GB!A60</f>
        <v>3406</v>
      </c>
      <c r="B60" s="7">
        <f>CEO!B60+CS!B60+CFO!B60+LLA!B60+'C&amp;E'!B60+CES!B60+LLT!B60+GB!B60</f>
        <v>3406</v>
      </c>
      <c r="C60" s="7">
        <f>CEO!C60+CS!C60+CFO!C60+LLA!C60+'C&amp;E'!C60+CES!C60+LLT!C60+GB!C60</f>
        <v>3406</v>
      </c>
      <c r="D60" s="7">
        <f>CEO!D60+CS!D60+CFO!D60+LLA!D60+'C&amp;E'!D60+CES!D60+LLT!D60+GB!D60</f>
        <v>3406</v>
      </c>
      <c r="E60" s="7">
        <f>CEO!E60+CS!E60+CFO!E60+LLA!E60+'C&amp;E'!E60+CES!E60+LLT!E60+GB!E60</f>
        <v>3406</v>
      </c>
      <c r="F60" s="7">
        <f>CEO!F60+CS!F60+CFO!F60+LLA!F60+'C&amp;E'!F60+CES!F60+LLT!F60+GB!F60</f>
        <v>3406</v>
      </c>
      <c r="G60" s="7">
        <f>CEO!G60+CS!G60+CFO!G60+LLA!G60+'C&amp;E'!G60+CES!G60+LLT!G60+GB!G60</f>
        <v>3406</v>
      </c>
      <c r="H60" s="7">
        <f>CEO!H60+CS!H60+CFO!H60+LLA!H60+'C&amp;E'!H60+CES!H60+LLT!H60+GB!H60</f>
        <v>3406</v>
      </c>
      <c r="I60" s="7">
        <f>CEO!I60+CS!I60+CFO!I60+LLA!I60+'C&amp;E'!I60+CES!I60+LLT!I60+GB!I60</f>
        <v>3406</v>
      </c>
      <c r="J60" s="7">
        <f>CEO!J60+CS!J60+CFO!J60+LLA!J60+'C&amp;E'!J60+CES!J60+LLT!J60+GB!J60</f>
        <v>3406</v>
      </c>
      <c r="K60" s="7">
        <f>CEO!K60+CS!K60+CFO!K60+LLA!K60+'C&amp;E'!K60+CES!K60+LLT!K60+GB!K60</f>
        <v>3406</v>
      </c>
      <c r="L60" s="7">
        <f>CEO!L60+CS!L60+CFO!L60+LLA!L60+'C&amp;E'!L60+CES!L60+LLT!L60+GB!L60</f>
        <v>3406</v>
      </c>
      <c r="M60" s="13" t="s">
        <v>457</v>
      </c>
      <c r="N60" s="7">
        <f t="shared" si="34"/>
        <v>0</v>
      </c>
      <c r="O60" s="7">
        <f t="shared" si="35"/>
        <v>40872</v>
      </c>
      <c r="P60" s="7">
        <f t="shared" si="4"/>
        <v>40872</v>
      </c>
      <c r="Q60" s="7">
        <f>CEO!Q60+CS!Q60+CFO!Q60+LLA!Q60+'C&amp;E'!Q60+CES!Q60+LLT!Q60+GB!Q60</f>
        <v>40872</v>
      </c>
      <c r="R60" s="7">
        <f t="shared" si="36"/>
        <v>0</v>
      </c>
      <c r="S60" s="7">
        <v>0</v>
      </c>
      <c r="T60" s="7">
        <f>CEO!T60+CS!T60+CFO!T60+LLA!T60+'C&amp;E'!T60+CES!T60+LLT!T60+GB!T60</f>
        <v>0</v>
      </c>
      <c r="U60" s="7">
        <f t="shared" si="7"/>
        <v>40872</v>
      </c>
      <c r="V60" s="7">
        <f t="shared" si="6"/>
        <v>0</v>
      </c>
      <c r="W60" s="7"/>
      <c r="X60" s="7">
        <f>CEO!Q60+CS!Q60+CFO!Q60+LLA!Q60+'C&amp;E'!Q60+CES!Q60+LLT!Q60+GB!Q60</f>
        <v>40872</v>
      </c>
      <c r="Y60" s="7">
        <f t="shared" si="37"/>
        <v>0</v>
      </c>
      <c r="Z60" s="7">
        <v>40872</v>
      </c>
      <c r="AA60" s="7">
        <f t="shared" si="38"/>
        <v>42792.983999999997</v>
      </c>
      <c r="AC60" s="295">
        <f t="shared" si="30"/>
        <v>0</v>
      </c>
    </row>
    <row r="61" spans="1:29" x14ac:dyDescent="0.3">
      <c r="A61" s="7">
        <f>CEO!A61+CS!A61+CFO!A61+LLA!A61+'C&amp;E'!A61+CES!A61+LLT!A61+GB!A61</f>
        <v>9720.2000000000007</v>
      </c>
      <c r="B61" s="7">
        <f>CEO!B61+CS!B61+CFO!B61+LLA!B61+'C&amp;E'!B61+CES!B61+LLT!B61+GB!B61</f>
        <v>9720.2000000000007</v>
      </c>
      <c r="C61" s="7">
        <f>CEO!C61+CS!C61+CFO!C61+LLA!C61+'C&amp;E'!C61+CES!C61+LLT!C61+GB!C61</f>
        <v>9720.2000000000007</v>
      </c>
      <c r="D61" s="7">
        <f>CEO!D61+CS!D61+CFO!D61+LLA!D61+'C&amp;E'!D61+CES!D61+LLT!D61+GB!D61</f>
        <v>9720.2000000000007</v>
      </c>
      <c r="E61" s="7">
        <f>CEO!E61+CS!E61+CFO!E61+LLA!E61+'C&amp;E'!E61+CES!E61+LLT!E61+GB!E61</f>
        <v>9720.2000000000007</v>
      </c>
      <c r="F61" s="7">
        <f>CEO!F61+CS!F61+CFO!F61+LLA!F61+'C&amp;E'!F61+CES!F61+LLT!F61+GB!F61</f>
        <v>9720.2000000000007</v>
      </c>
      <c r="G61" s="7">
        <f>CEO!G61+CS!G61+CFO!G61+LLA!G61+'C&amp;E'!G61+CES!G61+LLT!G61+GB!G61</f>
        <v>9720.2000000000007</v>
      </c>
      <c r="H61" s="7">
        <f>CEO!H61+CS!H61+CFO!H61+LLA!H61+'C&amp;E'!H61+CES!H61+LLT!H61+GB!H61</f>
        <v>9720.2000000000007</v>
      </c>
      <c r="I61" s="7">
        <f>CEO!I61+CS!I61+CFO!I61+LLA!I61+'C&amp;E'!I61+CES!I61+LLT!I61+GB!I61</f>
        <v>9720.2000000000007</v>
      </c>
      <c r="J61" s="7">
        <f>CEO!J61+CS!J61+CFO!J61+LLA!J61+'C&amp;E'!J61+CES!J61+LLT!J61+GB!J61</f>
        <v>9720.2000000000007</v>
      </c>
      <c r="K61" s="7">
        <f>CEO!K61+CS!K61+CFO!K61+LLA!K61+'C&amp;E'!K61+CES!K61+LLT!K61+GB!K61</f>
        <v>9720.2000000000007</v>
      </c>
      <c r="L61" s="7">
        <f>CEO!L61+CS!L61+CFO!L61+LLA!L61+'C&amp;E'!L61+CES!L61+LLT!L61+GB!L61</f>
        <v>9722.2000000000007</v>
      </c>
      <c r="M61" s="13" t="s">
        <v>458</v>
      </c>
      <c r="N61" s="7">
        <f t="shared" si="34"/>
        <v>0</v>
      </c>
      <c r="O61" s="7">
        <f t="shared" si="35"/>
        <v>116644.39999999998</v>
      </c>
      <c r="P61" s="7">
        <f t="shared" si="4"/>
        <v>116644.39999999998</v>
      </c>
      <c r="Q61" s="7">
        <f>CEO!Q61+CS!Q61+CFO!Q61+LLA!Q61+'C&amp;E'!Q61+CES!Q61+LLT!Q61+GB!Q61</f>
        <v>116644.39999999998</v>
      </c>
      <c r="R61" s="7">
        <f t="shared" si="36"/>
        <v>0</v>
      </c>
      <c r="S61" s="7">
        <v>0</v>
      </c>
      <c r="T61" s="7">
        <f>CEO!T61+CS!T61+CFO!T61+LLA!T61+'C&amp;E'!T61+CES!T61+LLT!T61+GB!T61</f>
        <v>0</v>
      </c>
      <c r="U61" s="7">
        <f t="shared" si="7"/>
        <v>116644.39999999998</v>
      </c>
      <c r="V61" s="7">
        <f t="shared" si="6"/>
        <v>0</v>
      </c>
      <c r="W61" s="7"/>
      <c r="X61" s="7">
        <f>CEO!Q61+CS!Q61+CFO!Q61+LLA!Q61+'C&amp;E'!Q61+CES!Q61+LLT!Q61+GB!Q61</f>
        <v>116644.39999999998</v>
      </c>
      <c r="Y61" s="7">
        <f t="shared" si="37"/>
        <v>0</v>
      </c>
      <c r="Z61" s="7">
        <v>116644.6008</v>
      </c>
      <c r="AA61" s="7">
        <f t="shared" si="38"/>
        <v>122126.89703759999</v>
      </c>
      <c r="AC61" s="295">
        <f t="shared" si="30"/>
        <v>-0.20080000002053566</v>
      </c>
    </row>
    <row r="62" spans="1:29" x14ac:dyDescent="0.3">
      <c r="A62" s="7">
        <f>CEO!A62+CS!A62+CFO!A62+LLA!A62+'C&amp;E'!A62+CES!A62+LLT!A62+GB!A62</f>
        <v>5335.4204</v>
      </c>
      <c r="B62" s="7">
        <f>CEO!B62+CS!B62+CFO!B62+LLA!B62+'C&amp;E'!B62+CES!B62+LLT!B62+GB!B62</f>
        <v>5335.4204</v>
      </c>
      <c r="C62" s="7">
        <f>CEO!C62+CS!C62+CFO!C62+LLA!C62+'C&amp;E'!C62+CES!C62+LLT!C62+GB!C62</f>
        <v>5335.4204</v>
      </c>
      <c r="D62" s="7">
        <f>CEO!D62+CS!D62+CFO!D62+LLA!D62+'C&amp;E'!D62+CES!D62+LLT!D62+GB!D62</f>
        <v>5335.4204</v>
      </c>
      <c r="E62" s="7">
        <f>CEO!E62+CS!E62+CFO!E62+LLA!E62+'C&amp;E'!E62+CES!E62+LLT!E62+GB!E62</f>
        <v>5335.4204</v>
      </c>
      <c r="F62" s="7">
        <f>CEO!F62+CS!F62+CFO!F62+LLA!F62+'C&amp;E'!F62+CES!F62+LLT!F62+GB!F62</f>
        <v>5335.4204</v>
      </c>
      <c r="G62" s="7">
        <f>CEO!G62+CS!G62+CFO!G62+LLA!G62+'C&amp;E'!G62+CES!G62+LLT!G62+GB!G62</f>
        <v>5335.4204</v>
      </c>
      <c r="H62" s="7">
        <f>CEO!H62+CS!H62+CFO!H62+LLA!H62+'C&amp;E'!H62+CES!H62+LLT!H62+GB!H62</f>
        <v>5335.4204</v>
      </c>
      <c r="I62" s="7">
        <f>CEO!I62+CS!I62+CFO!I62+LLA!I62+'C&amp;E'!I62+CES!I62+LLT!I62+GB!I62</f>
        <v>50609.727895368</v>
      </c>
      <c r="J62" s="7">
        <f>CEO!J62+CS!J62+CFO!J62+LLA!J62+'C&amp;E'!J62+CES!J62+LLT!J62+GB!J62</f>
        <v>5335.4204</v>
      </c>
      <c r="K62" s="7">
        <f>CEO!K62+CS!K62+CFO!K62+LLA!K62+'C&amp;E'!K62+CES!K62+LLT!K62+GB!K62</f>
        <v>5335.4204</v>
      </c>
      <c r="L62" s="7">
        <f>CEO!L62+CS!L62+CFO!L62+LLA!L62+'C&amp;E'!L62+CES!L62+LLT!L62+GB!L62</f>
        <v>5335.4204</v>
      </c>
      <c r="M62" s="390" t="s">
        <v>459</v>
      </c>
      <c r="N62" s="7">
        <f t="shared" si="34"/>
        <v>0</v>
      </c>
      <c r="O62" s="7">
        <f t="shared" si="35"/>
        <v>109299.35229536801</v>
      </c>
      <c r="P62" s="7">
        <f t="shared" si="4"/>
        <v>109299.35229536801</v>
      </c>
      <c r="Q62" s="7">
        <f>CEO!Q62+CS!Q62+CFO!Q62+LLA!Q62+'C&amp;E'!Q62+CES!Q62+LLT!Q62+GB!Q62</f>
        <v>109299.35229536801</v>
      </c>
      <c r="R62" s="7">
        <f t="shared" si="36"/>
        <v>0</v>
      </c>
      <c r="S62" s="7">
        <v>0</v>
      </c>
      <c r="T62" s="7">
        <f>CEO!T62+CS!T62+CFO!T62+LLA!T62+'C&amp;E'!T62+CES!T62+LLT!T62+GB!T62</f>
        <v>73200.989999999991</v>
      </c>
      <c r="U62" s="7">
        <f t="shared" si="7"/>
        <v>182500.342295368</v>
      </c>
      <c r="V62" s="7">
        <f t="shared" si="6"/>
        <v>73200.989999999991</v>
      </c>
      <c r="W62" s="7"/>
      <c r="X62" s="7">
        <f>CEO!Q62+CS!Q62+CFO!Q62+LLA!Q62+'C&amp;E'!Q62+CES!Q62+LLT!Q62+GB!Q62</f>
        <v>109299.35229536801</v>
      </c>
      <c r="Y62" s="7">
        <f t="shared" si="37"/>
        <v>0</v>
      </c>
      <c r="Z62" s="7">
        <v>109299.35229536801</v>
      </c>
      <c r="AA62" s="7">
        <f t="shared" si="38"/>
        <v>114436.4218532503</v>
      </c>
      <c r="AC62" s="295">
        <f t="shared" si="30"/>
        <v>0</v>
      </c>
    </row>
    <row r="63" spans="1:29" x14ac:dyDescent="0.3">
      <c r="A63" s="11">
        <f>CEO!A63+CS!A63+CFO!A63+LLA!A63+'C&amp;E'!A63+CES!A63+LLT!A63+GB!A63</f>
        <v>13189.08</v>
      </c>
      <c r="B63" s="11">
        <f>CEO!B63+CS!B63+CFO!B63+LLA!B63+'C&amp;E'!B63+CES!B63+LLT!B63+GB!B63</f>
        <v>13189.08</v>
      </c>
      <c r="C63" s="11">
        <f>CEO!C63+CS!C63+CFO!C63+LLA!C63+'C&amp;E'!C63+CES!C63+LLT!C63+GB!C63</f>
        <v>13189.08</v>
      </c>
      <c r="D63" s="11">
        <f>CEO!D63+CS!D63+CFO!D63+LLA!D63+'C&amp;E'!D63+CES!D63+LLT!D63+GB!D63</f>
        <v>13189.08</v>
      </c>
      <c r="E63" s="11">
        <f>CEO!E63+CS!E63+CFO!E63+LLA!E63+'C&amp;E'!E63+CES!E63+LLT!E63+GB!E63</f>
        <v>13189.08</v>
      </c>
      <c r="F63" s="11">
        <f>CEO!F63+CS!F63+CFO!F63+LLA!F63+'C&amp;E'!F63+CES!F63+LLT!F63+GB!F63</f>
        <v>13189.08</v>
      </c>
      <c r="G63" s="11">
        <f>CEO!G63+CS!G63+CFO!G63+LLA!G63+'C&amp;E'!G63+CES!G63+LLT!G63+GB!G63</f>
        <v>13189.08</v>
      </c>
      <c r="H63" s="11">
        <f>CEO!H63+CS!H63+CFO!H63+LLA!H63+'C&amp;E'!H63+CES!H63+LLT!H63+GB!H63</f>
        <v>13189.08</v>
      </c>
      <c r="I63" s="11">
        <f>CEO!I63+CS!I63+CFO!I63+LLA!I63+'C&amp;E'!I63+CES!I63+LLT!I63+GB!I63</f>
        <v>13189.08</v>
      </c>
      <c r="J63" s="11">
        <f>CEO!J63+CS!J63+CFO!J63+LLA!J63+'C&amp;E'!J63+CES!J63+LLT!J63+GB!J63</f>
        <v>13189.08</v>
      </c>
      <c r="K63" s="11">
        <f>CEO!K63+CS!K63+CFO!K63+LLA!K63+'C&amp;E'!K63+CES!K63+LLT!K63+GB!K63</f>
        <v>13189.08</v>
      </c>
      <c r="L63" s="11">
        <f>CEO!L63+CS!L63+CFO!L63+LLA!L63+'C&amp;E'!L63+CES!L63+LLT!L63+GB!L63</f>
        <v>13193.08</v>
      </c>
      <c r="M63" s="390" t="s">
        <v>460</v>
      </c>
      <c r="N63" s="11">
        <f t="shared" si="34"/>
        <v>0</v>
      </c>
      <c r="O63" s="11">
        <f t="shared" si="35"/>
        <v>158272.95999999996</v>
      </c>
      <c r="P63" s="11">
        <f t="shared" si="4"/>
        <v>158272.95999999996</v>
      </c>
      <c r="Q63" s="11">
        <f>CEO!Q63+CS!Q63+CFO!Q63+LLA!Q63+'C&amp;E'!Q63+CES!Q63+LLT!Q63+GB!Q63</f>
        <v>158272.95999999996</v>
      </c>
      <c r="R63" s="11">
        <f t="shared" si="36"/>
        <v>0</v>
      </c>
      <c r="S63" s="11">
        <v>0</v>
      </c>
      <c r="T63" s="11">
        <f>CEO!T63+CS!T63+CFO!T63+LLA!T63+'C&amp;E'!T63+CES!T63+LLT!T63+GB!T63</f>
        <v>166728</v>
      </c>
      <c r="U63" s="11">
        <f t="shared" si="7"/>
        <v>325000.95999999996</v>
      </c>
      <c r="V63" s="11">
        <f t="shared" si="6"/>
        <v>166728</v>
      </c>
      <c r="W63" s="11"/>
      <c r="X63" s="11">
        <f>CEO!Q63+CS!Q63+CFO!Q63+LLA!Q63+'C&amp;E'!Q63+CES!Q63+LLT!Q63+GB!Q63</f>
        <v>158272.95999999996</v>
      </c>
      <c r="Y63" s="11">
        <f t="shared" si="37"/>
        <v>0</v>
      </c>
      <c r="Z63" s="11">
        <v>158272.73513704003</v>
      </c>
      <c r="AA63" s="11">
        <f t="shared" si="38"/>
        <v>165711.5536884809</v>
      </c>
      <c r="AC63" s="295">
        <f t="shared" si="30"/>
        <v>0.22486295993439853</v>
      </c>
    </row>
    <row r="64" spans="1:29" ht="4.95" customHeight="1" thickBot="1" x14ac:dyDescent="0.35">
      <c r="A64" s="89"/>
      <c r="B64" s="89"/>
      <c r="C64" s="89"/>
      <c r="D64" s="90"/>
      <c r="E64" s="91"/>
      <c r="F64" s="91"/>
      <c r="G64" s="91"/>
      <c r="H64" s="91"/>
      <c r="I64" s="91"/>
      <c r="J64" s="91"/>
      <c r="K64" s="91"/>
      <c r="L64" s="91"/>
      <c r="M64" s="13"/>
      <c r="N64" s="91">
        <f t="shared" si="9"/>
        <v>0</v>
      </c>
      <c r="O64" s="91">
        <f t="shared" si="10"/>
        <v>0</v>
      </c>
      <c r="P64" s="91">
        <f t="shared" si="4"/>
        <v>0</v>
      </c>
      <c r="Q64" s="91"/>
      <c r="R64" s="91">
        <f t="shared" si="11"/>
        <v>0</v>
      </c>
      <c r="S64" s="91">
        <v>0</v>
      </c>
      <c r="T64" s="89">
        <f>CEO!T64+CS!T64+CFO!T64+LLA!T64+'C&amp;E'!T64+CES!T64+LLT!T64+GB!T64</f>
        <v>0</v>
      </c>
      <c r="U64" s="89">
        <f t="shared" si="7"/>
        <v>0</v>
      </c>
      <c r="V64" s="89">
        <f t="shared" si="6"/>
        <v>0</v>
      </c>
      <c r="W64" s="89"/>
      <c r="X64" s="91">
        <f>CEO!Q64+CS!Q64+CFO!Q64+LLA!Q64+'C&amp;E'!Q64+CES!Q64+LLT!Q64+GB!Q64</f>
        <v>0</v>
      </c>
      <c r="Y64" s="91">
        <f t="shared" si="12"/>
        <v>0</v>
      </c>
      <c r="Z64" s="91"/>
      <c r="AA64" s="91"/>
      <c r="AC64" s="295">
        <f t="shared" si="30"/>
        <v>0</v>
      </c>
    </row>
    <row r="65" spans="1:29" x14ac:dyDescent="0.3">
      <c r="A65" s="4">
        <f>SUM(A48:A63)</f>
        <v>72338.589821466681</v>
      </c>
      <c r="B65" s="4">
        <f>SUM(B48:B63)</f>
        <v>77583.829821466672</v>
      </c>
      <c r="C65" s="4">
        <f t="shared" ref="C65:L65" si="39">SUM(C48:C63)</f>
        <v>73391.829821466672</v>
      </c>
      <c r="D65" s="4">
        <f t="shared" si="39"/>
        <v>74321.405821466673</v>
      </c>
      <c r="E65" s="4">
        <f t="shared" si="39"/>
        <v>80702.67782146667</v>
      </c>
      <c r="F65" s="4">
        <f t="shared" si="39"/>
        <v>72568.101821466684</v>
      </c>
      <c r="G65" s="4">
        <f t="shared" si="39"/>
        <v>75369.405821466673</v>
      </c>
      <c r="H65" s="4">
        <f t="shared" si="39"/>
        <v>81165.261821466673</v>
      </c>
      <c r="I65" s="4">
        <f t="shared" si="39"/>
        <v>120882.08086599949</v>
      </c>
      <c r="J65" s="4">
        <f t="shared" si="39"/>
        <v>74321.405821466673</v>
      </c>
      <c r="K65" s="4">
        <f t="shared" si="39"/>
        <v>72343.281683389549</v>
      </c>
      <c r="L65" s="4">
        <f t="shared" si="39"/>
        <v>74559.8304940464</v>
      </c>
      <c r="M65" s="13" t="s">
        <v>132</v>
      </c>
      <c r="N65" s="4">
        <f t="shared" ref="N65:P65" si="40">SUM(N48:N63)</f>
        <v>0</v>
      </c>
      <c r="O65" s="4">
        <f t="shared" si="40"/>
        <v>949547.70143663546</v>
      </c>
      <c r="P65" s="4">
        <f t="shared" si="40"/>
        <v>949547.70143663546</v>
      </c>
      <c r="Q65" s="4">
        <f>SUM(Q48:Q63)</f>
        <v>949547.95615463529</v>
      </c>
      <c r="R65" s="4">
        <f t="shared" ref="R65:S65" si="41">SUM(R48:R63)</f>
        <v>0.25471799998194911</v>
      </c>
      <c r="S65" s="4">
        <f t="shared" si="41"/>
        <v>83744.000000000015</v>
      </c>
      <c r="T65" s="4">
        <f>CEO!T65+CS!T65+CFO!T65+LLA!T65+'C&amp;E'!T65+CES!T65+LLT!T65+GB!T65</f>
        <v>390222.74440532457</v>
      </c>
      <c r="U65" s="4">
        <f t="shared" si="7"/>
        <v>1423514.7005599597</v>
      </c>
      <c r="V65" s="4">
        <f t="shared" si="6"/>
        <v>473966.99912332429</v>
      </c>
      <c r="W65" s="4"/>
      <c r="X65" s="4">
        <f>CEO!Q65+CS!Q65+CFO!Q65+LLA!Q65+'C&amp;E'!Q65+CES!Q65+LLT!Q65+GB!Q65</f>
        <v>949547.95615463541</v>
      </c>
      <c r="Y65" s="4">
        <f t="shared" si="12"/>
        <v>0</v>
      </c>
      <c r="Z65" s="4">
        <f>SUM(Z48:Z63)</f>
        <v>949548.55421012745</v>
      </c>
      <c r="AA65" s="4">
        <f>SUM(AA48:AA63)</f>
        <v>994177.33625800337</v>
      </c>
      <c r="AC65" s="295">
        <f t="shared" si="30"/>
        <v>-0.59805549215525389</v>
      </c>
    </row>
    <row r="66" spans="1:29" x14ac:dyDescent="0.3">
      <c r="A66" s="81"/>
      <c r="B66" s="81"/>
      <c r="C66" s="81"/>
      <c r="D66" s="82"/>
      <c r="E66" s="86"/>
      <c r="F66" s="86"/>
      <c r="G66" s="86"/>
      <c r="H66" s="86"/>
      <c r="I66" s="86"/>
      <c r="J66" s="86"/>
      <c r="K66" s="86"/>
      <c r="L66" s="86"/>
      <c r="M66" s="80"/>
      <c r="N66" s="86">
        <f t="shared" si="9"/>
        <v>0</v>
      </c>
      <c r="O66" s="86">
        <f t="shared" si="10"/>
        <v>0</v>
      </c>
      <c r="P66" s="86">
        <f t="shared" si="4"/>
        <v>0</v>
      </c>
      <c r="Q66" s="86"/>
      <c r="R66" s="86">
        <f t="shared" si="11"/>
        <v>0</v>
      </c>
      <c r="S66" s="86">
        <v>0</v>
      </c>
      <c r="T66" s="81">
        <f>CEO!T66+CS!T66+CFO!T66+LLA!T66+'C&amp;E'!T66+CES!T66+LLT!T66+GB!T66</f>
        <v>0</v>
      </c>
      <c r="U66" s="81">
        <f t="shared" si="7"/>
        <v>0</v>
      </c>
      <c r="V66" s="81">
        <f t="shared" si="6"/>
        <v>0</v>
      </c>
      <c r="W66" s="81"/>
      <c r="X66" s="86">
        <f>CEO!Q66+CS!Q66+CFO!Q66+LLA!Q66+'C&amp;E'!Q66+CES!Q66+LLT!Q66+GB!Q66</f>
        <v>0</v>
      </c>
      <c r="Y66" s="86">
        <f t="shared" si="12"/>
        <v>0</v>
      </c>
      <c r="Z66" s="86"/>
      <c r="AA66" s="86"/>
    </row>
    <row r="67" spans="1:29" x14ac:dyDescent="0.3">
      <c r="A67" s="8">
        <f>CEO!A67+CS!A67+CFO!A67+LLA!A67+'C&amp;E'!A67+CES!A67+LLT!A67+GB!A67</f>
        <v>0</v>
      </c>
      <c r="B67" s="8">
        <f>CEO!B67+CS!B67+CFO!B67+LLA!B67+'C&amp;E'!B67+CES!B67+LLT!B67+GB!B67</f>
        <v>0</v>
      </c>
      <c r="C67" s="8">
        <f>CEO!C67+CS!C67+CFO!C67+LLA!C67+'C&amp;E'!C67+CES!C67+LLT!C67+GB!C67</f>
        <v>57005.96</v>
      </c>
      <c r="D67" s="8">
        <f>CEO!D67+CS!D67+CFO!D67+LLA!D67+'C&amp;E'!D67+CES!D67+LLT!D67+GB!D67</f>
        <v>0</v>
      </c>
      <c r="E67" s="8">
        <f>CEO!E67+CS!E67+CFO!E67+LLA!E67+'C&amp;E'!E67+CES!E67+LLT!E67+GB!E67</f>
        <v>0</v>
      </c>
      <c r="F67" s="8">
        <f>CEO!F67+CS!F67+CFO!F67+LLA!F67+'C&amp;E'!F67+CES!F67+LLT!F67+GB!F67</f>
        <v>152594.04</v>
      </c>
      <c r="G67" s="8">
        <f>CEO!G67+CS!G67+CFO!G67+LLA!G67+'C&amp;E'!G67+CES!G67+LLT!G67+GB!G67</f>
        <v>0</v>
      </c>
      <c r="H67" s="8">
        <f>CEO!H67+CS!H67+CFO!H67+LLA!H67+'C&amp;E'!H67+CES!H67+LLT!H67+GB!H67</f>
        <v>0</v>
      </c>
      <c r="I67" s="8">
        <f>CEO!I67+CS!I67+CFO!I67+LLA!I67+'C&amp;E'!I67+CES!I67+LLT!I67+GB!I67</f>
        <v>0</v>
      </c>
      <c r="J67" s="8">
        <f>CEO!J67+CS!J67+CFO!J67+LLA!J67+'C&amp;E'!J67+CES!J67+LLT!J67+GB!J67</f>
        <v>0</v>
      </c>
      <c r="K67" s="8">
        <f>CEO!K67+CS!K67+CFO!K67+LLA!K67+'C&amp;E'!K67+CES!K67+LLT!K67+GB!K67</f>
        <v>0</v>
      </c>
      <c r="L67" s="8">
        <f>CEO!L67+CS!L67+CFO!L67+LLA!L67+'C&amp;E'!L67+CES!L67+LLT!L67+GB!L67</f>
        <v>0</v>
      </c>
      <c r="M67" s="390" t="s">
        <v>461</v>
      </c>
      <c r="N67" s="8">
        <f t="shared" ref="N67:N89" si="42">SUM(0)</f>
        <v>0</v>
      </c>
      <c r="O67" s="8">
        <f t="shared" ref="O67:O89" si="43">SUM(A67:L67)</f>
        <v>209600</v>
      </c>
      <c r="P67" s="8">
        <f t="shared" si="4"/>
        <v>209600</v>
      </c>
      <c r="Q67" s="8">
        <f>CEO!Q67+CS!Q67+CFO!Q67+LLA!Q67+'C&amp;E'!Q67+CES!Q67+LLT!Q67+GB!Q67</f>
        <v>209600</v>
      </c>
      <c r="R67" s="8">
        <f t="shared" ref="R67:R89" si="44">Q67-P67</f>
        <v>0</v>
      </c>
      <c r="S67" s="8">
        <v>0</v>
      </c>
      <c r="T67" s="8">
        <f>CEO!T67+CS!T67+CFO!T67+LLA!T67+'C&amp;E'!T67+CES!T67+LLT!T67+GB!T67</f>
        <v>0</v>
      </c>
      <c r="U67" s="8">
        <f t="shared" si="7"/>
        <v>209600</v>
      </c>
      <c r="V67" s="8">
        <f t="shared" si="6"/>
        <v>0</v>
      </c>
      <c r="W67" s="8"/>
      <c r="X67" s="8">
        <f>CEO!Q67+CS!Q67+CFO!Q67+LLA!Q67+'C&amp;E'!Q67+CES!Q67+LLT!Q67+GB!Q67</f>
        <v>209600</v>
      </c>
      <c r="Y67" s="8">
        <f t="shared" ref="Y67:Y89" si="45">X67-Q67</f>
        <v>0</v>
      </c>
      <c r="Z67" s="8">
        <v>209600</v>
      </c>
      <c r="AA67" s="8">
        <f t="shared" ref="AA67:AA89" si="46">Z67*(1+AA$3)</f>
        <v>219451.19999999998</v>
      </c>
      <c r="AC67" s="295">
        <f t="shared" si="30"/>
        <v>0</v>
      </c>
    </row>
    <row r="68" spans="1:29" x14ac:dyDescent="0.3">
      <c r="A68" s="7">
        <f>CEO!A68+CS!A68+CFO!A68+LLA!A68+'C&amp;E'!A68+CES!A68+LLT!A68+GB!A68</f>
        <v>20954.6897796333</v>
      </c>
      <c r="B68" s="7">
        <f>CEO!B68+CS!B68+CFO!B68+LLA!B68+'C&amp;E'!B68+CES!B68+LLT!B68+GB!B68</f>
        <v>20954.6897796333</v>
      </c>
      <c r="C68" s="7">
        <f>CEO!C68+CS!C68+CFO!C68+LLA!C68+'C&amp;E'!C68+CES!C68+LLT!C68+GB!C68</f>
        <v>20954.6897796333</v>
      </c>
      <c r="D68" s="7">
        <f>CEO!D68+CS!D68+CFO!D68+LLA!D68+'C&amp;E'!D68+CES!D68+LLT!D68+GB!D68</f>
        <v>20954.6897796333</v>
      </c>
      <c r="E68" s="7">
        <f>CEO!E68+CS!E68+CFO!E68+LLA!E68+'C&amp;E'!E68+CES!E68+LLT!E68+GB!E68</f>
        <v>20954.6897796333</v>
      </c>
      <c r="F68" s="7">
        <f>CEO!F68+CS!F68+CFO!F68+LLA!F68+'C&amp;E'!F68+CES!F68+LLT!F68+GB!F68</f>
        <v>20954.6897796333</v>
      </c>
      <c r="G68" s="7">
        <f>CEO!G68+CS!G68+CFO!G68+LLA!G68+'C&amp;E'!G68+CES!G68+LLT!G68+GB!G68</f>
        <v>20954.6897796333</v>
      </c>
      <c r="H68" s="7">
        <f>CEO!H68+CS!H68+CFO!H68+LLA!H68+'C&amp;E'!H68+CES!H68+LLT!H68+GB!H68</f>
        <v>20954.6897796333</v>
      </c>
      <c r="I68" s="7">
        <f>CEO!I68+CS!I68+CFO!I68+LLA!I68+'C&amp;E'!I68+CES!I68+LLT!I68+GB!I68</f>
        <v>20954.6897796333</v>
      </c>
      <c r="J68" s="7">
        <f>CEO!J68+CS!J68+CFO!J68+LLA!J68+'C&amp;E'!J68+CES!J68+LLT!J68+GB!J68</f>
        <v>20954.6897796333</v>
      </c>
      <c r="K68" s="7">
        <f>CEO!K68+CS!K68+CFO!K68+LLA!K68+'C&amp;E'!K68+CES!K68+LLT!K68+GB!K68</f>
        <v>20954.6897796333</v>
      </c>
      <c r="L68" s="7">
        <f>CEO!L68+CS!L68+CFO!L68+LLA!L68+'C&amp;E'!L68+CES!L68+LLT!L68+GB!L68</f>
        <v>20954.6897796333</v>
      </c>
      <c r="M68" s="13" t="s">
        <v>462</v>
      </c>
      <c r="N68" s="7">
        <f t="shared" si="42"/>
        <v>0</v>
      </c>
      <c r="O68" s="7">
        <f t="shared" si="43"/>
        <v>251456.27735559965</v>
      </c>
      <c r="P68" s="7">
        <f t="shared" si="4"/>
        <v>251456.27735559965</v>
      </c>
      <c r="Q68" s="7">
        <f>CEO!Q68+CS!Q68+CFO!Q68+LLA!Q68+'C&amp;E'!Q68+CES!Q68+LLT!Q68+GB!Q68</f>
        <v>251456.27735559965</v>
      </c>
      <c r="R68" s="7">
        <f t="shared" si="44"/>
        <v>0</v>
      </c>
      <c r="S68" s="7">
        <v>-30941</v>
      </c>
      <c r="T68" s="7">
        <f>CEO!T68+CS!T68+CFO!T68+LLA!T68+'C&amp;E'!T68+CES!T68+LLT!T68+GB!T68</f>
        <v>0</v>
      </c>
      <c r="U68" s="7">
        <f t="shared" si="7"/>
        <v>220515.27735559965</v>
      </c>
      <c r="V68" s="7">
        <f t="shared" si="6"/>
        <v>-30941</v>
      </c>
      <c r="W68" s="7"/>
      <c r="X68" s="7">
        <f>CEO!Q68+CS!Q68+CFO!Q68+LLA!Q68+'C&amp;E'!Q68+CES!Q68+LLT!Q68+GB!Q68</f>
        <v>251456.27735559965</v>
      </c>
      <c r="Y68" s="7">
        <f t="shared" si="45"/>
        <v>0</v>
      </c>
      <c r="Z68" s="7">
        <v>251456.27735559997</v>
      </c>
      <c r="AA68" s="7">
        <f t="shared" si="46"/>
        <v>263274.72239131317</v>
      </c>
      <c r="AC68" s="295">
        <f t="shared" si="30"/>
        <v>-3.2014213502407074E-10</v>
      </c>
    </row>
    <row r="69" spans="1:29" x14ac:dyDescent="0.3">
      <c r="A69" s="7">
        <f>CEO!A69+CS!A69+CFO!A69+LLA!A69+'C&amp;E'!A69+CES!A69+LLT!A69+GB!A69</f>
        <v>3492.9839999999999</v>
      </c>
      <c r="B69" s="7">
        <f>CEO!B69+CS!B69+CFO!B69+LLA!B69+'C&amp;E'!B69+CES!B69+LLT!B69+GB!B69</f>
        <v>3492.9839999999999</v>
      </c>
      <c r="C69" s="7">
        <f>CEO!C69+CS!C69+CFO!C69+LLA!C69+'C&amp;E'!C69+CES!C69+LLT!C69+GB!C69</f>
        <v>3492.9839999999999</v>
      </c>
      <c r="D69" s="7">
        <f>CEO!D69+CS!D69+CFO!D69+LLA!D69+'C&amp;E'!D69+CES!D69+LLT!D69+GB!D69</f>
        <v>3492.9839999999999</v>
      </c>
      <c r="E69" s="7">
        <f>CEO!E69+CS!E69+CFO!E69+LLA!E69+'C&amp;E'!E69+CES!E69+LLT!E69+GB!E69</f>
        <v>3492.9839999999999</v>
      </c>
      <c r="F69" s="7">
        <f>CEO!F69+CS!F69+CFO!F69+LLA!F69+'C&amp;E'!F69+CES!F69+LLT!F69+GB!F69</f>
        <v>213096.984</v>
      </c>
      <c r="G69" s="7">
        <f>CEO!G69+CS!G69+CFO!G69+LLA!G69+'C&amp;E'!G69+CES!G69+LLT!G69+GB!G69</f>
        <v>3492.9839999999999</v>
      </c>
      <c r="H69" s="7">
        <f>CEO!H69+CS!H69+CFO!H69+LLA!H69+'C&amp;E'!H69+CES!H69+LLT!H69+GB!H69</f>
        <v>3492.9839999999999</v>
      </c>
      <c r="I69" s="7">
        <f>CEO!I69+CS!I69+CFO!I69+LLA!I69+'C&amp;E'!I69+CES!I69+LLT!I69+GB!I69</f>
        <v>3492.9839999999999</v>
      </c>
      <c r="J69" s="7">
        <f>CEO!J69+CS!J69+CFO!J69+LLA!J69+'C&amp;E'!J69+CES!J69+LLT!J69+GB!J69</f>
        <v>3492.9839999999999</v>
      </c>
      <c r="K69" s="7">
        <f>CEO!K69+CS!K69+CFO!K69+LLA!K69+'C&amp;E'!K69+CES!K69+LLT!K69+GB!K69</f>
        <v>3492.9839999999999</v>
      </c>
      <c r="L69" s="7">
        <f>CEO!L69+CS!L69+CFO!L69+LLA!L69+'C&amp;E'!L69+CES!L69+LLT!L69+GB!L69</f>
        <v>3492.9839999999999</v>
      </c>
      <c r="M69" s="13" t="s">
        <v>463</v>
      </c>
      <c r="N69" s="7">
        <f t="shared" si="42"/>
        <v>0</v>
      </c>
      <c r="O69" s="7">
        <f t="shared" si="43"/>
        <v>251519.80799999996</v>
      </c>
      <c r="P69" s="7">
        <f t="shared" si="4"/>
        <v>251519.80799999996</v>
      </c>
      <c r="Q69" s="7">
        <f>CEO!Q69+CS!Q69+CFO!Q69+LLA!Q69+'C&amp;E'!Q69+CES!Q69+LLT!Q69+GB!Q69</f>
        <v>251519.80799999999</v>
      </c>
      <c r="R69" s="7">
        <f t="shared" si="44"/>
        <v>0</v>
      </c>
      <c r="S69" s="7">
        <v>0</v>
      </c>
      <c r="T69" s="7">
        <f>CEO!T69+CS!T69+CFO!T69+LLA!T69+'C&amp;E'!T69+CES!T69+LLT!T69+GB!T69</f>
        <v>0</v>
      </c>
      <c r="U69" s="7">
        <f t="shared" si="7"/>
        <v>251519.80799999999</v>
      </c>
      <c r="V69" s="7">
        <f t="shared" si="6"/>
        <v>0</v>
      </c>
      <c r="W69" s="7"/>
      <c r="X69" s="7">
        <f>CEO!Q69+CS!Q69+CFO!Q69+LLA!Q69+'C&amp;E'!Q69+CES!Q69+LLT!Q69+GB!Q69</f>
        <v>251519.80799999999</v>
      </c>
      <c r="Y69" s="7">
        <f t="shared" si="45"/>
        <v>0</v>
      </c>
      <c r="Z69" s="7">
        <v>251520</v>
      </c>
      <c r="AA69" s="7">
        <f t="shared" si="46"/>
        <v>263341.44</v>
      </c>
      <c r="AC69" s="295">
        <f t="shared" si="30"/>
        <v>-0.19200000001001172</v>
      </c>
    </row>
    <row r="70" spans="1:29" x14ac:dyDescent="0.3">
      <c r="A70" s="7">
        <f>CEO!A70+CS!A70+CFO!A70+LLA!A70+'C&amp;E'!A70+CES!A70+LLT!A70+GB!A70</f>
        <v>0</v>
      </c>
      <c r="B70" s="7">
        <f>CEO!B70+CS!B70+CFO!B70+LLA!B70+'C&amp;E'!B70+CES!B70+LLT!B70+GB!B70</f>
        <v>0</v>
      </c>
      <c r="C70" s="7">
        <f>CEO!C70+CS!C70+CFO!C70+LLA!C70+'C&amp;E'!C70+CES!C70+LLT!C70+GB!C70</f>
        <v>0</v>
      </c>
      <c r="D70" s="7">
        <f>CEO!D70+CS!D70+CFO!D70+LLA!D70+'C&amp;E'!D70+CES!D70+LLT!D70+GB!D70</f>
        <v>0</v>
      </c>
      <c r="E70" s="7">
        <f>CEO!E70+CS!E70+CFO!E70+LLA!E70+'C&amp;E'!E70+CES!E70+LLT!E70+GB!E70</f>
        <v>0</v>
      </c>
      <c r="F70" s="7">
        <f>CEO!F70+CS!F70+CFO!F70+LLA!F70+'C&amp;E'!F70+CES!F70+LLT!F70+GB!F70</f>
        <v>0</v>
      </c>
      <c r="G70" s="7">
        <f>CEO!G70+CS!G70+CFO!G70+LLA!G70+'C&amp;E'!G70+CES!G70+LLT!G70+GB!G70</f>
        <v>0</v>
      </c>
      <c r="H70" s="7">
        <f>CEO!H70+CS!H70+CFO!H70+LLA!H70+'C&amp;E'!H70+CES!H70+LLT!H70+GB!H70</f>
        <v>0</v>
      </c>
      <c r="I70" s="7">
        <f>CEO!I70+CS!I70+CFO!I70+LLA!I70+'C&amp;E'!I70+CES!I70+LLT!I70+GB!I70</f>
        <v>0</v>
      </c>
      <c r="J70" s="7">
        <f>CEO!J70+CS!J70+CFO!J70+LLA!J70+'C&amp;E'!J70+CES!J70+LLT!J70+GB!J70</f>
        <v>0</v>
      </c>
      <c r="K70" s="7">
        <f>CEO!K70+CS!K70+CFO!K70+LLA!K70+'C&amp;E'!K70+CES!K70+LLT!K70+GB!K70</f>
        <v>0</v>
      </c>
      <c r="L70" s="7">
        <f>CEO!L70+CS!L70+CFO!L70+LLA!L70+'C&amp;E'!L70+CES!L70+LLT!L70+GB!L70</f>
        <v>0</v>
      </c>
      <c r="M70" s="13" t="s">
        <v>464</v>
      </c>
      <c r="N70" s="7">
        <f t="shared" si="42"/>
        <v>0</v>
      </c>
      <c r="O70" s="7">
        <f t="shared" si="43"/>
        <v>0</v>
      </c>
      <c r="P70" s="7">
        <f t="shared" si="4"/>
        <v>0</v>
      </c>
      <c r="Q70" s="7">
        <f>CEO!Q70+CS!Q70+CFO!Q70+LLA!Q70+'C&amp;E'!Q70+CES!Q70+LLT!Q70+GB!Q70</f>
        <v>0</v>
      </c>
      <c r="R70" s="7">
        <f t="shared" si="44"/>
        <v>0</v>
      </c>
      <c r="S70" s="7">
        <v>0</v>
      </c>
      <c r="T70" s="7">
        <f>CEO!T70+CS!T70+CFO!T70+LLA!T70+'C&amp;E'!T70+CES!T70+LLT!T70+GB!T70</f>
        <v>0</v>
      </c>
      <c r="U70" s="7">
        <f t="shared" si="7"/>
        <v>0</v>
      </c>
      <c r="V70" s="7">
        <f t="shared" si="6"/>
        <v>0</v>
      </c>
      <c r="W70" s="7"/>
      <c r="X70" s="7">
        <f>CEO!Q70+CS!Q70+CFO!Q70+LLA!Q70+'C&amp;E'!Q70+CES!Q70+LLT!Q70+GB!Q70</f>
        <v>0</v>
      </c>
      <c r="Y70" s="7">
        <f t="shared" si="45"/>
        <v>0</v>
      </c>
      <c r="Z70" s="7">
        <v>0</v>
      </c>
      <c r="AA70" s="7">
        <f t="shared" si="46"/>
        <v>0</v>
      </c>
      <c r="AC70" s="295">
        <f t="shared" si="30"/>
        <v>0</v>
      </c>
    </row>
    <row r="71" spans="1:29" x14ac:dyDescent="0.3">
      <c r="A71" s="7">
        <f>CEO!A71+CS!A71+CFO!A71+LLA!A71+'C&amp;E'!A71+CES!A71+LLT!A71+GB!A71</f>
        <v>108537.92466666667</v>
      </c>
      <c r="B71" s="7">
        <f>CEO!B71+CS!B71+CFO!B71+LLA!B71+'C&amp;E'!B71+CES!B71+LLT!B71+GB!B71</f>
        <v>108537.92466666667</v>
      </c>
      <c r="C71" s="7">
        <f>CEO!C71+CS!C71+CFO!C71+LLA!C71+'C&amp;E'!C71+CES!C71+LLT!C71+GB!C71</f>
        <v>108537.92466666667</v>
      </c>
      <c r="D71" s="7">
        <f>CEO!D71+CS!D71+CFO!D71+LLA!D71+'C&amp;E'!D71+CES!D71+LLT!D71+GB!D71</f>
        <v>108537.92466666667</v>
      </c>
      <c r="E71" s="7">
        <f>CEO!E71+CS!E71+CFO!E71+LLA!E71+'C&amp;E'!E71+CES!E71+LLT!E71+GB!E71</f>
        <v>108537.92466666667</v>
      </c>
      <c r="F71" s="7">
        <f>CEO!F71+CS!F71+CFO!F71+LLA!F71+'C&amp;E'!F71+CES!F71+LLT!F71+GB!F71</f>
        <v>108537.92466666667</v>
      </c>
      <c r="G71" s="7">
        <f>CEO!G71+CS!G71+CFO!G71+LLA!G71+'C&amp;E'!G71+CES!G71+LLT!G71+GB!G71</f>
        <v>108537.92466666667</v>
      </c>
      <c r="H71" s="7">
        <f>CEO!H71+CS!H71+CFO!H71+LLA!H71+'C&amp;E'!H71+CES!H71+LLT!H71+GB!H71</f>
        <v>108537.92466666667</v>
      </c>
      <c r="I71" s="7">
        <f>CEO!I71+CS!I71+CFO!I71+LLA!I71+'C&amp;E'!I71+CES!I71+LLT!I71+GB!I71</f>
        <v>108537.92466666667</v>
      </c>
      <c r="J71" s="7">
        <f>CEO!J71+CS!J71+CFO!J71+LLA!J71+'C&amp;E'!J71+CES!J71+LLT!J71+GB!J71</f>
        <v>108537.92466666667</v>
      </c>
      <c r="K71" s="7">
        <f>CEO!K71+CS!K71+CFO!K71+LLA!K71+'C&amp;E'!K71+CES!K71+LLT!K71+GB!K71</f>
        <v>108537.92466666667</v>
      </c>
      <c r="L71" s="7">
        <f>CEO!L71+CS!L71+CFO!L71+LLA!L71+'C&amp;E'!L71+CES!L71+LLT!L71+GB!L71</f>
        <v>108566.92466666667</v>
      </c>
      <c r="M71" s="13" t="s">
        <v>465</v>
      </c>
      <c r="N71" s="7">
        <f t="shared" si="42"/>
        <v>0</v>
      </c>
      <c r="O71" s="7">
        <f t="shared" si="43"/>
        <v>1302484.0960000001</v>
      </c>
      <c r="P71" s="7">
        <f t="shared" si="4"/>
        <v>1302484.0960000001</v>
      </c>
      <c r="Q71" s="7">
        <f>CEO!Q71+CS!Q71+CFO!Q71+LLA!Q71+'C&amp;E'!Q71+CES!Q71+LLT!Q71+GB!Q71</f>
        <v>1302484.0959999999</v>
      </c>
      <c r="R71" s="7">
        <f t="shared" si="44"/>
        <v>0</v>
      </c>
      <c r="S71" s="7">
        <v>-4653</v>
      </c>
      <c r="T71" s="7">
        <f>CEO!T71+CS!T71+CFO!T71+LLA!T71+'C&amp;E'!T71+CES!T71+LLT!T71+GB!T71</f>
        <v>169523</v>
      </c>
      <c r="U71" s="7">
        <f t="shared" si="7"/>
        <v>1467354.0959999999</v>
      </c>
      <c r="V71" s="7">
        <f t="shared" si="6"/>
        <v>164869.99999999977</v>
      </c>
      <c r="W71" s="7"/>
      <c r="X71" s="7">
        <f>CEO!Q71+CS!Q71+CFO!Q71+LLA!Q71+'C&amp;E'!Q71+CES!Q71+LLT!Q71+GB!Q71</f>
        <v>1302484.0959999999</v>
      </c>
      <c r="Y71" s="7">
        <f t="shared" si="45"/>
        <v>0</v>
      </c>
      <c r="Z71" s="7">
        <v>1302484.5455764241</v>
      </c>
      <c r="AA71" s="7">
        <f t="shared" si="46"/>
        <v>1363701.3192185159</v>
      </c>
      <c r="AC71" s="295">
        <f t="shared" si="30"/>
        <v>-0.44957642420195043</v>
      </c>
    </row>
    <row r="72" spans="1:29" x14ac:dyDescent="0.3">
      <c r="A72" s="7">
        <f>CEO!A72+CS!A72+CFO!A72+LLA!A72+'C&amp;E'!A72+CES!A72+LLT!A72+GB!A72</f>
        <v>2380.0080000000003</v>
      </c>
      <c r="B72" s="7">
        <f>CEO!B72+CS!B72+CFO!B72+LLA!B72+'C&amp;E'!B72+CES!B72+LLT!B72+GB!B72</f>
        <v>2380.0080000000003</v>
      </c>
      <c r="C72" s="7">
        <f>CEO!C72+CS!C72+CFO!C72+LLA!C72+'C&amp;E'!C72+CES!C72+LLT!C72+GB!C72</f>
        <v>2380.0080000000003</v>
      </c>
      <c r="D72" s="7">
        <f>CEO!D72+CS!D72+CFO!D72+LLA!D72+'C&amp;E'!D72+CES!D72+LLT!D72+GB!D72</f>
        <v>2380.0080000000003</v>
      </c>
      <c r="E72" s="7">
        <f>CEO!E72+CS!E72+CFO!E72+LLA!E72+'C&amp;E'!E72+CES!E72+LLT!E72+GB!E72</f>
        <v>2380.0080000000003</v>
      </c>
      <c r="F72" s="7">
        <f>CEO!F72+CS!F72+CFO!F72+LLA!F72+'C&amp;E'!F72+CES!F72+LLT!F72+GB!F72</f>
        <v>2380.0080000000003</v>
      </c>
      <c r="G72" s="7">
        <f>CEO!G72+CS!G72+CFO!G72+LLA!G72+'C&amp;E'!G72+CES!G72+LLT!G72+GB!G72</f>
        <v>2380.0080000000003</v>
      </c>
      <c r="H72" s="7">
        <f>CEO!H72+CS!H72+CFO!H72+LLA!H72+'C&amp;E'!H72+CES!H72+LLT!H72+GB!H72</f>
        <v>2380.0080000000003</v>
      </c>
      <c r="I72" s="7">
        <f>CEO!I72+CS!I72+CFO!I72+LLA!I72+'C&amp;E'!I72+CES!I72+LLT!I72+GB!I72</f>
        <v>2380.0080000000003</v>
      </c>
      <c r="J72" s="7">
        <f>CEO!J72+CS!J72+CFO!J72+LLA!J72+'C&amp;E'!J72+CES!J72+LLT!J72+GB!J72</f>
        <v>2380.0080000000003</v>
      </c>
      <c r="K72" s="7">
        <f>CEO!K72+CS!K72+CFO!K72+LLA!K72+'C&amp;E'!K72+CES!K72+LLT!K72+GB!K72</f>
        <v>2380.0080000000003</v>
      </c>
      <c r="L72" s="7">
        <f>CEO!L72+CS!L72+CFO!L72+LLA!L72+'C&amp;E'!L72+CES!L72+LLT!L72+GB!L72</f>
        <v>2379.0080000000003</v>
      </c>
      <c r="M72" s="13" t="s">
        <v>466</v>
      </c>
      <c r="N72" s="7">
        <f t="shared" si="42"/>
        <v>0</v>
      </c>
      <c r="O72" s="7">
        <f t="shared" si="43"/>
        <v>28559.096000000009</v>
      </c>
      <c r="P72" s="7">
        <f t="shared" ref="P72:P135" si="47">SUM(N72:O72)</f>
        <v>28559.096000000009</v>
      </c>
      <c r="Q72" s="7">
        <f>CEO!Q72+CS!Q72+CFO!Q72+LLA!Q72+'C&amp;E'!Q72+CES!Q72+LLT!Q72+GB!Q72</f>
        <v>28559.096000000009</v>
      </c>
      <c r="R72" s="7">
        <f t="shared" si="44"/>
        <v>0</v>
      </c>
      <c r="S72" s="7">
        <v>27251</v>
      </c>
      <c r="T72" s="7">
        <f>CEO!T72+CS!T72+CFO!T72+LLA!T72+'C&amp;E'!T72+CES!T72+LLT!T72+GB!T72</f>
        <v>0</v>
      </c>
      <c r="U72" s="7">
        <f t="shared" si="7"/>
        <v>55810.096000000005</v>
      </c>
      <c r="V72" s="7">
        <f t="shared" ref="V72:V135" si="48">U72-P72</f>
        <v>27250.999999999996</v>
      </c>
      <c r="W72" s="7"/>
      <c r="X72" s="7">
        <f>CEO!Q72+CS!Q72+CFO!Q72+LLA!Q72+'C&amp;E'!Q72+CES!Q72+LLT!Q72+GB!Q72</f>
        <v>28559.096000000009</v>
      </c>
      <c r="Y72" s="7">
        <f t="shared" si="45"/>
        <v>0</v>
      </c>
      <c r="Z72" s="7">
        <v>28559.048000000003</v>
      </c>
      <c r="AA72" s="7">
        <f t="shared" si="46"/>
        <v>29901.323256</v>
      </c>
      <c r="AC72" s="295">
        <f t="shared" si="30"/>
        <v>4.8000000006140908E-2</v>
      </c>
    </row>
    <row r="73" spans="1:29" x14ac:dyDescent="0.3">
      <c r="A73" s="7">
        <f>CEO!A73+CS!A73+CFO!A73+LLA!A73+'C&amp;E'!A73+CES!A73+LLT!A73+GB!A73</f>
        <v>0</v>
      </c>
      <c r="B73" s="7">
        <f>CEO!B73+CS!B73+CFO!B73+LLA!B73+'C&amp;E'!B73+CES!B73+LLT!B73+GB!B73</f>
        <v>0</v>
      </c>
      <c r="C73" s="7">
        <f>CEO!C73+CS!C73+CFO!C73+LLA!C73+'C&amp;E'!C73+CES!C73+LLT!C73+GB!C73</f>
        <v>0</v>
      </c>
      <c r="D73" s="7">
        <f>CEO!D73+CS!D73+CFO!D73+LLA!D73+'C&amp;E'!D73+CES!D73+LLT!D73+GB!D73</f>
        <v>0</v>
      </c>
      <c r="E73" s="7">
        <f>CEO!E73+CS!E73+CFO!E73+LLA!E73+'C&amp;E'!E73+CES!E73+LLT!E73+GB!E73</f>
        <v>0</v>
      </c>
      <c r="F73" s="7">
        <f>CEO!F73+CS!F73+CFO!F73+LLA!F73+'C&amp;E'!F73+CES!F73+LLT!F73+GB!F73</f>
        <v>0</v>
      </c>
      <c r="G73" s="7">
        <f>CEO!G73+CS!G73+CFO!G73+LLA!G73+'C&amp;E'!G73+CES!G73+LLT!G73+GB!G73</f>
        <v>0</v>
      </c>
      <c r="H73" s="7">
        <f>CEO!H73+CS!H73+CFO!H73+LLA!H73+'C&amp;E'!H73+CES!H73+LLT!H73+GB!H73</f>
        <v>0</v>
      </c>
      <c r="I73" s="7">
        <f>CEO!I73+CS!I73+CFO!I73+LLA!I73+'C&amp;E'!I73+CES!I73+LLT!I73+GB!I73</f>
        <v>0</v>
      </c>
      <c r="J73" s="7">
        <f>CEO!J73+CS!J73+CFO!J73+LLA!J73+'C&amp;E'!J73+CES!J73+LLT!J73+GB!J73</f>
        <v>0</v>
      </c>
      <c r="K73" s="7">
        <f>CEO!K73+CS!K73+CFO!K73+LLA!K73+'C&amp;E'!K73+CES!K73+LLT!K73+GB!K73</f>
        <v>0</v>
      </c>
      <c r="L73" s="7">
        <f>CEO!L73+CS!L73+CFO!L73+LLA!L73+'C&amp;E'!L73+CES!L73+LLT!L73+GB!L73</f>
        <v>0</v>
      </c>
      <c r="M73" s="13" t="s">
        <v>453</v>
      </c>
      <c r="N73" s="7">
        <f t="shared" si="42"/>
        <v>0</v>
      </c>
      <c r="O73" s="7">
        <f t="shared" si="43"/>
        <v>0</v>
      </c>
      <c r="P73" s="7">
        <f t="shared" si="47"/>
        <v>0</v>
      </c>
      <c r="Q73" s="7">
        <f>CEO!Q73+CS!Q73+CFO!Q73+LLA!Q73+'C&amp;E'!Q73+CES!Q73+LLT!Q73+GB!Q73</f>
        <v>0</v>
      </c>
      <c r="R73" s="7">
        <f t="shared" si="44"/>
        <v>0</v>
      </c>
      <c r="S73" s="7">
        <v>0</v>
      </c>
      <c r="T73" s="7">
        <f>CEO!T73+CS!T73+CFO!T73+LLA!T73+'C&amp;E'!T73+CES!T73+LLT!T73+GB!T73</f>
        <v>0</v>
      </c>
      <c r="U73" s="7">
        <f t="shared" ref="U73:U128" si="49">S73+Q73+T73</f>
        <v>0</v>
      </c>
      <c r="V73" s="7">
        <f t="shared" si="48"/>
        <v>0</v>
      </c>
      <c r="W73" s="7"/>
      <c r="X73" s="7">
        <f>CEO!Q73+CS!Q73+CFO!Q73+LLA!Q73+'C&amp;E'!Q73+CES!Q73+LLT!Q73+GB!Q73</f>
        <v>0</v>
      </c>
      <c r="Y73" s="7">
        <f t="shared" si="45"/>
        <v>0</v>
      </c>
      <c r="Z73" s="7">
        <v>0</v>
      </c>
      <c r="AA73" s="7">
        <f t="shared" si="46"/>
        <v>0</v>
      </c>
      <c r="AC73" s="295">
        <f t="shared" si="30"/>
        <v>0</v>
      </c>
    </row>
    <row r="74" spans="1:29" x14ac:dyDescent="0.3">
      <c r="A74" s="7">
        <f>CEO!A74+CS!A74+CFO!A74+LLA!A74+'C&amp;E'!A74+CES!A74+LLT!A74+GB!A74</f>
        <v>293473.53600000002</v>
      </c>
      <c r="B74" s="7">
        <f>CEO!B74+CS!B74+CFO!B74+LLA!B74+'C&amp;E'!B74+CES!B74+LLT!B74+GB!B74</f>
        <v>293473.53600000002</v>
      </c>
      <c r="C74" s="7">
        <f>CEO!C74+CS!C74+CFO!C74+LLA!C74+'C&amp;E'!C74+CES!C74+LLT!C74+GB!C74</f>
        <v>293473.53600000002</v>
      </c>
      <c r="D74" s="7">
        <f>CEO!D74+CS!D74+CFO!D74+LLA!D74+'C&amp;E'!D74+CES!D74+LLT!D74+GB!D74</f>
        <v>293473.53600000002</v>
      </c>
      <c r="E74" s="7">
        <f>CEO!E74+CS!E74+CFO!E74+LLA!E74+'C&amp;E'!E74+CES!E74+LLT!E74+GB!E74</f>
        <v>293473.53600000002</v>
      </c>
      <c r="F74" s="7">
        <f>CEO!F74+CS!F74+CFO!F74+LLA!F74+'C&amp;E'!F74+CES!F74+LLT!F74+GB!F74</f>
        <v>293473.53600000002</v>
      </c>
      <c r="G74" s="7">
        <f>CEO!G74+CS!G74+CFO!G74+LLA!G74+'C&amp;E'!G74+CES!G74+LLT!G74+GB!G74</f>
        <v>293473.53600000002</v>
      </c>
      <c r="H74" s="7">
        <f>CEO!H74+CS!H74+CFO!H74+LLA!H74+'C&amp;E'!H74+CES!H74+LLT!H74+GB!H74</f>
        <v>293473.53600000002</v>
      </c>
      <c r="I74" s="7">
        <f>CEO!I74+CS!I74+CFO!I74+LLA!I74+'C&amp;E'!I74+CES!I74+LLT!I74+GB!I74</f>
        <v>293473.53600000002</v>
      </c>
      <c r="J74" s="7">
        <f>CEO!J74+CS!J74+CFO!J74+LLA!J74+'C&amp;E'!J74+CES!J74+LLT!J74+GB!J74</f>
        <v>293473.53600000002</v>
      </c>
      <c r="K74" s="7">
        <f>CEO!K74+CS!K74+CFO!K74+LLA!K74+'C&amp;E'!K74+CES!K74+LLT!K74+GB!K74</f>
        <v>293473.53600000002</v>
      </c>
      <c r="L74" s="7">
        <f>CEO!L74+CS!L74+CFO!L74+LLA!L74+'C&amp;E'!L74+CES!L74+LLT!L74+GB!L74</f>
        <v>293479.53600000002</v>
      </c>
      <c r="M74" s="390" t="s">
        <v>467</v>
      </c>
      <c r="N74" s="7">
        <f t="shared" si="42"/>
        <v>0</v>
      </c>
      <c r="O74" s="7">
        <f t="shared" si="43"/>
        <v>3521688.4319999996</v>
      </c>
      <c r="P74" s="7">
        <f t="shared" si="47"/>
        <v>3521688.4319999996</v>
      </c>
      <c r="Q74" s="7">
        <f>CEO!Q74+CS!Q74+CFO!Q74+LLA!Q74+'C&amp;E'!Q74+CES!Q74+LLT!Q74+GB!Q74</f>
        <v>3521688.4319999996</v>
      </c>
      <c r="R74" s="7">
        <f t="shared" si="44"/>
        <v>0</v>
      </c>
      <c r="S74" s="7">
        <v>0</v>
      </c>
      <c r="T74" s="7">
        <f>CEO!T74+CS!T74+CFO!T74+LLA!T74+'C&amp;E'!T74+CES!T74+LLT!T74+GB!T74</f>
        <v>0</v>
      </c>
      <c r="U74" s="7">
        <f t="shared" si="49"/>
        <v>3521688.4319999996</v>
      </c>
      <c r="V74" s="7">
        <f t="shared" si="48"/>
        <v>0</v>
      </c>
      <c r="W74" s="7"/>
      <c r="X74" s="7">
        <f>CEO!Q74+CS!Q74+CFO!Q74+LLA!Q74+'C&amp;E'!Q74+CES!Q74+LLT!Q74+GB!Q74</f>
        <v>3521688.4319999996</v>
      </c>
      <c r="Y74" s="7">
        <f t="shared" si="45"/>
        <v>0</v>
      </c>
      <c r="Z74" s="7">
        <v>3521688.1540800007</v>
      </c>
      <c r="AA74" s="7">
        <f t="shared" si="46"/>
        <v>3687207.4973217603</v>
      </c>
      <c r="AC74" s="295">
        <f t="shared" si="30"/>
        <v>0.27791999885812402</v>
      </c>
    </row>
    <row r="75" spans="1:29" x14ac:dyDescent="0.3">
      <c r="A75" s="7">
        <f>CEO!A75+CS!A75+CFO!A75+LLA!A75+'C&amp;E'!A75+CES!A75+LLT!A75+GB!A75</f>
        <v>12241.688</v>
      </c>
      <c r="B75" s="7">
        <f>CEO!B75+CS!B75+CFO!B75+LLA!B75+'C&amp;E'!B75+CES!B75+LLT!B75+GB!B75</f>
        <v>12241.688</v>
      </c>
      <c r="C75" s="7">
        <f>CEO!C75+CS!C75+CFO!C75+LLA!C75+'C&amp;E'!C75+CES!C75+LLT!C75+GB!C75</f>
        <v>12241.688</v>
      </c>
      <c r="D75" s="7">
        <f>CEO!D75+CS!D75+CFO!D75+LLA!D75+'C&amp;E'!D75+CES!D75+LLT!D75+GB!D75</f>
        <v>12241.688</v>
      </c>
      <c r="E75" s="7">
        <f>CEO!E75+CS!E75+CFO!E75+LLA!E75+'C&amp;E'!E75+CES!E75+LLT!E75+GB!E75</f>
        <v>12241.688</v>
      </c>
      <c r="F75" s="7">
        <f>CEO!F75+CS!F75+CFO!F75+LLA!F75+'C&amp;E'!F75+CES!F75+LLT!F75+GB!F75</f>
        <v>12241.688</v>
      </c>
      <c r="G75" s="7">
        <f>CEO!G75+CS!G75+CFO!G75+LLA!G75+'C&amp;E'!G75+CES!G75+LLT!G75+GB!G75</f>
        <v>12241.688</v>
      </c>
      <c r="H75" s="7">
        <f>CEO!H75+CS!H75+CFO!H75+LLA!H75+'C&amp;E'!H75+CES!H75+LLT!H75+GB!H75</f>
        <v>12241.688</v>
      </c>
      <c r="I75" s="7">
        <f>CEO!I75+CS!I75+CFO!I75+LLA!I75+'C&amp;E'!I75+CES!I75+LLT!I75+GB!I75</f>
        <v>12241.688</v>
      </c>
      <c r="J75" s="7">
        <f>CEO!J75+CS!J75+CFO!J75+LLA!J75+'C&amp;E'!J75+CES!J75+LLT!J75+GB!J75</f>
        <v>12241.688</v>
      </c>
      <c r="K75" s="7">
        <f>CEO!K75+CS!K75+CFO!K75+LLA!K75+'C&amp;E'!K75+CES!K75+LLT!K75+GB!K75</f>
        <v>12241.688</v>
      </c>
      <c r="L75" s="7">
        <f>CEO!L75+CS!L75+CFO!L75+LLA!L75+'C&amp;E'!L75+CES!L75+LLT!L75+GB!L75</f>
        <v>12244.688</v>
      </c>
      <c r="M75" s="13" t="s">
        <v>468</v>
      </c>
      <c r="N75" s="7">
        <f t="shared" si="42"/>
        <v>0</v>
      </c>
      <c r="O75" s="7">
        <f t="shared" si="43"/>
        <v>146903.25599999996</v>
      </c>
      <c r="P75" s="7">
        <f t="shared" si="47"/>
        <v>146903.25599999996</v>
      </c>
      <c r="Q75" s="7">
        <f>CEO!Q75+CS!Q75+CFO!Q75+LLA!Q75+'C&amp;E'!Q75+CES!Q75+LLT!Q75+GB!Q75</f>
        <v>146903.25599999996</v>
      </c>
      <c r="R75" s="7">
        <f t="shared" si="44"/>
        <v>0</v>
      </c>
      <c r="S75" s="7">
        <v>-34087</v>
      </c>
      <c r="T75" s="7">
        <f>CEO!T75+CS!T75+CFO!T75+LLA!T75+'C&amp;E'!T75+CES!T75+LLT!T75+GB!T75</f>
        <v>-9320.1090000000004</v>
      </c>
      <c r="U75" s="7">
        <f t="shared" si="49"/>
        <v>103496.14699999997</v>
      </c>
      <c r="V75" s="7">
        <f t="shared" si="48"/>
        <v>-43407.108999999997</v>
      </c>
      <c r="W75" s="7"/>
      <c r="X75" s="7">
        <f>CEO!Q75+CS!Q75+CFO!Q75+LLA!Q75+'C&amp;E'!Q75+CES!Q75+LLT!Q75+GB!Q75</f>
        <v>146903.25599999996</v>
      </c>
      <c r="Y75" s="7">
        <f t="shared" si="45"/>
        <v>0</v>
      </c>
      <c r="Z75" s="7">
        <v>146902.87600000002</v>
      </c>
      <c r="AA75" s="7">
        <f t="shared" si="46"/>
        <v>153807.31117200002</v>
      </c>
      <c r="AC75" s="295">
        <f t="shared" si="30"/>
        <v>0.37999999994644895</v>
      </c>
    </row>
    <row r="76" spans="1:29" x14ac:dyDescent="0.3">
      <c r="A76" s="7">
        <f>CEO!A76+CS!A76+CFO!A76+LLA!A76+'C&amp;E'!A76+CES!A76+LLT!A76+GB!A76</f>
        <v>2356.9520000000002</v>
      </c>
      <c r="B76" s="7">
        <f>CEO!B76+CS!B76+CFO!B76+LLA!B76+'C&amp;E'!B76+CES!B76+LLT!B76+GB!B76</f>
        <v>2356.9520000000002</v>
      </c>
      <c r="C76" s="7">
        <f>CEO!C76+CS!C76+CFO!C76+LLA!C76+'C&amp;E'!C76+CES!C76+LLT!C76+GB!C76</f>
        <v>2356.9520000000002</v>
      </c>
      <c r="D76" s="7">
        <f>CEO!D76+CS!D76+CFO!D76+LLA!D76+'C&amp;E'!D76+CES!D76+LLT!D76+GB!D76</f>
        <v>2356.9520000000002</v>
      </c>
      <c r="E76" s="7">
        <f>CEO!E76+CS!E76+CFO!E76+LLA!E76+'C&amp;E'!E76+CES!E76+LLT!E76+GB!E76</f>
        <v>2356.9520000000002</v>
      </c>
      <c r="F76" s="7">
        <f>CEO!F76+CS!F76+CFO!F76+LLA!F76+'C&amp;E'!F76+CES!F76+LLT!F76+GB!F76</f>
        <v>2356.9520000000002</v>
      </c>
      <c r="G76" s="7">
        <f>CEO!G76+CS!G76+CFO!G76+LLA!G76+'C&amp;E'!G76+CES!G76+LLT!G76+GB!G76</f>
        <v>2356.9520000000002</v>
      </c>
      <c r="H76" s="7">
        <f>CEO!H76+CS!H76+CFO!H76+LLA!H76+'C&amp;E'!H76+CES!H76+LLT!H76+GB!H76</f>
        <v>2356.9520000000002</v>
      </c>
      <c r="I76" s="7">
        <f>CEO!I76+CS!I76+CFO!I76+LLA!I76+'C&amp;E'!I76+CES!I76+LLT!I76+GB!I76</f>
        <v>2356.9520000000002</v>
      </c>
      <c r="J76" s="7">
        <f>CEO!J76+CS!J76+CFO!J76+LLA!J76+'C&amp;E'!J76+CES!J76+LLT!J76+GB!J76</f>
        <v>2356.9520000000002</v>
      </c>
      <c r="K76" s="7">
        <f>CEO!K76+CS!K76+CFO!K76+LLA!K76+'C&amp;E'!K76+CES!K76+LLT!K76+GB!K76</f>
        <v>2356.9520000000002</v>
      </c>
      <c r="L76" s="7">
        <f>CEO!L76+CS!L76+CFO!L76+LLA!L76+'C&amp;E'!L76+CES!L76+LLT!L76+GB!L76</f>
        <v>2352.9520000000002</v>
      </c>
      <c r="M76" s="13" t="s">
        <v>469</v>
      </c>
      <c r="N76" s="7">
        <f t="shared" si="42"/>
        <v>0</v>
      </c>
      <c r="O76" s="7">
        <f t="shared" si="43"/>
        <v>28279.42400000001</v>
      </c>
      <c r="P76" s="7">
        <f t="shared" si="47"/>
        <v>28279.42400000001</v>
      </c>
      <c r="Q76" s="7">
        <f>CEO!Q76+CS!Q76+CFO!Q76+LLA!Q76+'C&amp;E'!Q76+CES!Q76+LLT!Q76+GB!Q76</f>
        <v>28279.42400000001</v>
      </c>
      <c r="R76" s="7">
        <f t="shared" si="44"/>
        <v>0</v>
      </c>
      <c r="S76" s="7">
        <v>4399</v>
      </c>
      <c r="T76" s="7">
        <f>CEO!T76+CS!T76+CFO!T76+LLA!T76+'C&amp;E'!T76+CES!T76+LLT!T76+GB!T76</f>
        <v>9320.1089999999967</v>
      </c>
      <c r="U76" s="7">
        <f t="shared" si="49"/>
        <v>41998.53300000001</v>
      </c>
      <c r="V76" s="7">
        <f t="shared" si="48"/>
        <v>13719.109</v>
      </c>
      <c r="W76" s="7"/>
      <c r="X76" s="7">
        <f>CEO!Q76+CS!Q76+CFO!Q76+LLA!Q76+'C&amp;E'!Q76+CES!Q76+LLT!Q76+GB!Q76</f>
        <v>28279.42400000001</v>
      </c>
      <c r="Y76" s="7">
        <f t="shared" si="45"/>
        <v>0</v>
      </c>
      <c r="Z76" s="7">
        <v>28278.969999999998</v>
      </c>
      <c r="AA76" s="7">
        <f t="shared" si="46"/>
        <v>29608.081589999994</v>
      </c>
      <c r="AC76" s="295">
        <f t="shared" si="30"/>
        <v>0.45400000001245644</v>
      </c>
    </row>
    <row r="77" spans="1:29" x14ac:dyDescent="0.3">
      <c r="A77" s="7">
        <f>CEO!A77+CS!A77+CFO!A77+LLA!A77+'C&amp;E'!A77+CES!A77+LLT!A77+GB!A77</f>
        <v>0</v>
      </c>
      <c r="B77" s="7">
        <f>CEO!B77+CS!B77+CFO!B77+LLA!B77+'C&amp;E'!B77+CES!B77+LLT!B77+GB!B77</f>
        <v>0</v>
      </c>
      <c r="C77" s="7">
        <f>CEO!C77+CS!C77+CFO!C77+LLA!C77+'C&amp;E'!C77+CES!C77+LLT!C77+GB!C77</f>
        <v>0</v>
      </c>
      <c r="D77" s="7">
        <f>CEO!D77+CS!D77+CFO!D77+LLA!D77+'C&amp;E'!D77+CES!D77+LLT!D77+GB!D77</f>
        <v>0</v>
      </c>
      <c r="E77" s="7">
        <f>CEO!E77+CS!E77+CFO!E77+LLA!E77+'C&amp;E'!E77+CES!E77+LLT!E77+GB!E77</f>
        <v>0</v>
      </c>
      <c r="F77" s="7">
        <f>CEO!F77+CS!F77+CFO!F77+LLA!F77+'C&amp;E'!F77+CES!F77+LLT!F77+GB!F77</f>
        <v>0</v>
      </c>
      <c r="G77" s="7">
        <f>CEO!G77+CS!G77+CFO!G77+LLA!G77+'C&amp;E'!G77+CES!G77+LLT!G77+GB!G77</f>
        <v>0</v>
      </c>
      <c r="H77" s="7">
        <f>CEO!H77+CS!H77+CFO!H77+LLA!H77+'C&amp;E'!H77+CES!H77+LLT!H77+GB!H77</f>
        <v>0</v>
      </c>
      <c r="I77" s="7">
        <f>CEO!I77+CS!I77+CFO!I77+LLA!I77+'C&amp;E'!I77+CES!I77+LLT!I77+GB!I77</f>
        <v>0</v>
      </c>
      <c r="J77" s="7">
        <f>CEO!J77+CS!J77+CFO!J77+LLA!J77+'C&amp;E'!J77+CES!J77+LLT!J77+GB!J77</f>
        <v>0</v>
      </c>
      <c r="K77" s="7">
        <f>CEO!K77+CS!K77+CFO!K77+LLA!K77+'C&amp;E'!K77+CES!K77+LLT!K77+GB!K77</f>
        <v>0</v>
      </c>
      <c r="L77" s="7">
        <f>CEO!L77+CS!L77+CFO!L77+LLA!L77+'C&amp;E'!L77+CES!L77+LLT!L77+GB!L77</f>
        <v>0</v>
      </c>
      <c r="M77" s="13" t="s">
        <v>470</v>
      </c>
      <c r="N77" s="7">
        <f t="shared" si="42"/>
        <v>0</v>
      </c>
      <c r="O77" s="7">
        <f t="shared" si="43"/>
        <v>0</v>
      </c>
      <c r="P77" s="7">
        <f t="shared" si="47"/>
        <v>0</v>
      </c>
      <c r="Q77" s="7">
        <f>CEO!Q77+CS!Q77+CFO!Q77+LLA!Q77+'C&amp;E'!Q77+CES!Q77+LLT!Q77+GB!Q77</f>
        <v>0</v>
      </c>
      <c r="R77" s="7">
        <f t="shared" si="44"/>
        <v>0</v>
      </c>
      <c r="S77" s="7">
        <v>0</v>
      </c>
      <c r="T77" s="7">
        <f>CEO!T77+CS!T77+CFO!T77+LLA!T77+'C&amp;E'!T77+CES!T77+LLT!T77+GB!T77</f>
        <v>0</v>
      </c>
      <c r="U77" s="7">
        <f t="shared" si="49"/>
        <v>0</v>
      </c>
      <c r="V77" s="7">
        <f t="shared" si="48"/>
        <v>0</v>
      </c>
      <c r="W77" s="7"/>
      <c r="X77" s="7">
        <f>CEO!Q77+CS!Q77+CFO!Q77+LLA!Q77+'C&amp;E'!Q77+CES!Q77+LLT!Q77+GB!Q77</f>
        <v>0</v>
      </c>
      <c r="Y77" s="7">
        <f t="shared" si="45"/>
        <v>0</v>
      </c>
      <c r="Z77" s="7">
        <v>0</v>
      </c>
      <c r="AA77" s="7">
        <f t="shared" si="46"/>
        <v>0</v>
      </c>
      <c r="AC77" s="295">
        <f t="shared" si="30"/>
        <v>0</v>
      </c>
    </row>
    <row r="78" spans="1:29" x14ac:dyDescent="0.3">
      <c r="A78" s="7">
        <f>CEO!A78+CS!A78+CFO!A78+LLA!A78+'C&amp;E'!A78+CES!A78+LLT!A78+GB!A78</f>
        <v>0</v>
      </c>
      <c r="B78" s="7">
        <f>CEO!B78+CS!B78+CFO!B78+LLA!B78+'C&amp;E'!B78+CES!B78+LLT!B78+GB!B78</f>
        <v>0</v>
      </c>
      <c r="C78" s="7">
        <f>CEO!C78+CS!C78+CFO!C78+LLA!C78+'C&amp;E'!C78+CES!C78+LLT!C78+GB!C78</f>
        <v>0</v>
      </c>
      <c r="D78" s="7">
        <f>CEO!D78+CS!D78+CFO!D78+LLA!D78+'C&amp;E'!D78+CES!D78+LLT!D78+GB!D78</f>
        <v>0</v>
      </c>
      <c r="E78" s="7">
        <f>CEO!E78+CS!E78+CFO!E78+LLA!E78+'C&amp;E'!E78+CES!E78+LLT!E78+GB!E78</f>
        <v>0</v>
      </c>
      <c r="F78" s="7">
        <f>CEO!F78+CS!F78+CFO!F78+LLA!F78+'C&amp;E'!F78+CES!F78+LLT!F78+GB!F78</f>
        <v>0</v>
      </c>
      <c r="G78" s="7">
        <f>CEO!G78+CS!G78+CFO!G78+LLA!G78+'C&amp;E'!G78+CES!G78+LLT!G78+GB!G78</f>
        <v>0</v>
      </c>
      <c r="H78" s="7">
        <f>CEO!H78+CS!H78+CFO!H78+LLA!H78+'C&amp;E'!H78+CES!H78+LLT!H78+GB!H78</f>
        <v>0</v>
      </c>
      <c r="I78" s="7">
        <f>CEO!I78+CS!I78+CFO!I78+LLA!I78+'C&amp;E'!I78+CES!I78+LLT!I78+GB!I78</f>
        <v>0</v>
      </c>
      <c r="J78" s="7">
        <f>CEO!J78+CS!J78+CFO!J78+LLA!J78+'C&amp;E'!J78+CES!J78+LLT!J78+GB!J78</f>
        <v>0</v>
      </c>
      <c r="K78" s="7">
        <f>CEO!K78+CS!K78+CFO!K78+LLA!K78+'C&amp;E'!K78+CES!K78+LLT!K78+GB!K78</f>
        <v>0</v>
      </c>
      <c r="L78" s="7">
        <f>CEO!L78+CS!L78+CFO!L78+LLA!L78+'C&amp;E'!L78+CES!L78+LLT!L78+GB!L78</f>
        <v>0</v>
      </c>
      <c r="M78" s="13" t="s">
        <v>471</v>
      </c>
      <c r="N78" s="7">
        <f t="shared" si="42"/>
        <v>0</v>
      </c>
      <c r="O78" s="7">
        <f t="shared" si="43"/>
        <v>0</v>
      </c>
      <c r="P78" s="7">
        <f t="shared" si="47"/>
        <v>0</v>
      </c>
      <c r="Q78" s="7">
        <f>CEO!Q78+CS!Q78+CFO!Q78+LLA!Q78+'C&amp;E'!Q78+CES!Q78+LLT!Q78+GB!Q78</f>
        <v>0</v>
      </c>
      <c r="R78" s="7">
        <f t="shared" si="44"/>
        <v>0</v>
      </c>
      <c r="S78" s="7">
        <v>0</v>
      </c>
      <c r="T78" s="7">
        <f>CEO!T78+CS!T78+CFO!T78+LLA!T78+'C&amp;E'!T78+CES!T78+LLT!T78+GB!T78</f>
        <v>0</v>
      </c>
      <c r="U78" s="7">
        <f t="shared" si="49"/>
        <v>0</v>
      </c>
      <c r="V78" s="7">
        <f t="shared" si="48"/>
        <v>0</v>
      </c>
      <c r="W78" s="7"/>
      <c r="X78" s="7">
        <f>CEO!Q78+CS!Q78+CFO!Q78+LLA!Q78+'C&amp;E'!Q78+CES!Q78+LLT!Q78+GB!Q78</f>
        <v>0</v>
      </c>
      <c r="Y78" s="7">
        <f t="shared" si="45"/>
        <v>0</v>
      </c>
      <c r="Z78" s="7">
        <v>0</v>
      </c>
      <c r="AA78" s="7">
        <f t="shared" si="46"/>
        <v>0</v>
      </c>
      <c r="AC78" s="295">
        <f t="shared" si="30"/>
        <v>0</v>
      </c>
    </row>
    <row r="79" spans="1:29" x14ac:dyDescent="0.3">
      <c r="A79" s="7">
        <f>CEO!A79+CS!A79+CFO!A79+LLA!A79+'C&amp;E'!A79+CES!A79+LLT!A79+GB!A79</f>
        <v>8732.9840000000004</v>
      </c>
      <c r="B79" s="7">
        <f>CEO!B79+CS!B79+CFO!B79+LLA!B79+'C&amp;E'!B79+CES!B79+LLT!B79+GB!B79</f>
        <v>8732.9840000000004</v>
      </c>
      <c r="C79" s="7">
        <f>CEO!C79+CS!C79+CFO!C79+LLA!C79+'C&amp;E'!C79+CES!C79+LLT!C79+GB!C79</f>
        <v>8732.9840000000004</v>
      </c>
      <c r="D79" s="7">
        <f>CEO!D79+CS!D79+CFO!D79+LLA!D79+'C&amp;E'!D79+CES!D79+LLT!D79+GB!D79</f>
        <v>8732.9840000000004</v>
      </c>
      <c r="E79" s="7">
        <f>CEO!E79+CS!E79+CFO!E79+LLA!E79+'C&amp;E'!E79+CES!E79+LLT!E79+GB!E79</f>
        <v>8732.9840000000004</v>
      </c>
      <c r="F79" s="7">
        <f>CEO!F79+CS!F79+CFO!F79+LLA!F79+'C&amp;E'!F79+CES!F79+LLT!F79+GB!F79</f>
        <v>8732.9840000000004</v>
      </c>
      <c r="G79" s="7">
        <f>CEO!G79+CS!G79+CFO!G79+LLA!G79+'C&amp;E'!G79+CES!G79+LLT!G79+GB!G79</f>
        <v>8732.9840000000004</v>
      </c>
      <c r="H79" s="7">
        <f>CEO!H79+CS!H79+CFO!H79+LLA!H79+'C&amp;E'!H79+CES!H79+LLT!H79+GB!H79</f>
        <v>8732.9840000000004</v>
      </c>
      <c r="I79" s="7">
        <f>CEO!I79+CS!I79+CFO!I79+LLA!I79+'C&amp;E'!I79+CES!I79+LLT!I79+GB!I79</f>
        <v>8732.9840000000004</v>
      </c>
      <c r="J79" s="7">
        <f>CEO!J79+CS!J79+CFO!J79+LLA!J79+'C&amp;E'!J79+CES!J79+LLT!J79+GB!J79</f>
        <v>8732.9840000000004</v>
      </c>
      <c r="K79" s="7">
        <f>CEO!K79+CS!K79+CFO!K79+LLA!K79+'C&amp;E'!K79+CES!K79+LLT!K79+GB!K79</f>
        <v>8732.9840000000004</v>
      </c>
      <c r="L79" s="7">
        <f>CEO!L79+CS!L79+CFO!L79+LLA!L79+'C&amp;E'!L79+CES!L79+LLT!L79+GB!L79</f>
        <v>8736.9840000000004</v>
      </c>
      <c r="M79" s="13" t="s">
        <v>472</v>
      </c>
      <c r="N79" s="7">
        <f t="shared" si="42"/>
        <v>0</v>
      </c>
      <c r="O79" s="7">
        <f t="shared" si="43"/>
        <v>104799.80799999998</v>
      </c>
      <c r="P79" s="7">
        <f t="shared" si="47"/>
        <v>104799.80799999998</v>
      </c>
      <c r="Q79" s="7">
        <f>CEO!Q79+CS!Q79+CFO!Q79+LLA!Q79+'C&amp;E'!Q79+CES!Q79+LLT!Q79+GB!Q79</f>
        <v>104799.80799999998</v>
      </c>
      <c r="R79" s="7">
        <f t="shared" si="44"/>
        <v>0</v>
      </c>
      <c r="S79" s="7">
        <v>0</v>
      </c>
      <c r="T79" s="7">
        <f>CEO!T79+CS!T79+CFO!T79+LLA!T79+'C&amp;E'!T79+CES!T79+LLT!T79+GB!T79</f>
        <v>0</v>
      </c>
      <c r="U79" s="7">
        <f t="shared" si="49"/>
        <v>104799.80799999998</v>
      </c>
      <c r="V79" s="7">
        <f t="shared" si="48"/>
        <v>0</v>
      </c>
      <c r="W79" s="7"/>
      <c r="X79" s="7">
        <f>CEO!Q79+CS!Q79+CFO!Q79+LLA!Q79+'C&amp;E'!Q79+CES!Q79+LLT!Q79+GB!Q79</f>
        <v>104799.80799999998</v>
      </c>
      <c r="Y79" s="7">
        <f t="shared" si="45"/>
        <v>0</v>
      </c>
      <c r="Z79" s="7">
        <v>104800</v>
      </c>
      <c r="AA79" s="7">
        <f t="shared" si="46"/>
        <v>109725.59999999999</v>
      </c>
      <c r="AC79" s="295">
        <f t="shared" si="30"/>
        <v>-0.19200000002456363</v>
      </c>
    </row>
    <row r="80" spans="1:29" x14ac:dyDescent="0.3">
      <c r="A80" s="7">
        <f>CEO!A80+CS!A80+CFO!A80+LLA!A80+'C&amp;E'!A80+CES!A80+LLT!A80+GB!A80</f>
        <v>0</v>
      </c>
      <c r="B80" s="7">
        <f>CEO!B80+CS!B80+CFO!B80+LLA!B80+'C&amp;E'!B80+CES!B80+LLT!B80+GB!B80</f>
        <v>0</v>
      </c>
      <c r="C80" s="7">
        <f>CEO!C80+CS!C80+CFO!C80+LLA!C80+'C&amp;E'!C80+CES!C80+LLT!C80+GB!C80</f>
        <v>0</v>
      </c>
      <c r="D80" s="7">
        <f>CEO!D80+CS!D80+CFO!D80+LLA!D80+'C&amp;E'!D80+CES!D80+LLT!D80+GB!D80</f>
        <v>0</v>
      </c>
      <c r="E80" s="7">
        <f>CEO!E80+CS!E80+CFO!E80+LLA!E80+'C&amp;E'!E80+CES!E80+LLT!E80+GB!E80</f>
        <v>0</v>
      </c>
      <c r="F80" s="7">
        <f>CEO!F80+CS!F80+CFO!F80+LLA!F80+'C&amp;E'!F80+CES!F80+LLT!F80+GB!F80</f>
        <v>0</v>
      </c>
      <c r="G80" s="7">
        <f>CEO!G80+CS!G80+CFO!G80+LLA!G80+'C&amp;E'!G80+CES!G80+LLT!G80+GB!G80</f>
        <v>0</v>
      </c>
      <c r="H80" s="7">
        <f>CEO!H80+CS!H80+CFO!H80+LLA!H80+'C&amp;E'!H80+CES!H80+LLT!H80+GB!H80</f>
        <v>0</v>
      </c>
      <c r="I80" s="7">
        <f>CEO!I80+CS!I80+CFO!I80+LLA!I80+'C&amp;E'!I80+CES!I80+LLT!I80+GB!I80</f>
        <v>0</v>
      </c>
      <c r="J80" s="7">
        <f>CEO!J80+CS!J80+CFO!J80+LLA!J80+'C&amp;E'!J80+CES!J80+LLT!J80+GB!J80</f>
        <v>0</v>
      </c>
      <c r="K80" s="7">
        <f>CEO!K80+CS!K80+CFO!K80+LLA!K80+'C&amp;E'!K80+CES!K80+LLT!K80+GB!K80</f>
        <v>0</v>
      </c>
      <c r="L80" s="7">
        <f>CEO!L80+CS!L80+CFO!L80+LLA!L80+'C&amp;E'!L80+CES!L80+LLT!L80+GB!L80</f>
        <v>0</v>
      </c>
      <c r="M80" s="13" t="s">
        <v>145</v>
      </c>
      <c r="N80" s="7">
        <f t="shared" si="42"/>
        <v>0</v>
      </c>
      <c r="O80" s="7">
        <f t="shared" si="43"/>
        <v>0</v>
      </c>
      <c r="P80" s="7">
        <f t="shared" si="47"/>
        <v>0</v>
      </c>
      <c r="Q80" s="7">
        <f>CEO!Q80+CS!Q80+CFO!Q80+LLA!Q80+'C&amp;E'!Q80+CES!Q80+LLT!Q80+GB!Q80</f>
        <v>0</v>
      </c>
      <c r="R80" s="7">
        <f t="shared" si="44"/>
        <v>0</v>
      </c>
      <c r="S80" s="7">
        <v>0</v>
      </c>
      <c r="T80" s="7">
        <f>CEO!T80+CS!T80+CFO!T80+LLA!T80+'C&amp;E'!T80+CES!T80+LLT!T80+GB!T80</f>
        <v>0</v>
      </c>
      <c r="U80" s="7">
        <f t="shared" si="49"/>
        <v>0</v>
      </c>
      <c r="V80" s="7">
        <f t="shared" si="48"/>
        <v>0</v>
      </c>
      <c r="W80" s="7"/>
      <c r="X80" s="7">
        <f>CEO!Q80+CS!Q80+CFO!Q80+LLA!Q80+'C&amp;E'!Q80+CES!Q80+LLT!Q80+GB!Q80</f>
        <v>0</v>
      </c>
      <c r="Y80" s="7">
        <f t="shared" si="45"/>
        <v>0</v>
      </c>
      <c r="Z80" s="7">
        <v>0</v>
      </c>
      <c r="AA80" s="7">
        <f t="shared" si="46"/>
        <v>0</v>
      </c>
      <c r="AC80" s="295">
        <f t="shared" si="30"/>
        <v>0</v>
      </c>
    </row>
    <row r="81" spans="1:29" x14ac:dyDescent="0.3">
      <c r="A81" s="7">
        <f>CEO!A81+CS!A81+CFO!A81+LLA!A81+'C&amp;E'!A81+CES!A81+LLT!A81+GB!A81</f>
        <v>0</v>
      </c>
      <c r="B81" s="7">
        <f>CEO!B81+CS!B81+CFO!B81+LLA!B81+'C&amp;E'!B81+CES!B81+LLT!B81+GB!B81</f>
        <v>0</v>
      </c>
      <c r="C81" s="7">
        <f>CEO!C81+CS!C81+CFO!C81+LLA!C81+'C&amp;E'!C81+CES!C81+LLT!C81+GB!C81</f>
        <v>0</v>
      </c>
      <c r="D81" s="7">
        <f>CEO!D81+CS!D81+CFO!D81+LLA!D81+'C&amp;E'!D81+CES!D81+LLT!D81+GB!D81</f>
        <v>0</v>
      </c>
      <c r="E81" s="7">
        <f>CEO!E81+CS!E81+CFO!E81+LLA!E81+'C&amp;E'!E81+CES!E81+LLT!E81+GB!E81</f>
        <v>13355.712</v>
      </c>
      <c r="F81" s="7">
        <f>CEO!F81+CS!F81+CFO!F81+LLA!F81+'C&amp;E'!F81+CES!F81+LLT!F81+GB!F81</f>
        <v>0</v>
      </c>
      <c r="G81" s="7">
        <f>CEO!G81+CS!G81+CFO!G81+LLA!G81+'C&amp;E'!G81+CES!G81+LLT!G81+GB!G81</f>
        <v>62198.75808</v>
      </c>
      <c r="H81" s="7">
        <f>CEO!H81+CS!H81+CFO!H81+LLA!H81+'C&amp;E'!H81+CES!H81+LLT!H81+GB!H81</f>
        <v>0</v>
      </c>
      <c r="I81" s="7">
        <f>CEO!I81+CS!I81+CFO!I81+LLA!I81+'C&amp;E'!I81+CES!I81+LLT!I81+GB!I81</f>
        <v>0</v>
      </c>
      <c r="J81" s="7">
        <f>CEO!J81+CS!J81+CFO!J81+LLA!J81+'C&amp;E'!J81+CES!J81+LLT!J81+GB!J81</f>
        <v>0</v>
      </c>
      <c r="K81" s="7">
        <f>CEO!K81+CS!K81+CFO!K81+LLA!K81+'C&amp;E'!K81+CES!K81+LLT!K81+GB!K81</f>
        <v>32121.200000000001</v>
      </c>
      <c r="L81" s="7">
        <f>CEO!L81+CS!L81+CFO!L81+LLA!L81+'C&amp;E'!L81+CES!L81+LLT!L81+GB!L81</f>
        <v>18366.2</v>
      </c>
      <c r="M81" s="390" t="s">
        <v>473</v>
      </c>
      <c r="N81" s="7">
        <f t="shared" si="42"/>
        <v>0</v>
      </c>
      <c r="O81" s="7">
        <f t="shared" si="43"/>
        <v>126041.87007999999</v>
      </c>
      <c r="P81" s="7">
        <f t="shared" si="47"/>
        <v>126041.87007999999</v>
      </c>
      <c r="Q81" s="7">
        <f>CEO!Q81+CS!Q81+CFO!Q81+LLA!Q81+'C&amp;E'!Q81+CES!Q81+LLT!Q81+GB!Q81</f>
        <v>126041.87007999999</v>
      </c>
      <c r="R81" s="7">
        <f t="shared" si="44"/>
        <v>0</v>
      </c>
      <c r="S81" s="7">
        <v>-4646</v>
      </c>
      <c r="T81" s="7">
        <f>CEO!T81+CS!T81+CFO!T81+LLA!T81+'C&amp;E'!T81+CES!T81+LLT!T81+GB!T81</f>
        <v>-48974.99</v>
      </c>
      <c r="U81" s="7">
        <f t="shared" si="49"/>
        <v>72420.880080000003</v>
      </c>
      <c r="V81" s="7">
        <f t="shared" si="48"/>
        <v>-53620.989999999991</v>
      </c>
      <c r="W81" s="7"/>
      <c r="X81" s="7">
        <f>CEO!Q81+CS!Q81+CFO!Q81+LLA!Q81+'C&amp;E'!Q81+CES!Q81+LLT!Q81+GB!Q81</f>
        <v>126041.87007999999</v>
      </c>
      <c r="Y81" s="7">
        <f t="shared" si="45"/>
        <v>0</v>
      </c>
      <c r="Z81" s="7">
        <v>126041.47184000009</v>
      </c>
      <c r="AA81" s="7">
        <f t="shared" si="46"/>
        <v>131965.42101648008</v>
      </c>
      <c r="AC81" s="295">
        <f t="shared" si="30"/>
        <v>0.39823999990767334</v>
      </c>
    </row>
    <row r="82" spans="1:29" x14ac:dyDescent="0.3">
      <c r="A82" s="7">
        <f>CEO!A82+CS!A82+CFO!A82+LLA!A82+'C&amp;E'!A82+CES!A82+LLT!A82+GB!A82</f>
        <v>126291.33600000001</v>
      </c>
      <c r="B82" s="7">
        <f>CEO!B82+CS!B82+CFO!B82+LLA!B82+'C&amp;E'!B82+CES!B82+LLT!B82+GB!B82</f>
        <v>126291.33600000001</v>
      </c>
      <c r="C82" s="7">
        <f>CEO!C82+CS!C82+CFO!C82+LLA!C82+'C&amp;E'!C82+CES!C82+LLT!C82+GB!C82</f>
        <v>126291.33600000001</v>
      </c>
      <c r="D82" s="7">
        <f>CEO!D82+CS!D82+CFO!D82+LLA!D82+'C&amp;E'!D82+CES!D82+LLT!D82+GB!D82</f>
        <v>126291.33600000001</v>
      </c>
      <c r="E82" s="7">
        <f>CEO!E82+CS!E82+CFO!E82+LLA!E82+'C&amp;E'!E82+CES!E82+LLT!E82+GB!E82</f>
        <v>126291.33600000001</v>
      </c>
      <c r="F82" s="7">
        <f>CEO!F82+CS!F82+CFO!F82+LLA!F82+'C&amp;E'!F82+CES!F82+LLT!F82+GB!F82</f>
        <v>126291.33600000001</v>
      </c>
      <c r="G82" s="7">
        <f>CEO!G82+CS!G82+CFO!G82+LLA!G82+'C&amp;E'!G82+CES!G82+LLT!G82+GB!G82</f>
        <v>126291.33600000001</v>
      </c>
      <c r="H82" s="7">
        <f>CEO!H82+CS!H82+CFO!H82+LLA!H82+'C&amp;E'!H82+CES!H82+LLT!H82+GB!H82</f>
        <v>126291.33600000001</v>
      </c>
      <c r="I82" s="7">
        <f>CEO!I82+CS!I82+CFO!I82+LLA!I82+'C&amp;E'!I82+CES!I82+LLT!I82+GB!I82</f>
        <v>126291.33600000001</v>
      </c>
      <c r="J82" s="7">
        <f>CEO!J82+CS!J82+CFO!J82+LLA!J82+'C&amp;E'!J82+CES!J82+LLT!J82+GB!J82</f>
        <v>126291.33600000001</v>
      </c>
      <c r="K82" s="7">
        <f>CEO!K82+CS!K82+CFO!K82+LLA!K82+'C&amp;E'!K82+CES!K82+LLT!K82+GB!K82</f>
        <v>126291.33600000001</v>
      </c>
      <c r="L82" s="7">
        <f>CEO!L82+CS!L82+CFO!L82+LLA!L82+'C&amp;E'!L82+CES!L82+LLT!L82+GB!L82</f>
        <v>126291.33600000001</v>
      </c>
      <c r="M82" s="390" t="s">
        <v>474</v>
      </c>
      <c r="N82" s="7">
        <f t="shared" si="42"/>
        <v>0</v>
      </c>
      <c r="O82" s="7">
        <f t="shared" si="43"/>
        <v>1515496.0320000006</v>
      </c>
      <c r="P82" s="7">
        <f t="shared" si="47"/>
        <v>1515496.0320000006</v>
      </c>
      <c r="Q82" s="7">
        <f>CEO!Q82+CS!Q82+CFO!Q82+LLA!Q82+'C&amp;E'!Q82+CES!Q82+LLT!Q82+GB!Q82</f>
        <v>1515496.0320000006</v>
      </c>
      <c r="R82" s="7">
        <f t="shared" si="44"/>
        <v>0</v>
      </c>
      <c r="S82" s="7">
        <v>141340.00000000003</v>
      </c>
      <c r="T82" s="7">
        <f>CEO!T82+CS!T82+CFO!T82+LLA!T82+'C&amp;E'!T82+CES!T82+LLT!T82+GB!T82</f>
        <v>281269</v>
      </c>
      <c r="U82" s="7">
        <f t="shared" si="49"/>
        <v>1938105.0320000006</v>
      </c>
      <c r="V82" s="7">
        <f t="shared" si="48"/>
        <v>422609</v>
      </c>
      <c r="W82" s="7"/>
      <c r="X82" s="7">
        <f>CEO!Q82+CS!Q82+CFO!Q82+LLA!Q82+'C&amp;E'!Q82+CES!Q82+LLT!Q82+GB!Q82</f>
        <v>1515496.0320000006</v>
      </c>
      <c r="Y82" s="7">
        <f t="shared" si="45"/>
        <v>0</v>
      </c>
      <c r="Z82" s="7">
        <v>1515495.8264473763</v>
      </c>
      <c r="AA82" s="7">
        <f t="shared" si="46"/>
        <v>1586724.1302904028</v>
      </c>
      <c r="AC82" s="295">
        <f t="shared" si="30"/>
        <v>0.2055526243057102</v>
      </c>
    </row>
    <row r="83" spans="1:29" x14ac:dyDescent="0.3">
      <c r="A83" s="7">
        <f>CEO!A83+CS!A83+CFO!A83+LLA!A83+'C&amp;E'!A83+CES!A83+LLT!A83+GB!A83</f>
        <v>0</v>
      </c>
      <c r="B83" s="7">
        <f>CEO!B83+CS!B83+CFO!B83+LLA!B83+'C&amp;E'!B83+CES!B83+LLT!B83+GB!B83</f>
        <v>0</v>
      </c>
      <c r="C83" s="7">
        <f>CEO!C83+CS!C83+CFO!C83+LLA!C83+'C&amp;E'!C83+CES!C83+LLT!C83+GB!C83</f>
        <v>0</v>
      </c>
      <c r="D83" s="7">
        <f>CEO!D83+CS!D83+CFO!D83+LLA!D83+'C&amp;E'!D83+CES!D83+LLT!D83+GB!D83</f>
        <v>0</v>
      </c>
      <c r="E83" s="7">
        <f>CEO!E83+CS!E83+CFO!E83+LLA!E83+'C&amp;E'!E83+CES!E83+LLT!E83+GB!E83</f>
        <v>0</v>
      </c>
      <c r="F83" s="7">
        <f>CEO!F83+CS!F83+CFO!F83+LLA!F83+'C&amp;E'!F83+CES!F83+LLT!F83+GB!F83</f>
        <v>0</v>
      </c>
      <c r="G83" s="7">
        <f>CEO!G83+CS!G83+CFO!G83+LLA!G83+'C&amp;E'!G83+CES!G83+LLT!G83+GB!G83</f>
        <v>0</v>
      </c>
      <c r="H83" s="7">
        <f>CEO!H83+CS!H83+CFO!H83+LLA!H83+'C&amp;E'!H83+CES!H83+LLT!H83+GB!H83</f>
        <v>0</v>
      </c>
      <c r="I83" s="7">
        <f>CEO!I83+CS!I83+CFO!I83+LLA!I83+'C&amp;E'!I83+CES!I83+LLT!I83+GB!I83</f>
        <v>0</v>
      </c>
      <c r="J83" s="7">
        <f>CEO!J83+CS!J83+CFO!J83+LLA!J83+'C&amp;E'!J83+CES!J83+LLT!J83+GB!J83</f>
        <v>0</v>
      </c>
      <c r="K83" s="7">
        <f>CEO!K83+CS!K83+CFO!K83+LLA!K83+'C&amp;E'!K83+CES!K83+LLT!K83+GB!K83</f>
        <v>0</v>
      </c>
      <c r="L83" s="7">
        <f>CEO!L83+CS!L83+CFO!L83+LLA!L83+'C&amp;E'!L83+CES!L83+LLT!L83+GB!L83</f>
        <v>0</v>
      </c>
      <c r="M83" s="390" t="s">
        <v>148</v>
      </c>
      <c r="N83" s="7">
        <f t="shared" si="42"/>
        <v>0</v>
      </c>
      <c r="O83" s="7">
        <f t="shared" si="43"/>
        <v>0</v>
      </c>
      <c r="P83" s="7">
        <f t="shared" si="47"/>
        <v>0</v>
      </c>
      <c r="Q83" s="7">
        <f>CEO!Q83+CS!Q83+CFO!Q83+LLA!Q83+'C&amp;E'!Q83+CES!Q83+LLT!Q83+GB!Q83</f>
        <v>0</v>
      </c>
      <c r="R83" s="7">
        <f t="shared" si="44"/>
        <v>0</v>
      </c>
      <c r="S83" s="7">
        <v>0</v>
      </c>
      <c r="T83" s="7">
        <f>CEO!T83+CS!T83+CFO!T83+LLA!T83+'C&amp;E'!T83+CES!T83+LLT!T83+GB!T83</f>
        <v>0</v>
      </c>
      <c r="U83" s="7">
        <f t="shared" si="49"/>
        <v>0</v>
      </c>
      <c r="V83" s="7">
        <f t="shared" si="48"/>
        <v>0</v>
      </c>
      <c r="W83" s="7"/>
      <c r="X83" s="7">
        <f>CEO!Q83+CS!Q83+CFO!Q83+LLA!Q83+'C&amp;E'!Q83+CES!Q83+LLT!Q83+GB!Q83</f>
        <v>0</v>
      </c>
      <c r="Y83" s="7">
        <f t="shared" si="45"/>
        <v>0</v>
      </c>
      <c r="Z83" s="7">
        <v>0</v>
      </c>
      <c r="AA83" s="7">
        <f t="shared" si="46"/>
        <v>0</v>
      </c>
      <c r="AC83" s="295">
        <f t="shared" si="30"/>
        <v>0</v>
      </c>
    </row>
    <row r="84" spans="1:29" x14ac:dyDescent="0.3">
      <c r="A84" s="7">
        <f>CEO!A84+CS!A84+CFO!A84+LLA!A84+'C&amp;E'!A84+CES!A84+LLT!A84+GB!A84</f>
        <v>0</v>
      </c>
      <c r="B84" s="7">
        <f>CEO!B84+CS!B84+CFO!B84+LLA!B84+'C&amp;E'!B84+CES!B84+LLT!B84+GB!B84</f>
        <v>0</v>
      </c>
      <c r="C84" s="7">
        <f>CEO!C84+CS!C84+CFO!C84+LLA!C84+'C&amp;E'!C84+CES!C84+LLT!C84+GB!C84</f>
        <v>0</v>
      </c>
      <c r="D84" s="7">
        <f>CEO!D84+CS!D84+CFO!D84+LLA!D84+'C&amp;E'!D84+CES!D84+LLT!D84+GB!D84</f>
        <v>0</v>
      </c>
      <c r="E84" s="7">
        <f>CEO!E84+CS!E84+CFO!E84+LLA!E84+'C&amp;E'!E84+CES!E84+LLT!E84+GB!E84</f>
        <v>0</v>
      </c>
      <c r="F84" s="7">
        <f>CEO!F84+CS!F84+CFO!F84+LLA!F84+'C&amp;E'!F84+CES!F84+LLT!F84+GB!F84</f>
        <v>0</v>
      </c>
      <c r="G84" s="7">
        <f>CEO!G84+CS!G84+CFO!G84+LLA!G84+'C&amp;E'!G84+CES!G84+LLT!G84+GB!G84</f>
        <v>0</v>
      </c>
      <c r="H84" s="7">
        <f>CEO!H84+CS!H84+CFO!H84+LLA!H84+'C&amp;E'!H84+CES!H84+LLT!H84+GB!H84</f>
        <v>0</v>
      </c>
      <c r="I84" s="7">
        <f>CEO!I84+CS!I84+CFO!I84+LLA!I84+'C&amp;E'!I84+CES!I84+LLT!I84+GB!I84</f>
        <v>0</v>
      </c>
      <c r="J84" s="7">
        <f>CEO!J84+CS!J84+CFO!J84+LLA!J84+'C&amp;E'!J84+CES!J84+LLT!J84+GB!J84</f>
        <v>0</v>
      </c>
      <c r="K84" s="7">
        <f>CEO!K84+CS!K84+CFO!K84+LLA!K84+'C&amp;E'!K84+CES!K84+LLT!K84+GB!K84</f>
        <v>0</v>
      </c>
      <c r="L84" s="7">
        <f>CEO!L84+CS!L84+CFO!L84+LLA!L84+'C&amp;E'!L84+CES!L84+LLT!L84+GB!L84</f>
        <v>0</v>
      </c>
      <c r="M84" s="13" t="s">
        <v>475</v>
      </c>
      <c r="N84" s="7">
        <f t="shared" si="42"/>
        <v>0</v>
      </c>
      <c r="O84" s="7">
        <f t="shared" si="43"/>
        <v>0</v>
      </c>
      <c r="P84" s="7">
        <f t="shared" si="47"/>
        <v>0</v>
      </c>
      <c r="Q84" s="7">
        <f>CEO!Q84+CS!Q84+CFO!Q84+LLA!Q84+'C&amp;E'!Q84+CES!Q84+LLT!Q84+GB!Q84</f>
        <v>0</v>
      </c>
      <c r="R84" s="7">
        <f t="shared" si="44"/>
        <v>0</v>
      </c>
      <c r="S84" s="7">
        <v>0</v>
      </c>
      <c r="T84" s="7">
        <f>CEO!T84+CS!T84+CFO!T84+LLA!T84+'C&amp;E'!T84+CES!T84+LLT!T84+GB!T84</f>
        <v>0</v>
      </c>
      <c r="U84" s="7">
        <f t="shared" si="49"/>
        <v>0</v>
      </c>
      <c r="V84" s="7">
        <f t="shared" si="48"/>
        <v>0</v>
      </c>
      <c r="W84" s="7"/>
      <c r="X84" s="7">
        <f>CEO!Q84+CS!Q84+CFO!Q84+LLA!Q84+'C&amp;E'!Q84+CES!Q84+LLT!Q84+GB!Q84</f>
        <v>0</v>
      </c>
      <c r="Y84" s="7">
        <f t="shared" si="45"/>
        <v>0</v>
      </c>
      <c r="Z84" s="7">
        <v>0</v>
      </c>
      <c r="AA84" s="7">
        <f t="shared" si="46"/>
        <v>0</v>
      </c>
      <c r="AC84" s="295">
        <f t="shared" si="30"/>
        <v>0</v>
      </c>
    </row>
    <row r="85" spans="1:29" x14ac:dyDescent="0.3">
      <c r="A85" s="7">
        <f>CEO!A85+CS!A85+CFO!A85+LLA!A85+'C&amp;E'!A85+CES!A85+LLT!A85+GB!A85</f>
        <v>0</v>
      </c>
      <c r="B85" s="7">
        <f>CEO!B85+CS!B85+CFO!B85+LLA!B85+'C&amp;E'!B85+CES!B85+LLT!B85+GB!B85</f>
        <v>0</v>
      </c>
      <c r="C85" s="7">
        <f>CEO!C85+CS!C85+CFO!C85+LLA!C85+'C&amp;E'!C85+CES!C85+LLT!C85+GB!C85</f>
        <v>0</v>
      </c>
      <c r="D85" s="7">
        <f>CEO!D85+CS!D85+CFO!D85+LLA!D85+'C&amp;E'!D85+CES!D85+LLT!D85+GB!D85</f>
        <v>0</v>
      </c>
      <c r="E85" s="7">
        <f>CEO!E85+CS!E85+CFO!E85+LLA!E85+'C&amp;E'!E85+CES!E85+LLT!E85+GB!E85</f>
        <v>0</v>
      </c>
      <c r="F85" s="7">
        <f>CEO!F85+CS!F85+CFO!F85+LLA!F85+'C&amp;E'!F85+CES!F85+LLT!F85+GB!F85</f>
        <v>0</v>
      </c>
      <c r="G85" s="7">
        <f>CEO!G85+CS!G85+CFO!G85+LLA!G85+'C&amp;E'!G85+CES!G85+LLT!G85+GB!G85</f>
        <v>0</v>
      </c>
      <c r="H85" s="7">
        <f>CEO!H85+CS!H85+CFO!H85+LLA!H85+'C&amp;E'!H85+CES!H85+LLT!H85+GB!H85</f>
        <v>0</v>
      </c>
      <c r="I85" s="7">
        <f>CEO!I85+CS!I85+CFO!I85+LLA!I85+'C&amp;E'!I85+CES!I85+LLT!I85+GB!I85</f>
        <v>0</v>
      </c>
      <c r="J85" s="7">
        <f>CEO!J85+CS!J85+CFO!J85+LLA!J85+'C&amp;E'!J85+CES!J85+LLT!J85+GB!J85</f>
        <v>0</v>
      </c>
      <c r="K85" s="7">
        <f>CEO!K85+CS!K85+CFO!K85+LLA!K85+'C&amp;E'!K85+CES!K85+LLT!K85+GB!K85</f>
        <v>0</v>
      </c>
      <c r="L85" s="7">
        <f>CEO!L85+CS!L85+CFO!L85+LLA!L85+'C&amp;E'!L85+CES!L85+LLT!L85+GB!L85</f>
        <v>0</v>
      </c>
      <c r="M85" s="13" t="s">
        <v>476</v>
      </c>
      <c r="N85" s="7">
        <f t="shared" si="42"/>
        <v>0</v>
      </c>
      <c r="O85" s="7">
        <f t="shared" si="43"/>
        <v>0</v>
      </c>
      <c r="P85" s="7">
        <f t="shared" si="47"/>
        <v>0</v>
      </c>
      <c r="Q85" s="7">
        <f>CEO!Q85+CS!Q85+CFO!Q85+LLA!Q85+'C&amp;E'!Q85+CES!Q85+LLT!Q85+GB!Q85</f>
        <v>0</v>
      </c>
      <c r="R85" s="7">
        <f t="shared" si="44"/>
        <v>0</v>
      </c>
      <c r="S85" s="7">
        <v>16103.362572296999</v>
      </c>
      <c r="T85" s="7">
        <f>CEO!T85+CS!T85+CFO!T85+LLA!T85+'C&amp;E'!T85+CES!T85+LLT!T85+GB!T85</f>
        <v>0</v>
      </c>
      <c r="U85" s="7">
        <f t="shared" si="49"/>
        <v>16103.362572296999</v>
      </c>
      <c r="V85" s="7">
        <f t="shared" si="48"/>
        <v>16103.362572296999</v>
      </c>
      <c r="W85" s="7"/>
      <c r="X85" s="7">
        <f>CEO!Q85+CS!Q85+CFO!Q85+LLA!Q85+'C&amp;E'!Q85+CES!Q85+LLT!Q85+GB!Q85</f>
        <v>0</v>
      </c>
      <c r="Y85" s="7">
        <f t="shared" si="45"/>
        <v>0</v>
      </c>
      <c r="Z85" s="7">
        <v>0</v>
      </c>
      <c r="AA85" s="7">
        <f t="shared" si="46"/>
        <v>0</v>
      </c>
      <c r="AC85" s="295">
        <f t="shared" si="30"/>
        <v>0</v>
      </c>
    </row>
    <row r="86" spans="1:29" x14ac:dyDescent="0.3">
      <c r="A86" s="7">
        <f>CEO!A86+CS!A86+CFO!A86+LLA!A86+'C&amp;E'!A86+CES!A86+LLT!A86+GB!A86</f>
        <v>0</v>
      </c>
      <c r="B86" s="7">
        <f>CEO!B86+CS!B86+CFO!B86+LLA!B86+'C&amp;E'!B86+CES!B86+LLT!B86+GB!B86</f>
        <v>0</v>
      </c>
      <c r="C86" s="7">
        <f>CEO!C86+CS!C86+CFO!C86+LLA!C86+'C&amp;E'!C86+CES!C86+LLT!C86+GB!C86</f>
        <v>0</v>
      </c>
      <c r="D86" s="7">
        <f>CEO!D86+CS!D86+CFO!D86+LLA!D86+'C&amp;E'!D86+CES!D86+LLT!D86+GB!D86</f>
        <v>0</v>
      </c>
      <c r="E86" s="7">
        <f>CEO!E86+CS!E86+CFO!E86+LLA!E86+'C&amp;E'!E86+CES!E86+LLT!E86+GB!E86</f>
        <v>0</v>
      </c>
      <c r="F86" s="7">
        <f>CEO!F86+CS!F86+CFO!F86+LLA!F86+'C&amp;E'!F86+CES!F86+LLT!F86+GB!F86</f>
        <v>0</v>
      </c>
      <c r="G86" s="7">
        <f>CEO!G86+CS!G86+CFO!G86+LLA!G86+'C&amp;E'!G86+CES!G86+LLT!G86+GB!G86</f>
        <v>0</v>
      </c>
      <c r="H86" s="7">
        <f>CEO!H86+CS!H86+CFO!H86+LLA!H86+'C&amp;E'!H86+CES!H86+LLT!H86+GB!H86</f>
        <v>0</v>
      </c>
      <c r="I86" s="7">
        <f>CEO!I86+CS!I86+CFO!I86+LLA!I86+'C&amp;E'!I86+CES!I86+LLT!I86+GB!I86</f>
        <v>0</v>
      </c>
      <c r="J86" s="7">
        <f>CEO!J86+CS!J86+CFO!J86+LLA!J86+'C&amp;E'!J86+CES!J86+LLT!J86+GB!J86</f>
        <v>0</v>
      </c>
      <c r="K86" s="7">
        <f>CEO!K86+CS!K86+CFO!K86+LLA!K86+'C&amp;E'!K86+CES!K86+LLT!K86+GB!K86</f>
        <v>0</v>
      </c>
      <c r="L86" s="7">
        <f>CEO!L86+CS!L86+CFO!L86+LLA!L86+'C&amp;E'!L86+CES!L86+LLT!L86+GB!L86</f>
        <v>0</v>
      </c>
      <c r="M86" s="13" t="s">
        <v>151</v>
      </c>
      <c r="N86" s="7">
        <f t="shared" si="42"/>
        <v>0</v>
      </c>
      <c r="O86" s="7">
        <f t="shared" si="43"/>
        <v>0</v>
      </c>
      <c r="P86" s="7">
        <f t="shared" si="47"/>
        <v>0</v>
      </c>
      <c r="Q86" s="7">
        <f>CEO!Q86+CS!Q86+CFO!Q86+LLA!Q86+'C&amp;E'!Q86+CES!Q86+LLT!Q86+GB!Q86</f>
        <v>0</v>
      </c>
      <c r="R86" s="7">
        <f t="shared" si="44"/>
        <v>0</v>
      </c>
      <c r="S86" s="7">
        <v>0</v>
      </c>
      <c r="T86" s="7">
        <f>CEO!T86+CS!T86+CFO!T86+LLA!T86+'C&amp;E'!T86+CES!T86+LLT!T86+GB!T86</f>
        <v>0</v>
      </c>
      <c r="U86" s="7">
        <f t="shared" si="49"/>
        <v>0</v>
      </c>
      <c r="V86" s="7">
        <f t="shared" si="48"/>
        <v>0</v>
      </c>
      <c r="W86" s="7"/>
      <c r="X86" s="7">
        <f>CEO!Q86+CS!Q86+CFO!Q86+LLA!Q86+'C&amp;E'!Q86+CES!Q86+LLT!Q86+GB!Q86</f>
        <v>0</v>
      </c>
      <c r="Y86" s="7">
        <f t="shared" si="45"/>
        <v>0</v>
      </c>
      <c r="Z86" s="7">
        <v>0</v>
      </c>
      <c r="AA86" s="7">
        <f t="shared" si="46"/>
        <v>0</v>
      </c>
      <c r="AC86" s="295">
        <f t="shared" si="30"/>
        <v>0</v>
      </c>
    </row>
    <row r="87" spans="1:29" x14ac:dyDescent="0.3">
      <c r="A87" s="7">
        <f>CEO!A87+CS!A87+CFO!A87+LLA!A87+'C&amp;E'!A87+CES!A87+LLT!A87+GB!A87</f>
        <v>4318.808</v>
      </c>
      <c r="B87" s="7">
        <f>CEO!B87+CS!B87+CFO!B87+LLA!B87+'C&amp;E'!B87+CES!B87+LLT!B87+GB!B87</f>
        <v>4318.808</v>
      </c>
      <c r="C87" s="7">
        <f>CEO!C87+CS!C87+CFO!C87+LLA!C87+'C&amp;E'!C87+CES!C87+LLT!C87+GB!C87</f>
        <v>4318.808</v>
      </c>
      <c r="D87" s="7">
        <f>CEO!D87+CS!D87+CFO!D87+LLA!D87+'C&amp;E'!D87+CES!D87+LLT!D87+GB!D87</f>
        <v>4318.808</v>
      </c>
      <c r="E87" s="7">
        <f>CEO!E87+CS!E87+CFO!E87+LLA!E87+'C&amp;E'!E87+CES!E87+LLT!E87+GB!E87</f>
        <v>4318.808</v>
      </c>
      <c r="F87" s="7">
        <f>CEO!F87+CS!F87+CFO!F87+LLA!F87+'C&amp;E'!F87+CES!F87+LLT!F87+GB!F87</f>
        <v>4318.808</v>
      </c>
      <c r="G87" s="7">
        <f>CEO!G87+CS!G87+CFO!G87+LLA!G87+'C&amp;E'!G87+CES!G87+LLT!G87+GB!G87</f>
        <v>4318.808</v>
      </c>
      <c r="H87" s="7">
        <f>CEO!H87+CS!H87+CFO!H87+LLA!H87+'C&amp;E'!H87+CES!H87+LLT!H87+GB!H87</f>
        <v>4318.808</v>
      </c>
      <c r="I87" s="7">
        <f>CEO!I87+CS!I87+CFO!I87+LLA!I87+'C&amp;E'!I87+CES!I87+LLT!I87+GB!I87</f>
        <v>4318.808</v>
      </c>
      <c r="J87" s="7">
        <f>CEO!J87+CS!J87+CFO!J87+LLA!J87+'C&amp;E'!J87+CES!J87+LLT!J87+GB!J87</f>
        <v>4318.808</v>
      </c>
      <c r="K87" s="7">
        <f>CEO!K87+CS!K87+CFO!K87+LLA!K87+'C&amp;E'!K87+CES!K87+LLT!K87+GB!K87</f>
        <v>4318.808</v>
      </c>
      <c r="L87" s="7">
        <f>CEO!L87+CS!L87+CFO!L87+LLA!L87+'C&amp;E'!L87+CES!L87+LLT!L87+GB!L87</f>
        <v>4318.808</v>
      </c>
      <c r="M87" s="13" t="s">
        <v>477</v>
      </c>
      <c r="N87" s="7">
        <f t="shared" si="42"/>
        <v>0</v>
      </c>
      <c r="O87" s="7">
        <f t="shared" si="43"/>
        <v>51825.695999999989</v>
      </c>
      <c r="P87" s="7">
        <f t="shared" si="47"/>
        <v>51825.695999999989</v>
      </c>
      <c r="Q87" s="7">
        <f>CEO!Q87+CS!Q87+CFO!Q87+LLA!Q87+'C&amp;E'!Q87+CES!Q87+LLT!Q87+GB!Q87</f>
        <v>51825.695999999989</v>
      </c>
      <c r="R87" s="7">
        <f t="shared" si="44"/>
        <v>0</v>
      </c>
      <c r="S87" s="7">
        <v>100000</v>
      </c>
      <c r="T87" s="7">
        <f>CEO!T87+CS!T87+CFO!T87+LLA!T87+'C&amp;E'!T87+CES!T87+LLT!T87+GB!T87</f>
        <v>19393</v>
      </c>
      <c r="U87" s="7">
        <f t="shared" si="49"/>
        <v>171218.696</v>
      </c>
      <c r="V87" s="7">
        <f t="shared" si="48"/>
        <v>119393</v>
      </c>
      <c r="W87" s="7"/>
      <c r="X87" s="7">
        <f>CEO!Q87+CS!Q87+CFO!Q87+LLA!Q87+'C&amp;E'!Q87+CES!Q87+LLT!Q87+GB!Q87</f>
        <v>51825.695999999989</v>
      </c>
      <c r="Y87" s="7">
        <f t="shared" si="45"/>
        <v>0</v>
      </c>
      <c r="Z87" s="7">
        <v>51825.696000000004</v>
      </c>
      <c r="AA87" s="7">
        <f t="shared" si="46"/>
        <v>54261.503711999998</v>
      </c>
      <c r="AC87" s="295">
        <f t="shared" si="30"/>
        <v>0</v>
      </c>
    </row>
    <row r="88" spans="1:29" x14ac:dyDescent="0.3">
      <c r="A88" s="7">
        <f>CEO!A88+CS!A88+CFO!A88+LLA!A88+'C&amp;E'!A88+CES!A88+LLT!A88+GB!A88</f>
        <v>0</v>
      </c>
      <c r="B88" s="7">
        <f>CEO!B88+CS!B88+CFO!B88+LLA!B88+'C&amp;E'!B88+CES!B88+LLT!B88+GB!B88</f>
        <v>0</v>
      </c>
      <c r="C88" s="7">
        <f>CEO!C88+CS!C88+CFO!C88+LLA!C88+'C&amp;E'!C88+CES!C88+LLT!C88+GB!C88</f>
        <v>0</v>
      </c>
      <c r="D88" s="7">
        <f>CEO!D88+CS!D88+CFO!D88+LLA!D88+'C&amp;E'!D88+CES!D88+LLT!D88+GB!D88</f>
        <v>0</v>
      </c>
      <c r="E88" s="7">
        <f>CEO!E88+CS!E88+CFO!E88+LLA!E88+'C&amp;E'!E88+CES!E88+LLT!E88+GB!E88</f>
        <v>0</v>
      </c>
      <c r="F88" s="7">
        <f>CEO!F88+CS!F88+CFO!F88+LLA!F88+'C&amp;E'!F88+CES!F88+LLT!F88+GB!F88</f>
        <v>0</v>
      </c>
      <c r="G88" s="7">
        <f>CEO!G88+CS!G88+CFO!G88+LLA!G88+'C&amp;E'!G88+CES!G88+LLT!G88+GB!G88</f>
        <v>0</v>
      </c>
      <c r="H88" s="7">
        <f>CEO!H88+CS!H88+CFO!H88+LLA!H88+'C&amp;E'!H88+CES!H88+LLT!H88+GB!H88</f>
        <v>0</v>
      </c>
      <c r="I88" s="7">
        <f>CEO!I88+CS!I88+CFO!I88+LLA!I88+'C&amp;E'!I88+CES!I88+LLT!I88+GB!I88</f>
        <v>0</v>
      </c>
      <c r="J88" s="7">
        <f>CEO!J88+CS!J88+CFO!J88+LLA!J88+'C&amp;E'!J88+CES!J88+LLT!J88+GB!J88</f>
        <v>0</v>
      </c>
      <c r="K88" s="7">
        <f>CEO!K88+CS!K88+CFO!K88+LLA!K88+'C&amp;E'!K88+CES!K88+LLT!K88+GB!K88</f>
        <v>0</v>
      </c>
      <c r="L88" s="7">
        <f>CEO!L88+CS!L88+CFO!L88+LLA!L88+'C&amp;E'!L88+CES!L88+LLT!L88+GB!L88</f>
        <v>0</v>
      </c>
      <c r="M88" s="13" t="s">
        <v>478</v>
      </c>
      <c r="N88" s="7">
        <f t="shared" si="42"/>
        <v>0</v>
      </c>
      <c r="O88" s="7">
        <f t="shared" si="43"/>
        <v>0</v>
      </c>
      <c r="P88" s="7">
        <f t="shared" si="47"/>
        <v>0</v>
      </c>
      <c r="Q88" s="7">
        <f>CEO!Q88+CS!Q88+CFO!Q88+LLA!Q88+'C&amp;E'!Q88+CES!Q88+LLT!Q88+GB!Q88</f>
        <v>0</v>
      </c>
      <c r="R88" s="7">
        <f t="shared" si="44"/>
        <v>0</v>
      </c>
      <c r="S88" s="7">
        <v>-16103.362572296999</v>
      </c>
      <c r="T88" s="7">
        <f>CEO!T88+CS!T88+CFO!T88+LLA!T88+'C&amp;E'!T88+CES!T88+LLT!T88+GB!T88</f>
        <v>0</v>
      </c>
      <c r="U88" s="7">
        <f t="shared" si="49"/>
        <v>-16103.362572296999</v>
      </c>
      <c r="V88" s="7">
        <f t="shared" si="48"/>
        <v>-16103.362572296999</v>
      </c>
      <c r="W88" s="7"/>
      <c r="X88" s="7">
        <f>CEO!Q88+CS!Q88+CFO!Q88+LLA!Q88+'C&amp;E'!Q88+CES!Q88+LLT!Q88+GB!Q88</f>
        <v>0</v>
      </c>
      <c r="Y88" s="7">
        <f t="shared" si="45"/>
        <v>0</v>
      </c>
      <c r="Z88" s="7">
        <v>0</v>
      </c>
      <c r="AA88" s="7">
        <f t="shared" si="46"/>
        <v>0</v>
      </c>
      <c r="AC88" s="295">
        <f t="shared" si="30"/>
        <v>0</v>
      </c>
    </row>
    <row r="89" spans="1:29" x14ac:dyDescent="0.3">
      <c r="A89" s="11">
        <f>CEO!A89+CS!A89+CFO!A89+LLA!A89+'C&amp;E'!A89+CES!A89+LLT!A89+GB!A89</f>
        <v>0</v>
      </c>
      <c r="B89" s="11">
        <f>CEO!B89+CS!B89+CFO!B89+LLA!B89+'C&amp;E'!B89+CES!B89+LLT!B89+GB!B89</f>
        <v>0</v>
      </c>
      <c r="C89" s="11">
        <f>CEO!C89+CS!C89+CFO!C89+LLA!C89+'C&amp;E'!C89+CES!C89+LLT!C89+GB!C89</f>
        <v>0</v>
      </c>
      <c r="D89" s="11">
        <f>CEO!D89+CS!D89+CFO!D89+LLA!D89+'C&amp;E'!D89+CES!D89+LLT!D89+GB!D89</f>
        <v>0</v>
      </c>
      <c r="E89" s="11">
        <f>CEO!E89+CS!E89+CFO!E89+LLA!E89+'C&amp;E'!E89+CES!E89+LLT!E89+GB!E89</f>
        <v>0</v>
      </c>
      <c r="F89" s="11">
        <f>CEO!F89+CS!F89+CFO!F89+LLA!F89+'C&amp;E'!F89+CES!F89+LLT!F89+GB!F89</f>
        <v>0</v>
      </c>
      <c r="G89" s="11">
        <f>CEO!G89+CS!G89+CFO!G89+LLA!G89+'C&amp;E'!G89+CES!G89+LLT!G89+GB!G89</f>
        <v>0</v>
      </c>
      <c r="H89" s="11">
        <f>CEO!H89+CS!H89+CFO!H89+LLA!H89+'C&amp;E'!H89+CES!H89+LLT!H89+GB!H89</f>
        <v>0</v>
      </c>
      <c r="I89" s="11">
        <f>CEO!I89+CS!I89+CFO!I89+LLA!I89+'C&amp;E'!I89+CES!I89+LLT!I89+GB!I89</f>
        <v>0</v>
      </c>
      <c r="J89" s="11">
        <f>CEO!J89+CS!J89+CFO!J89+LLA!J89+'C&amp;E'!J89+CES!J89+LLT!J89+GB!J89</f>
        <v>0</v>
      </c>
      <c r="K89" s="11">
        <f>CEO!K89+CS!K89+CFO!K89+LLA!K89+'C&amp;E'!K89+CES!K89+LLT!K89+GB!K89</f>
        <v>0</v>
      </c>
      <c r="L89" s="11">
        <f>CEO!L89+CS!L89+CFO!L89+LLA!L89+'C&amp;E'!L89+CES!L89+LLT!L89+GB!L89</f>
        <v>0</v>
      </c>
      <c r="M89" s="390" t="s">
        <v>479</v>
      </c>
      <c r="N89" s="11">
        <f t="shared" si="42"/>
        <v>0</v>
      </c>
      <c r="O89" s="11">
        <f t="shared" si="43"/>
        <v>0</v>
      </c>
      <c r="P89" s="11">
        <f t="shared" si="47"/>
        <v>0</v>
      </c>
      <c r="Q89" s="11">
        <f>CEO!Q89+CS!Q89+CFO!Q89+LLA!Q89+'C&amp;E'!Q89+CES!Q89+LLT!Q89+GB!Q89</f>
        <v>0</v>
      </c>
      <c r="R89" s="11">
        <f t="shared" si="44"/>
        <v>0</v>
      </c>
      <c r="S89" s="11">
        <v>0</v>
      </c>
      <c r="T89" s="11">
        <f>CEO!T89+CS!T89+CFO!T89+LLA!T89+'C&amp;E'!T89+CES!T89+LLT!T89+GB!T89</f>
        <v>0</v>
      </c>
      <c r="U89" s="11">
        <f t="shared" si="49"/>
        <v>0</v>
      </c>
      <c r="V89" s="11">
        <f t="shared" si="48"/>
        <v>0</v>
      </c>
      <c r="W89" s="11"/>
      <c r="X89" s="11">
        <f>CEO!Q89+CS!Q89+CFO!Q89+LLA!Q89+'C&amp;E'!Q89+CES!Q89+LLT!Q89+GB!Q89</f>
        <v>0</v>
      </c>
      <c r="Y89" s="11">
        <f t="shared" si="45"/>
        <v>0</v>
      </c>
      <c r="Z89" s="11">
        <v>0</v>
      </c>
      <c r="AA89" s="11">
        <f t="shared" si="46"/>
        <v>0</v>
      </c>
      <c r="AC89" s="295">
        <f t="shared" si="30"/>
        <v>0</v>
      </c>
    </row>
    <row r="90" spans="1:29" ht="4.2" customHeight="1" thickBot="1" x14ac:dyDescent="0.35">
      <c r="A90" s="93"/>
      <c r="B90" s="93"/>
      <c r="C90" s="93"/>
      <c r="D90" s="94"/>
      <c r="E90" s="91"/>
      <c r="F90" s="91"/>
      <c r="G90" s="91"/>
      <c r="H90" s="91"/>
      <c r="I90" s="91"/>
      <c r="J90" s="91"/>
      <c r="K90" s="91"/>
      <c r="L90" s="91"/>
      <c r="M90" s="13"/>
      <c r="N90" s="91">
        <f t="shared" ref="N90:N128" si="50">SUM(A90:J90)</f>
        <v>0</v>
      </c>
      <c r="O90" s="91">
        <f t="shared" ref="O90:O128" si="51">SUM(K90:L90)</f>
        <v>0</v>
      </c>
      <c r="P90" s="91">
        <f t="shared" si="47"/>
        <v>0</v>
      </c>
      <c r="Q90" s="91"/>
      <c r="R90" s="91">
        <f t="shared" ref="R90:R103" si="52">P90-Q90</f>
        <v>0</v>
      </c>
      <c r="S90" s="91">
        <v>0</v>
      </c>
      <c r="T90" s="93">
        <f>CEO!T90+CS!T90+CFO!T90+LLA!T90+'C&amp;E'!T90+CES!T90+LLT!T90+GB!T90</f>
        <v>0</v>
      </c>
      <c r="U90" s="93">
        <f t="shared" si="49"/>
        <v>0</v>
      </c>
      <c r="V90" s="93">
        <f t="shared" si="48"/>
        <v>0</v>
      </c>
      <c r="W90" s="93"/>
      <c r="X90" s="91">
        <f>CEO!Q90+CS!Q90+CFO!Q90+LLA!Q90+'C&amp;E'!Q90+CES!Q90+LLT!Q90+GB!Q90</f>
        <v>0</v>
      </c>
      <c r="Y90" s="91">
        <f t="shared" ref="Y90:Y130" si="53">Q90-X90</f>
        <v>0</v>
      </c>
      <c r="Z90" s="91"/>
      <c r="AA90" s="91"/>
      <c r="AC90" s="295">
        <f t="shared" si="30"/>
        <v>0</v>
      </c>
    </row>
    <row r="91" spans="1:29" x14ac:dyDescent="0.3">
      <c r="A91" s="4">
        <f>SUM(A67:A89)</f>
        <v>582780.91044629994</v>
      </c>
      <c r="B91" s="4">
        <f>SUM(B67:B89)</f>
        <v>582780.91044629994</v>
      </c>
      <c r="C91" s="4">
        <f t="shared" ref="C91:L91" si="54">SUM(C67:C89)</f>
        <v>639786.8704462999</v>
      </c>
      <c r="D91" s="4">
        <f t="shared" si="54"/>
        <v>582780.91044629994</v>
      </c>
      <c r="E91" s="4">
        <f t="shared" si="54"/>
        <v>596136.6224463</v>
      </c>
      <c r="F91" s="4">
        <f t="shared" si="54"/>
        <v>944978.95044629998</v>
      </c>
      <c r="G91" s="4">
        <f t="shared" si="54"/>
        <v>644979.6685263</v>
      </c>
      <c r="H91" s="4">
        <f t="shared" si="54"/>
        <v>582780.91044629994</v>
      </c>
      <c r="I91" s="4">
        <f t="shared" si="54"/>
        <v>582780.91044629994</v>
      </c>
      <c r="J91" s="4">
        <f t="shared" si="54"/>
        <v>582780.91044629994</v>
      </c>
      <c r="K91" s="4">
        <f>SUM(K67:K89)</f>
        <v>614902.11044630001</v>
      </c>
      <c r="L91" s="4">
        <f t="shared" si="54"/>
        <v>601184.11044630001</v>
      </c>
      <c r="M91" s="13" t="s">
        <v>155</v>
      </c>
      <c r="N91" s="4">
        <f t="shared" ref="N91:P91" si="55">SUM(N67:N89)</f>
        <v>0</v>
      </c>
      <c r="O91" s="4">
        <f t="shared" si="55"/>
        <v>7538653.7954355991</v>
      </c>
      <c r="P91" s="4">
        <f t="shared" si="55"/>
        <v>7538653.7954355991</v>
      </c>
      <c r="Q91" s="4">
        <f>SUM(Q67:Q89)</f>
        <v>7538653.7954355991</v>
      </c>
      <c r="R91" s="4">
        <f t="shared" ref="R91:S91" si="56">SUM(R67:R89)</f>
        <v>0</v>
      </c>
      <c r="S91" s="4">
        <f t="shared" si="56"/>
        <v>198663.00000000006</v>
      </c>
      <c r="T91" s="4">
        <f>CEO!T91+CS!T91+CFO!T91+LLA!T91+'C&amp;E'!T91+CES!T91+LLT!T91+GB!T91</f>
        <v>421210.01</v>
      </c>
      <c r="U91" s="4">
        <f t="shared" si="49"/>
        <v>8158526.8054355988</v>
      </c>
      <c r="V91" s="4">
        <f t="shared" si="48"/>
        <v>619873.00999999978</v>
      </c>
      <c r="W91" s="4"/>
      <c r="X91" s="4">
        <f>CEO!Q91+CS!Q91+CFO!Q91+LLA!Q91+'C&amp;E'!Q91+CES!Q91+LLT!Q91+GB!Q91</f>
        <v>7538653.7954356</v>
      </c>
      <c r="Y91" s="4">
        <f t="shared" si="53"/>
        <v>0</v>
      </c>
      <c r="Z91" s="4">
        <f>SUM(Z67:Z89)</f>
        <v>7538652.8652994009</v>
      </c>
      <c r="AA91" s="4">
        <f>SUM(AA67:AA89)</f>
        <v>7892969.5499684718</v>
      </c>
      <c r="AC91" s="295">
        <f t="shared" si="30"/>
        <v>0.93013619817793369</v>
      </c>
    </row>
    <row r="92" spans="1:29" x14ac:dyDescent="0.3">
      <c r="A92" s="81"/>
      <c r="B92" s="81"/>
      <c r="C92" s="81"/>
      <c r="D92" s="82"/>
      <c r="E92" s="86"/>
      <c r="F92" s="86"/>
      <c r="G92" s="86"/>
      <c r="H92" s="86"/>
      <c r="I92" s="86"/>
      <c r="J92" s="86"/>
      <c r="K92" s="86"/>
      <c r="L92" s="86"/>
      <c r="M92" s="80"/>
      <c r="N92" s="86">
        <f t="shared" si="50"/>
        <v>0</v>
      </c>
      <c r="O92" s="86">
        <f t="shared" si="51"/>
        <v>0</v>
      </c>
      <c r="P92" s="86">
        <f t="shared" si="47"/>
        <v>0</v>
      </c>
      <c r="Q92" s="86"/>
      <c r="R92" s="86">
        <f t="shared" si="52"/>
        <v>0</v>
      </c>
      <c r="S92" s="86">
        <v>0</v>
      </c>
      <c r="T92" s="81">
        <f>CEO!T92+CS!T92+CFO!T92+LLA!T92+'C&amp;E'!T92+CES!T92+LLT!T92+GB!T92</f>
        <v>0</v>
      </c>
      <c r="U92" s="81">
        <f t="shared" si="49"/>
        <v>0</v>
      </c>
      <c r="V92" s="81">
        <f t="shared" si="48"/>
        <v>0</v>
      </c>
      <c r="W92" s="81"/>
      <c r="X92" s="86">
        <f>CEO!Q92+CS!Q92+CFO!Q92+LLA!Q92+'C&amp;E'!Q92+CES!Q92+LLT!Q92+GB!Q92</f>
        <v>0</v>
      </c>
      <c r="Y92" s="86">
        <f t="shared" si="53"/>
        <v>0</v>
      </c>
      <c r="Z92" s="86"/>
      <c r="AA92" s="86"/>
    </row>
    <row r="93" spans="1:29" x14ac:dyDescent="0.3">
      <c r="A93" s="8">
        <f>CEO!A93+CS!A93+CFO!A93+LLA!A93+'C&amp;E'!A93+CES!A93+LLT!A93+GB!A93</f>
        <v>5095.3760000000002</v>
      </c>
      <c r="B93" s="8">
        <f>CEO!B93+CS!B93+CFO!B93+LLA!B93+'C&amp;E'!B93+CES!B93+LLT!B93+GB!B93</f>
        <v>3806.3360000000002</v>
      </c>
      <c r="C93" s="8">
        <f>CEO!C93+CS!C93+CFO!C93+LLA!C93+'C&amp;E'!C93+CES!C93+LLT!C93+GB!C93</f>
        <v>5095.3760000000002</v>
      </c>
      <c r="D93" s="8">
        <f>CEO!D93+CS!D93+CFO!D93+LLA!D93+'C&amp;E'!D93+CES!D93+LLT!D93+GB!D93</f>
        <v>3806.3360000000002</v>
      </c>
      <c r="E93" s="8">
        <f>CEO!E93+CS!E93+CFO!E93+LLA!E93+'C&amp;E'!E93+CES!E93+LLT!E93+GB!E93</f>
        <v>3806.3360000000002</v>
      </c>
      <c r="F93" s="8">
        <f>CEO!F93+CS!F93+CFO!F93+LLA!F93+'C&amp;E'!F93+CES!F93+LLT!F93+GB!F93</f>
        <v>3806.3360000000002</v>
      </c>
      <c r="G93" s="8">
        <f>CEO!G93+CS!G93+CFO!G93+LLA!G93+'C&amp;E'!G93+CES!G93+LLT!G93+GB!G93</f>
        <v>3806.3360000000002</v>
      </c>
      <c r="H93" s="8">
        <f>CEO!H93+CS!H93+CFO!H93+LLA!H93+'C&amp;E'!H93+CES!H93+LLT!H93+GB!H93</f>
        <v>3806.3360000000002</v>
      </c>
      <c r="I93" s="8">
        <f>CEO!I93+CS!I93+CFO!I93+LLA!I93+'C&amp;E'!I93+CES!I93+LLT!I93+GB!I93</f>
        <v>3806.3360000000002</v>
      </c>
      <c r="J93" s="8">
        <f>CEO!J93+CS!J93+CFO!J93+LLA!J93+'C&amp;E'!J93+CES!J93+LLT!J93+GB!J93</f>
        <v>3806.3360000000002</v>
      </c>
      <c r="K93" s="8">
        <f>CEO!K93+CS!K93+CFO!K93+LLA!K93+'C&amp;E'!K93+CES!K93+LLT!K93+GB!K93</f>
        <v>3806.3360000000002</v>
      </c>
      <c r="L93" s="8">
        <f>CEO!L93+CS!L93+CFO!L93+LLA!L93+'C&amp;E'!L93+CES!L93+LLT!L93+GB!L93</f>
        <v>168307.08800000002</v>
      </c>
      <c r="M93" s="390" t="s">
        <v>480</v>
      </c>
      <c r="N93" s="8">
        <f t="shared" ref="N93:N100" si="57">SUM(0)</f>
        <v>0</v>
      </c>
      <c r="O93" s="8">
        <f t="shared" ref="O93:O100" si="58">SUM(A93:L93)</f>
        <v>212754.86400000003</v>
      </c>
      <c r="P93" s="8">
        <f t="shared" si="47"/>
        <v>212754.86400000003</v>
      </c>
      <c r="Q93" s="8">
        <f>CEO!Q93+CS!Q93+CFO!Q93+LLA!Q93+'C&amp;E'!Q93+CES!Q93+LLT!Q93+GB!Q93</f>
        <v>212754.864</v>
      </c>
      <c r="R93" s="8">
        <f t="shared" ref="R93:R100" si="59">Q93-P93</f>
        <v>0</v>
      </c>
      <c r="S93" s="8">
        <v>-3791</v>
      </c>
      <c r="T93" s="8">
        <f>CEO!T93+CS!T93+CFO!T93+LLA!T93+'C&amp;E'!T93+CES!T93+LLT!T93+GB!T93</f>
        <v>27372</v>
      </c>
      <c r="U93" s="8">
        <f t="shared" si="49"/>
        <v>236335.864</v>
      </c>
      <c r="V93" s="8">
        <f t="shared" si="48"/>
        <v>23580.999999999971</v>
      </c>
      <c r="W93" s="8"/>
      <c r="X93" s="8">
        <f>CEO!Q93+CS!Q93+CFO!Q93+LLA!Q93+'C&amp;E'!Q93+CES!Q93+LLT!Q93+GB!Q93</f>
        <v>212754.864</v>
      </c>
      <c r="Y93" s="8">
        <f t="shared" ref="Y93:Y100" si="60">X93-Q93</f>
        <v>0</v>
      </c>
      <c r="Z93" s="8">
        <v>212755.045222032</v>
      </c>
      <c r="AA93" s="8">
        <f t="shared" ref="AA93:AA100" si="61">Z93*(1+AA$3)</f>
        <v>222754.5323474675</v>
      </c>
      <c r="AC93" s="295">
        <f t="shared" si="30"/>
        <v>-0.18122203199891374</v>
      </c>
    </row>
    <row r="94" spans="1:29" x14ac:dyDescent="0.3">
      <c r="A94" s="7">
        <f>CEO!A94+CS!A94+CFO!A94+LLA!A94+'C&amp;E'!A94+CES!A94+LLT!A94+GB!A94</f>
        <v>5097.3169212393295</v>
      </c>
      <c r="B94" s="7">
        <f>CEO!B94+CS!B94+CFO!B94+LLA!B94+'C&amp;E'!B94+CES!B94+LLT!B94+GB!B94</f>
        <v>4641.4369212393303</v>
      </c>
      <c r="C94" s="7">
        <f>CEO!C94+CS!C94+CFO!C94+LLA!C94+'C&amp;E'!C94+CES!C94+LLT!C94+GB!C94</f>
        <v>5097.3169212393295</v>
      </c>
      <c r="D94" s="7">
        <f>CEO!D94+CS!D94+CFO!D94+LLA!D94+'C&amp;E'!D94+CES!D94+LLT!D94+GB!D94</f>
        <v>4641.4369212393303</v>
      </c>
      <c r="E94" s="7">
        <f>CEO!E94+CS!E94+CFO!E94+LLA!E94+'C&amp;E'!E94+CES!E94+LLT!E94+GB!E94</f>
        <v>4641.4369212393303</v>
      </c>
      <c r="F94" s="7">
        <f>CEO!F94+CS!F94+CFO!F94+LLA!F94+'C&amp;E'!F94+CES!F94+LLT!F94+GB!F94</f>
        <v>4641.4369212393303</v>
      </c>
      <c r="G94" s="7">
        <f>CEO!G94+CS!G94+CFO!G94+LLA!G94+'C&amp;E'!G94+CES!G94+LLT!G94+GB!G94</f>
        <v>4641.4369212393303</v>
      </c>
      <c r="H94" s="7">
        <f>CEO!H94+CS!H94+CFO!H94+LLA!H94+'C&amp;E'!H94+CES!H94+LLT!H94+GB!H94</f>
        <v>4641.4369212393303</v>
      </c>
      <c r="I94" s="7">
        <f>CEO!I94+CS!I94+CFO!I94+LLA!I94+'C&amp;E'!I94+CES!I94+LLT!I94+GB!I94</f>
        <v>4641.4369212393303</v>
      </c>
      <c r="J94" s="7">
        <f>CEO!J94+CS!J94+CFO!J94+LLA!J94+'C&amp;E'!J94+CES!J94+LLT!J94+GB!J94</f>
        <v>4641.4369212393303</v>
      </c>
      <c r="K94" s="7">
        <f>CEO!K94+CS!K94+CFO!K94+LLA!K94+'C&amp;E'!K94+CES!K94+LLT!K94+GB!K94</f>
        <v>4641.4369212393303</v>
      </c>
      <c r="L94" s="7">
        <f>CEO!L94+CS!L94+CFO!L94+LLA!L94+'C&amp;E'!L94+CES!L94+LLT!L94+GB!L94</f>
        <v>4639.4369212393303</v>
      </c>
      <c r="M94" s="13" t="s">
        <v>481</v>
      </c>
      <c r="N94" s="7">
        <f t="shared" si="57"/>
        <v>0</v>
      </c>
      <c r="O94" s="7">
        <f t="shared" si="58"/>
        <v>56607.003054871951</v>
      </c>
      <c r="P94" s="7">
        <f t="shared" si="47"/>
        <v>56607.003054871951</v>
      </c>
      <c r="Q94" s="7">
        <f>CEO!Q94+CS!Q94+CFO!Q94+LLA!Q94+'C&amp;E'!Q94+CES!Q94+LLT!Q94+GB!Q94</f>
        <v>56607.003054871966</v>
      </c>
      <c r="R94" s="7">
        <f t="shared" si="59"/>
        <v>0</v>
      </c>
      <c r="S94" s="7">
        <v>0</v>
      </c>
      <c r="T94" s="7">
        <f>CEO!T94+CS!T94+CFO!T94+LLA!T94+'C&amp;E'!T94+CES!T94+LLT!T94+GB!T94</f>
        <v>870</v>
      </c>
      <c r="U94" s="7">
        <f t="shared" si="49"/>
        <v>57477.003054871966</v>
      </c>
      <c r="V94" s="7">
        <f t="shared" si="48"/>
        <v>870.00000000001455</v>
      </c>
      <c r="W94" s="7"/>
      <c r="X94" s="7">
        <f>CEO!Q94+CS!Q94+CFO!Q94+LLA!Q94+'C&amp;E'!Q94+CES!Q94+LLT!Q94+GB!Q94</f>
        <v>56607.003054871966</v>
      </c>
      <c r="Y94" s="7">
        <f t="shared" si="60"/>
        <v>0</v>
      </c>
      <c r="Z94" s="7">
        <v>56606.659718488008</v>
      </c>
      <c r="AA94" s="7">
        <f t="shared" si="61"/>
        <v>59267.17272525694</v>
      </c>
      <c r="AC94" s="295">
        <f t="shared" ref="AC94:AC157" si="62">Q94-Z94</f>
        <v>0.34333638395764865</v>
      </c>
    </row>
    <row r="95" spans="1:29" x14ac:dyDescent="0.3">
      <c r="A95" s="7">
        <f>CEO!A95+CS!A95+CFO!A95+LLA!A95+'C&amp;E'!A95+CES!A95+LLT!A95+GB!A95</f>
        <v>0</v>
      </c>
      <c r="B95" s="7">
        <f>CEO!B95+CS!B95+CFO!B95+LLA!B95+'C&amp;E'!B95+CES!B95+LLT!B95+GB!B95</f>
        <v>0</v>
      </c>
      <c r="C95" s="7">
        <f>CEO!C95+CS!C95+CFO!C95+LLA!C95+'C&amp;E'!C95+CES!C95+LLT!C95+GB!C95</f>
        <v>0</v>
      </c>
      <c r="D95" s="7">
        <f>CEO!D95+CS!D95+CFO!D95+LLA!D95+'C&amp;E'!D95+CES!D95+LLT!D95+GB!D95</f>
        <v>0</v>
      </c>
      <c r="E95" s="7">
        <f>CEO!E95+CS!E95+CFO!E95+LLA!E95+'C&amp;E'!E95+CES!E95+LLT!E95+GB!E95</f>
        <v>0</v>
      </c>
      <c r="F95" s="7">
        <f>CEO!F95+CS!F95+CFO!F95+LLA!F95+'C&amp;E'!F95+CES!F95+LLT!F95+GB!F95</f>
        <v>0</v>
      </c>
      <c r="G95" s="7">
        <f>CEO!G95+CS!G95+CFO!G95+LLA!G95+'C&amp;E'!G95+CES!G95+LLT!G95+GB!G95</f>
        <v>0</v>
      </c>
      <c r="H95" s="7">
        <f>CEO!H95+CS!H95+CFO!H95+LLA!H95+'C&amp;E'!H95+CES!H95+LLT!H95+GB!H95</f>
        <v>0</v>
      </c>
      <c r="I95" s="7">
        <f>CEO!I95+CS!I95+CFO!I95+LLA!I95+'C&amp;E'!I95+CES!I95+LLT!I95+GB!I95</f>
        <v>0</v>
      </c>
      <c r="J95" s="7">
        <f>CEO!J95+CS!J95+CFO!J95+LLA!J95+'C&amp;E'!J95+CES!J95+LLT!J95+GB!J95</f>
        <v>0</v>
      </c>
      <c r="K95" s="7">
        <f>CEO!K95+CS!K95+CFO!K95+LLA!K95+'C&amp;E'!K95+CES!K95+LLT!K95+GB!K95</f>
        <v>0</v>
      </c>
      <c r="L95" s="7">
        <f>CEO!L95+CS!L95+CFO!L95+LLA!L95+'C&amp;E'!L95+CES!L95+LLT!L95+GB!L95</f>
        <v>0</v>
      </c>
      <c r="M95" s="13" t="s">
        <v>482</v>
      </c>
      <c r="N95" s="7">
        <f t="shared" si="57"/>
        <v>0</v>
      </c>
      <c r="O95" s="7">
        <f t="shared" si="58"/>
        <v>0</v>
      </c>
      <c r="P95" s="7">
        <f t="shared" si="47"/>
        <v>0</v>
      </c>
      <c r="Q95" s="7">
        <f>CEO!Q95+CS!Q95+CFO!Q95+LLA!Q95+'C&amp;E'!Q95+CES!Q95+LLT!Q95+GB!Q95</f>
        <v>0</v>
      </c>
      <c r="R95" s="7">
        <f t="shared" si="59"/>
        <v>0</v>
      </c>
      <c r="S95" s="7">
        <v>0</v>
      </c>
      <c r="T95" s="7">
        <f>CEO!T95+CS!T95+CFO!T95+LLA!T95+'C&amp;E'!T95+CES!T95+LLT!T95+GB!T95</f>
        <v>0</v>
      </c>
      <c r="U95" s="7">
        <f t="shared" si="49"/>
        <v>0</v>
      </c>
      <c r="V95" s="7">
        <f t="shared" si="48"/>
        <v>0</v>
      </c>
      <c r="W95" s="7"/>
      <c r="X95" s="7">
        <f>CEO!Q95+CS!Q95+CFO!Q95+LLA!Q95+'C&amp;E'!Q95+CES!Q95+LLT!Q95+GB!Q95</f>
        <v>0</v>
      </c>
      <c r="Y95" s="7">
        <f t="shared" si="60"/>
        <v>0</v>
      </c>
      <c r="Z95" s="7">
        <v>0</v>
      </c>
      <c r="AA95" s="7">
        <f t="shared" si="61"/>
        <v>0</v>
      </c>
      <c r="AC95" s="295">
        <f t="shared" si="62"/>
        <v>0</v>
      </c>
    </row>
    <row r="96" spans="1:29" x14ac:dyDescent="0.3">
      <c r="A96" s="7">
        <f>CEO!A96+CS!A96+CFO!A96+LLA!A96+'C&amp;E'!A96+CES!A96+LLT!A96+GB!A96</f>
        <v>1210.4399999999998</v>
      </c>
      <c r="B96" s="7">
        <f>CEO!B96+CS!B96+CFO!B96+LLA!B96+'C&amp;E'!B96+CES!B96+LLT!B96+GB!B96</f>
        <v>1210.4399999999998</v>
      </c>
      <c r="C96" s="7">
        <f>CEO!C96+CS!C96+CFO!C96+LLA!C96+'C&amp;E'!C96+CES!C96+LLT!C96+GB!C96</f>
        <v>1210.4399999999998</v>
      </c>
      <c r="D96" s="7">
        <f>CEO!D96+CS!D96+CFO!D96+LLA!D96+'C&amp;E'!D96+CES!D96+LLT!D96+GB!D96</f>
        <v>1210.4399999999998</v>
      </c>
      <c r="E96" s="7">
        <f>CEO!E96+CS!E96+CFO!E96+LLA!E96+'C&amp;E'!E96+CES!E96+LLT!E96+GB!E96</f>
        <v>1210.4399999999998</v>
      </c>
      <c r="F96" s="7">
        <f>CEO!F96+CS!F96+CFO!F96+LLA!F96+'C&amp;E'!F96+CES!F96+LLT!F96+GB!F96</f>
        <v>1210.4399999999998</v>
      </c>
      <c r="G96" s="7">
        <f>CEO!G96+CS!G96+CFO!G96+LLA!G96+'C&amp;E'!G96+CES!G96+LLT!G96+GB!G96</f>
        <v>1210.4399999999998</v>
      </c>
      <c r="H96" s="7">
        <f>CEO!H96+CS!H96+CFO!H96+LLA!H96+'C&amp;E'!H96+CES!H96+LLT!H96+GB!H96</f>
        <v>1210.4399999999998</v>
      </c>
      <c r="I96" s="7">
        <f>CEO!I96+CS!I96+CFO!I96+LLA!I96+'C&amp;E'!I96+CES!I96+LLT!I96+GB!I96</f>
        <v>1210.4399999999998</v>
      </c>
      <c r="J96" s="7">
        <f>CEO!J96+CS!J96+CFO!J96+LLA!J96+'C&amp;E'!J96+CES!J96+LLT!J96+GB!J96</f>
        <v>1210.4399999999998</v>
      </c>
      <c r="K96" s="7">
        <f>CEO!K96+CS!K96+CFO!K96+LLA!K96+'C&amp;E'!K96+CES!K96+LLT!K96+GB!K96</f>
        <v>1210.4399999999998</v>
      </c>
      <c r="L96" s="7">
        <f>CEO!L96+CS!L96+CFO!L96+LLA!L96+'C&amp;E'!L96+CES!L96+LLT!L96+GB!L96</f>
        <v>1195.7109688880021</v>
      </c>
      <c r="M96" s="13" t="s">
        <v>483</v>
      </c>
      <c r="N96" s="7">
        <f t="shared" si="57"/>
        <v>0</v>
      </c>
      <c r="O96" s="7">
        <f t="shared" si="58"/>
        <v>14510.550968888003</v>
      </c>
      <c r="P96" s="7">
        <f t="shared" si="47"/>
        <v>14510.550968888003</v>
      </c>
      <c r="Q96" s="7">
        <f>CEO!Q96+CS!Q96+CFO!Q96+LLA!Q96+'C&amp;E'!Q96+CES!Q96+LLT!Q96+GB!Q96</f>
        <v>14510.550968888001</v>
      </c>
      <c r="R96" s="7">
        <f t="shared" si="59"/>
        <v>0</v>
      </c>
      <c r="S96" s="7">
        <v>-762.99999999999818</v>
      </c>
      <c r="T96" s="7">
        <f>CEO!T96+CS!T96+CFO!T96+LLA!T96+'C&amp;E'!T96+CES!T96+LLT!T96+GB!T96</f>
        <v>5202</v>
      </c>
      <c r="U96" s="7">
        <f t="shared" si="49"/>
        <v>18949.550968888005</v>
      </c>
      <c r="V96" s="7">
        <f t="shared" si="48"/>
        <v>4439.0000000000018</v>
      </c>
      <c r="W96" s="7"/>
      <c r="X96" s="7">
        <f>CEO!Q96+CS!Q96+CFO!Q96+LLA!Q96+'C&amp;E'!Q96+CES!Q96+LLT!Q96+GB!Q96</f>
        <v>14510.550968888001</v>
      </c>
      <c r="Y96" s="7">
        <f t="shared" si="60"/>
        <v>0</v>
      </c>
      <c r="Z96" s="7">
        <v>14510.550968888001</v>
      </c>
      <c r="AA96" s="7">
        <f t="shared" si="61"/>
        <v>15192.546864425736</v>
      </c>
      <c r="AC96" s="295">
        <f t="shared" si="62"/>
        <v>0</v>
      </c>
    </row>
    <row r="97" spans="1:29" x14ac:dyDescent="0.3">
      <c r="A97" s="7">
        <f>CEO!A97+CS!A97+CFO!A97+LLA!A97+'C&amp;E'!A97+CES!A97+LLT!A97+GB!A97</f>
        <v>15157.224</v>
      </c>
      <c r="B97" s="7">
        <f>CEO!B97+CS!B97+CFO!B97+LLA!B97+'C&amp;E'!B97+CES!B97+LLT!B97+GB!B97</f>
        <v>15157.224</v>
      </c>
      <c r="C97" s="7">
        <f>CEO!C97+CS!C97+CFO!C97+LLA!C97+'C&amp;E'!C97+CES!C97+LLT!C97+GB!C97</f>
        <v>15157.224</v>
      </c>
      <c r="D97" s="7">
        <f>CEO!D97+CS!D97+CFO!D97+LLA!D97+'C&amp;E'!D97+CES!D97+LLT!D97+GB!D97</f>
        <v>15157.224</v>
      </c>
      <c r="E97" s="7">
        <f>CEO!E97+CS!E97+CFO!E97+LLA!E97+'C&amp;E'!E97+CES!E97+LLT!E97+GB!E97</f>
        <v>15157.224</v>
      </c>
      <c r="F97" s="7">
        <f>CEO!F97+CS!F97+CFO!F97+LLA!F97+'C&amp;E'!F97+CES!F97+LLT!F97+GB!F97</f>
        <v>15157.224</v>
      </c>
      <c r="G97" s="7">
        <f>CEO!G97+CS!G97+CFO!G97+LLA!G97+'C&amp;E'!G97+CES!G97+LLT!G97+GB!G97</f>
        <v>15157.224</v>
      </c>
      <c r="H97" s="7">
        <f>CEO!H97+CS!H97+CFO!H97+LLA!H97+'C&amp;E'!H97+CES!H97+LLT!H97+GB!H97</f>
        <v>15157.224</v>
      </c>
      <c r="I97" s="7">
        <f>CEO!I97+CS!I97+CFO!I97+LLA!I97+'C&amp;E'!I97+CES!I97+LLT!I97+GB!I97</f>
        <v>15157.224</v>
      </c>
      <c r="J97" s="7">
        <f>CEO!J97+CS!J97+CFO!J97+LLA!J97+'C&amp;E'!J97+CES!J97+LLT!J97+GB!J97</f>
        <v>15157.224</v>
      </c>
      <c r="K97" s="7">
        <f>CEO!K97+CS!K97+CFO!K97+LLA!K97+'C&amp;E'!K97+CES!K97+LLT!K97+GB!K97</f>
        <v>15157.224</v>
      </c>
      <c r="L97" s="7">
        <f>CEO!L97+CS!L97+CFO!L97+LLA!L97+'C&amp;E'!L97+CES!L97+LLT!L97+GB!L97</f>
        <v>15149.38081138722</v>
      </c>
      <c r="M97" s="13" t="s">
        <v>484</v>
      </c>
      <c r="N97" s="7">
        <f t="shared" si="57"/>
        <v>0</v>
      </c>
      <c r="O97" s="7">
        <f t="shared" si="58"/>
        <v>181878.84481138719</v>
      </c>
      <c r="P97" s="7">
        <f t="shared" si="47"/>
        <v>181878.84481138719</v>
      </c>
      <c r="Q97" s="7">
        <f>CEO!Q97+CS!Q97+CFO!Q97+LLA!Q97+'C&amp;E'!Q97+CES!Q97+LLT!Q97+GB!Q97</f>
        <v>181878.84481138721</v>
      </c>
      <c r="R97" s="7">
        <f t="shared" si="59"/>
        <v>0</v>
      </c>
      <c r="S97" s="7">
        <v>0</v>
      </c>
      <c r="T97" s="7">
        <f>CEO!T97+CS!T97+CFO!T97+LLA!T97+'C&amp;E'!T97+CES!T97+LLT!T97+GB!T97</f>
        <v>0</v>
      </c>
      <c r="U97" s="7">
        <f t="shared" si="49"/>
        <v>181878.84481138721</v>
      </c>
      <c r="V97" s="7">
        <f t="shared" si="48"/>
        <v>0</v>
      </c>
      <c r="W97" s="7"/>
      <c r="X97" s="7">
        <f>CEO!Q97+CS!Q97+CFO!Q97+LLA!Q97+'C&amp;E'!Q97+CES!Q97+LLT!Q97+GB!Q97</f>
        <v>181878.84481138721</v>
      </c>
      <c r="Y97" s="7">
        <f t="shared" si="60"/>
        <v>0</v>
      </c>
      <c r="Z97" s="7">
        <v>181878.84481138721</v>
      </c>
      <c r="AA97" s="7">
        <f t="shared" si="61"/>
        <v>190427.15051752242</v>
      </c>
      <c r="AC97" s="295">
        <f t="shared" si="62"/>
        <v>0</v>
      </c>
    </row>
    <row r="98" spans="1:29" x14ac:dyDescent="0.3">
      <c r="A98" s="7">
        <f>CEO!A98+CS!A98+CFO!A98+LLA!A98+'C&amp;E'!A98+CES!A98+LLT!A98+GB!A98</f>
        <v>442.25600000000009</v>
      </c>
      <c r="B98" s="7">
        <f>CEO!B98+CS!B98+CFO!B98+LLA!B98+'C&amp;E'!B98+CES!B98+LLT!B98+GB!B98</f>
        <v>442.25600000000009</v>
      </c>
      <c r="C98" s="7">
        <f>CEO!C98+CS!C98+CFO!C98+LLA!C98+'C&amp;E'!C98+CES!C98+LLT!C98+GB!C98</f>
        <v>442.25600000000009</v>
      </c>
      <c r="D98" s="7">
        <f>CEO!D98+CS!D98+CFO!D98+LLA!D98+'C&amp;E'!D98+CES!D98+LLT!D98+GB!D98</f>
        <v>442.25600000000009</v>
      </c>
      <c r="E98" s="7">
        <f>CEO!E98+CS!E98+CFO!E98+LLA!E98+'C&amp;E'!E98+CES!E98+LLT!E98+GB!E98</f>
        <v>442.25600000000009</v>
      </c>
      <c r="F98" s="7">
        <f>CEO!F98+CS!F98+CFO!F98+LLA!F98+'C&amp;E'!F98+CES!F98+LLT!F98+GB!F98</f>
        <v>442.25600000000009</v>
      </c>
      <c r="G98" s="7">
        <f>CEO!G98+CS!G98+CFO!G98+LLA!G98+'C&amp;E'!G98+CES!G98+LLT!G98+GB!G98</f>
        <v>442.25600000000009</v>
      </c>
      <c r="H98" s="7">
        <f>CEO!H98+CS!H98+CFO!H98+LLA!H98+'C&amp;E'!H98+CES!H98+LLT!H98+GB!H98</f>
        <v>442.25600000000009</v>
      </c>
      <c r="I98" s="7">
        <f>CEO!I98+CS!I98+CFO!I98+LLA!I98+'C&amp;E'!I98+CES!I98+LLT!I98+GB!I98</f>
        <v>442.25600000000009</v>
      </c>
      <c r="J98" s="7">
        <f>CEO!J98+CS!J98+CFO!J98+LLA!J98+'C&amp;E'!J98+CES!J98+LLT!J98+GB!J98</f>
        <v>442.25600000000009</v>
      </c>
      <c r="K98" s="7">
        <f>CEO!K98+CS!K98+CFO!K98+LLA!K98+'C&amp;E'!K98+CES!K98+LLT!K98+GB!K98</f>
        <v>442.25600000000009</v>
      </c>
      <c r="L98" s="7">
        <f>CEO!L98+CS!L98+CFO!L98+LLA!L98+'C&amp;E'!L98+CES!L98+LLT!L98+GB!L98</f>
        <v>435.92780448400094</v>
      </c>
      <c r="M98" s="13" t="s">
        <v>485</v>
      </c>
      <c r="N98" s="7">
        <f t="shared" si="57"/>
        <v>0</v>
      </c>
      <c r="O98" s="7">
        <f t="shared" si="58"/>
        <v>5300.7438044840037</v>
      </c>
      <c r="P98" s="7">
        <f t="shared" si="47"/>
        <v>5300.7438044840037</v>
      </c>
      <c r="Q98" s="7">
        <f>CEO!Q98+CS!Q98+CFO!Q98+LLA!Q98+'C&amp;E'!Q98+CES!Q98+LLT!Q98+GB!Q98</f>
        <v>5300.7438044840001</v>
      </c>
      <c r="R98" s="7">
        <f t="shared" si="59"/>
        <v>0</v>
      </c>
      <c r="S98" s="7">
        <v>453</v>
      </c>
      <c r="T98" s="7">
        <f>CEO!T98+CS!T98+CFO!T98+LLA!T98+'C&amp;E'!T98+CES!T98+LLT!T98+GB!T98</f>
        <v>-6956</v>
      </c>
      <c r="U98" s="7">
        <f t="shared" si="49"/>
        <v>-1202.2561955159999</v>
      </c>
      <c r="V98" s="7">
        <f t="shared" si="48"/>
        <v>-6503.0000000000036</v>
      </c>
      <c r="W98" s="7"/>
      <c r="X98" s="7">
        <f>CEO!Q98+CS!Q98+CFO!Q98+LLA!Q98+'C&amp;E'!Q98+CES!Q98+LLT!Q98+GB!Q98</f>
        <v>5300.7438044840001</v>
      </c>
      <c r="Y98" s="7">
        <f t="shared" si="60"/>
        <v>0</v>
      </c>
      <c r="Z98" s="7">
        <v>5300.7438044840001</v>
      </c>
      <c r="AA98" s="7">
        <f t="shared" si="61"/>
        <v>5549.8787632947478</v>
      </c>
      <c r="AC98" s="295">
        <f t="shared" si="62"/>
        <v>0</v>
      </c>
    </row>
    <row r="99" spans="1:29" x14ac:dyDescent="0.3">
      <c r="A99" s="7">
        <f>CEO!A99+CS!A99+CFO!A99+LLA!A99+'C&amp;E'!A99+CES!A99+LLT!A99+GB!A99</f>
        <v>40422.408000000003</v>
      </c>
      <c r="B99" s="7">
        <f>CEO!B99+CS!B99+CFO!B99+LLA!B99+'C&amp;E'!B99+CES!B99+LLT!B99+GB!B99</f>
        <v>40422.408000000003</v>
      </c>
      <c r="C99" s="7">
        <f>CEO!C99+CS!C99+CFO!C99+LLA!C99+'C&amp;E'!C99+CES!C99+LLT!C99+GB!C99</f>
        <v>40422.408000000003</v>
      </c>
      <c r="D99" s="7">
        <f>CEO!D99+CS!D99+CFO!D99+LLA!D99+'C&amp;E'!D99+CES!D99+LLT!D99+GB!D99</f>
        <v>40422.408000000003</v>
      </c>
      <c r="E99" s="7">
        <f>CEO!E99+CS!E99+CFO!E99+LLA!E99+'C&amp;E'!E99+CES!E99+LLT!E99+GB!E99</f>
        <v>40422.408000000003</v>
      </c>
      <c r="F99" s="7">
        <f>CEO!F99+CS!F99+CFO!F99+LLA!F99+'C&amp;E'!F99+CES!F99+LLT!F99+GB!F99</f>
        <v>40422.408000000003</v>
      </c>
      <c r="G99" s="7">
        <f>CEO!G99+CS!G99+CFO!G99+LLA!G99+'C&amp;E'!G99+CES!G99+LLT!G99+GB!G99</f>
        <v>40422.408000000003</v>
      </c>
      <c r="H99" s="7">
        <f>CEO!H99+CS!H99+CFO!H99+LLA!H99+'C&amp;E'!H99+CES!H99+LLT!H99+GB!H99</f>
        <v>40422.408000000003</v>
      </c>
      <c r="I99" s="7">
        <f>CEO!I99+CS!I99+CFO!I99+LLA!I99+'C&amp;E'!I99+CES!I99+LLT!I99+GB!I99</f>
        <v>40422.408000000003</v>
      </c>
      <c r="J99" s="7">
        <f>CEO!J99+CS!J99+CFO!J99+LLA!J99+'C&amp;E'!J99+CES!J99+LLT!J99+GB!J99</f>
        <v>40422.408000000003</v>
      </c>
      <c r="K99" s="7">
        <f>CEO!K99+CS!K99+CFO!K99+LLA!K99+'C&amp;E'!K99+CES!K99+LLT!K99+GB!K99</f>
        <v>40422.408000000003</v>
      </c>
      <c r="L99" s="7">
        <f>CEO!L99+CS!L99+CFO!L99+LLA!L99+'C&amp;E'!L99+CES!L99+LLT!L99+GB!L99</f>
        <v>40423.718000000001</v>
      </c>
      <c r="M99" s="13" t="s">
        <v>486</v>
      </c>
      <c r="N99" s="7">
        <f t="shared" si="57"/>
        <v>0</v>
      </c>
      <c r="O99" s="7">
        <f t="shared" si="58"/>
        <v>485070.20600000001</v>
      </c>
      <c r="P99" s="7">
        <f t="shared" si="47"/>
        <v>485070.20600000001</v>
      </c>
      <c r="Q99" s="7">
        <f>CEO!Q99+CS!Q99+CFO!Q99+LLA!Q99+'C&amp;E'!Q99+CES!Q99+LLT!Q99+GB!Q99</f>
        <v>485070.20600000001</v>
      </c>
      <c r="R99" s="7">
        <f t="shared" si="59"/>
        <v>0</v>
      </c>
      <c r="S99" s="7">
        <v>-38953</v>
      </c>
      <c r="T99" s="7">
        <f>CEO!T99+CS!T99+CFO!T99+LLA!T99+'C&amp;E'!T99+CES!T99+LLT!T99+GB!T99</f>
        <v>-11071</v>
      </c>
      <c r="U99" s="7">
        <f t="shared" si="49"/>
        <v>435046.20600000001</v>
      </c>
      <c r="V99" s="7">
        <f t="shared" si="48"/>
        <v>-50024</v>
      </c>
      <c r="W99" s="7"/>
      <c r="X99" s="7">
        <f>CEO!Q99+CS!Q99+CFO!Q99+LLA!Q99+'C&amp;E'!Q99+CES!Q99+LLT!Q99+GB!Q99</f>
        <v>485070.20600000001</v>
      </c>
      <c r="Y99" s="7">
        <f t="shared" si="60"/>
        <v>0</v>
      </c>
      <c r="Z99" s="7">
        <v>485070.20600000001</v>
      </c>
      <c r="AA99" s="7">
        <f t="shared" si="61"/>
        <v>507868.50568199996</v>
      </c>
      <c r="AC99" s="295">
        <f t="shared" si="62"/>
        <v>0</v>
      </c>
    </row>
    <row r="100" spans="1:29" x14ac:dyDescent="0.3">
      <c r="A100" s="11">
        <f>CEO!A100+CS!A100+CFO!A100+LLA!A100+'C&amp;E'!A100+CES!A100+LLT!A100+GB!A100</f>
        <v>5303.9280000000008</v>
      </c>
      <c r="B100" s="11">
        <f>CEO!B100+CS!B100+CFO!B100+LLA!B100+'C&amp;E'!B100+CES!B100+LLT!B100+GB!B100</f>
        <v>2788.7280000000001</v>
      </c>
      <c r="C100" s="11">
        <f>CEO!C100+CS!C100+CFO!C100+LLA!C100+'C&amp;E'!C100+CES!C100+LLT!C100+GB!C100</f>
        <v>5303.9280000000008</v>
      </c>
      <c r="D100" s="11">
        <f>CEO!D100+CS!D100+CFO!D100+LLA!D100+'C&amp;E'!D100+CES!D100+LLT!D100+GB!D100</f>
        <v>2788.7280000000001</v>
      </c>
      <c r="E100" s="11">
        <f>CEO!E100+CS!E100+CFO!E100+LLA!E100+'C&amp;E'!E100+CES!E100+LLT!E100+GB!E100</f>
        <v>2788.7280000000001</v>
      </c>
      <c r="F100" s="11">
        <f>CEO!F100+CS!F100+CFO!F100+LLA!F100+'C&amp;E'!F100+CES!F100+LLT!F100+GB!F100</f>
        <v>2788.7280000000001</v>
      </c>
      <c r="G100" s="11">
        <f>CEO!G100+CS!G100+CFO!G100+LLA!G100+'C&amp;E'!G100+CES!G100+LLT!G100+GB!G100</f>
        <v>2788.7280000000001</v>
      </c>
      <c r="H100" s="11">
        <f>CEO!H100+CS!H100+CFO!H100+LLA!H100+'C&amp;E'!H100+CES!H100+LLT!H100+GB!H100</f>
        <v>2788.7280000000001</v>
      </c>
      <c r="I100" s="11">
        <f>CEO!I100+CS!I100+CFO!I100+LLA!I100+'C&amp;E'!I100+CES!I100+LLT!I100+GB!I100</f>
        <v>2788.7280000000001</v>
      </c>
      <c r="J100" s="11">
        <f>CEO!J100+CS!J100+CFO!J100+LLA!J100+'C&amp;E'!J100+CES!J100+LLT!J100+GB!J100</f>
        <v>2788.7280000000001</v>
      </c>
      <c r="K100" s="11">
        <f>CEO!K100+CS!K100+CFO!K100+LLA!K100+'C&amp;E'!K100+CES!K100+LLT!K100+GB!K100</f>
        <v>2788.7280000000001</v>
      </c>
      <c r="L100" s="11">
        <f>CEO!L100+CS!L100+CFO!L100+LLA!L100+'C&amp;E'!L100+CES!L100+LLT!L100+GB!L100</f>
        <v>2793.1703939239933</v>
      </c>
      <c r="M100" s="390" t="s">
        <v>487</v>
      </c>
      <c r="N100" s="11">
        <f t="shared" si="57"/>
        <v>0</v>
      </c>
      <c r="O100" s="11">
        <f t="shared" si="58"/>
        <v>38499.578393923999</v>
      </c>
      <c r="P100" s="11">
        <f t="shared" si="47"/>
        <v>38499.578393923999</v>
      </c>
      <c r="Q100" s="11">
        <f>CEO!Q100+CS!Q100+CFO!Q100+LLA!Q100+'C&amp;E'!Q100+CES!Q100+LLT!Q100+GB!Q100</f>
        <v>38499.578393923999</v>
      </c>
      <c r="R100" s="11">
        <f t="shared" si="59"/>
        <v>0</v>
      </c>
      <c r="S100" s="11">
        <v>-9525.9999999999927</v>
      </c>
      <c r="T100" s="11">
        <f>CEO!T100+CS!T100+CFO!T100+LLA!T100+'C&amp;E'!T100+CES!T100+LLT!T100+GB!T100</f>
        <v>0</v>
      </c>
      <c r="U100" s="11">
        <f t="shared" si="49"/>
        <v>28973.578393924006</v>
      </c>
      <c r="V100" s="11">
        <f t="shared" si="48"/>
        <v>-9525.9999999999927</v>
      </c>
      <c r="W100" s="11"/>
      <c r="X100" s="11">
        <f>CEO!Q100+CS!Q100+CFO!Q100+LLA!Q100+'C&amp;E'!Q100+CES!Q100+LLT!Q100+GB!Q100</f>
        <v>38499.578393923999</v>
      </c>
      <c r="Y100" s="11">
        <f t="shared" si="60"/>
        <v>0</v>
      </c>
      <c r="Z100" s="11">
        <v>38499.578393923999</v>
      </c>
      <c r="AA100" s="11">
        <f t="shared" si="61"/>
        <v>40309.058578438424</v>
      </c>
      <c r="AC100" s="295">
        <f t="shared" si="62"/>
        <v>0</v>
      </c>
    </row>
    <row r="101" spans="1:29" ht="6" customHeight="1" thickBot="1" x14ac:dyDescent="0.35">
      <c r="A101" s="89"/>
      <c r="B101" s="89"/>
      <c r="C101" s="89"/>
      <c r="D101" s="90"/>
      <c r="E101" s="91"/>
      <c r="F101" s="91"/>
      <c r="G101" s="91"/>
      <c r="H101" s="91"/>
      <c r="I101" s="91"/>
      <c r="J101" s="91"/>
      <c r="K101" s="91"/>
      <c r="L101" s="91"/>
      <c r="M101" s="13"/>
      <c r="N101" s="91">
        <f t="shared" si="50"/>
        <v>0</v>
      </c>
      <c r="O101" s="91">
        <f t="shared" si="51"/>
        <v>0</v>
      </c>
      <c r="P101" s="91">
        <f t="shared" si="47"/>
        <v>0</v>
      </c>
      <c r="Q101" s="91"/>
      <c r="R101" s="91">
        <f t="shared" si="52"/>
        <v>0</v>
      </c>
      <c r="S101" s="91">
        <v>0</v>
      </c>
      <c r="T101" s="89">
        <f>CEO!T101+CS!T101+CFO!T101+LLA!T101+'C&amp;E'!T101+CES!T101+LLT!T101+GB!T101</f>
        <v>0</v>
      </c>
      <c r="U101" s="89">
        <f t="shared" si="49"/>
        <v>0</v>
      </c>
      <c r="V101" s="89">
        <f t="shared" si="48"/>
        <v>0</v>
      </c>
      <c r="W101" s="89"/>
      <c r="X101" s="91">
        <f>CEO!Q101+CS!Q101+CFO!Q101+LLA!Q101+'C&amp;E'!Q101+CES!Q101+LLT!Q101+GB!Q101</f>
        <v>0</v>
      </c>
      <c r="Y101" s="91">
        <f t="shared" si="53"/>
        <v>0</v>
      </c>
      <c r="Z101" s="91"/>
      <c r="AA101" s="91"/>
      <c r="AC101" s="295">
        <f t="shared" si="62"/>
        <v>0</v>
      </c>
    </row>
    <row r="102" spans="1:29" x14ac:dyDescent="0.3">
      <c r="A102" s="4">
        <f>SUM(A93:A100)</f>
        <v>72728.948921239338</v>
      </c>
      <c r="B102" s="4">
        <f>SUM(B93:B100)</f>
        <v>68468.828921239343</v>
      </c>
      <c r="C102" s="4">
        <f t="shared" ref="C102:L102" si="63">SUM(C93:C100)</f>
        <v>72728.948921239338</v>
      </c>
      <c r="D102" s="4">
        <f t="shared" si="63"/>
        <v>68468.828921239343</v>
      </c>
      <c r="E102" s="4">
        <f t="shared" si="63"/>
        <v>68468.828921239343</v>
      </c>
      <c r="F102" s="4">
        <f t="shared" si="63"/>
        <v>68468.828921239343</v>
      </c>
      <c r="G102" s="4">
        <f t="shared" si="63"/>
        <v>68468.828921239343</v>
      </c>
      <c r="H102" s="4">
        <f t="shared" si="63"/>
        <v>68468.828921239343</v>
      </c>
      <c r="I102" s="4">
        <f t="shared" si="63"/>
        <v>68468.828921239343</v>
      </c>
      <c r="J102" s="4">
        <f t="shared" si="63"/>
        <v>68468.828921239343</v>
      </c>
      <c r="K102" s="4">
        <f t="shared" si="63"/>
        <v>68468.828921239343</v>
      </c>
      <c r="L102" s="4">
        <f t="shared" si="63"/>
        <v>232944.43289992257</v>
      </c>
      <c r="M102" s="13" t="s">
        <v>166</v>
      </c>
      <c r="N102" s="4">
        <f t="shared" ref="N102:P102" si="64">SUM(N93:N100)</f>
        <v>0</v>
      </c>
      <c r="O102" s="4">
        <f t="shared" si="64"/>
        <v>994621.79103355529</v>
      </c>
      <c r="P102" s="4">
        <f t="shared" si="64"/>
        <v>994621.79103355529</v>
      </c>
      <c r="Q102" s="4">
        <f>SUM(Q93:Q100)</f>
        <v>994621.79103355529</v>
      </c>
      <c r="R102" s="4">
        <f t="shared" ref="R102:S102" si="65">SUM(R93:R100)</f>
        <v>0</v>
      </c>
      <c r="S102" s="4">
        <f t="shared" si="65"/>
        <v>-52579.999999999993</v>
      </c>
      <c r="T102" s="4">
        <f>CEO!T102+CS!T102+CFO!T102+LLA!T102+'C&amp;E'!T102+CES!T102+LLT!T102+GB!T102</f>
        <v>15417</v>
      </c>
      <c r="U102" s="4">
        <f t="shared" si="49"/>
        <v>957458.79103355529</v>
      </c>
      <c r="V102" s="4">
        <f t="shared" si="48"/>
        <v>-37163</v>
      </c>
      <c r="W102" s="4"/>
      <c r="X102" s="4">
        <f>CEO!Q102+CS!Q102+CFO!Q102+LLA!Q102+'C&amp;E'!Q102+CES!Q102+LLT!Q102+GB!Q102</f>
        <v>994621.79103355517</v>
      </c>
      <c r="Y102" s="4">
        <f t="shared" si="53"/>
        <v>0</v>
      </c>
      <c r="Z102" s="4">
        <f>SUM(Z93:Z100)</f>
        <v>994621.6289192033</v>
      </c>
      <c r="AA102" s="4">
        <f>SUM(AA93:AA100)</f>
        <v>1041368.8454784058</v>
      </c>
      <c r="AC102" s="295">
        <f t="shared" si="62"/>
        <v>0.16211435198783875</v>
      </c>
    </row>
    <row r="103" spans="1:29" ht="6" customHeight="1" x14ac:dyDescent="0.3">
      <c r="A103" s="81"/>
      <c r="B103" s="81"/>
      <c r="C103" s="81"/>
      <c r="D103" s="82"/>
      <c r="E103" s="86"/>
      <c r="F103" s="86"/>
      <c r="G103" s="86"/>
      <c r="H103" s="86"/>
      <c r="I103" s="86"/>
      <c r="J103" s="86"/>
      <c r="K103" s="86"/>
      <c r="L103" s="86"/>
      <c r="M103" s="80"/>
      <c r="N103" s="86">
        <f t="shared" si="50"/>
        <v>0</v>
      </c>
      <c r="O103" s="86">
        <f t="shared" si="51"/>
        <v>0</v>
      </c>
      <c r="P103" s="86">
        <f t="shared" si="47"/>
        <v>0</v>
      </c>
      <c r="Q103" s="86"/>
      <c r="R103" s="86">
        <f t="shared" si="52"/>
        <v>0</v>
      </c>
      <c r="S103" s="86">
        <v>0</v>
      </c>
      <c r="T103" s="81">
        <f>CEO!T103+CS!T103+CFO!T103+LLA!T103+'C&amp;E'!T103+CES!T103+LLT!T103+GB!T103</f>
        <v>0</v>
      </c>
      <c r="U103" s="81">
        <f t="shared" si="49"/>
        <v>0</v>
      </c>
      <c r="V103" s="81">
        <f t="shared" si="48"/>
        <v>0</v>
      </c>
      <c r="W103" s="81"/>
      <c r="X103" s="86">
        <f>CEO!Q103+CS!Q103+CFO!Q103+LLA!Q103+'C&amp;E'!Q103+CES!Q103+LLT!Q103+GB!Q103</f>
        <v>0</v>
      </c>
      <c r="Y103" s="86">
        <f t="shared" si="53"/>
        <v>0</v>
      </c>
      <c r="Z103" s="86"/>
      <c r="AA103" s="86"/>
      <c r="AC103" s="295">
        <f t="shared" si="62"/>
        <v>0</v>
      </c>
    </row>
    <row r="104" spans="1:29" x14ac:dyDescent="0.3">
      <c r="A104" s="8">
        <f>CEO!A104+CS!A104+CFO!A104+LLA!A104+'C&amp;E'!A104+CES!A104+LLT!A104+GB!A104</f>
        <v>874.03200000000015</v>
      </c>
      <c r="B104" s="8">
        <f>CEO!B104+CS!B104+CFO!B104+LLA!B104+'C&amp;E'!B104+CES!B104+LLT!B104+GB!B104</f>
        <v>874.03200000000015</v>
      </c>
      <c r="C104" s="8">
        <f>CEO!C104+CS!C104+CFO!C104+LLA!C104+'C&amp;E'!C104+CES!C104+LLT!C104+GB!C104</f>
        <v>874.03200000000015</v>
      </c>
      <c r="D104" s="8">
        <f>CEO!D104+CS!D104+CFO!D104+LLA!D104+'C&amp;E'!D104+CES!D104+LLT!D104+GB!D104</f>
        <v>874.03200000000015</v>
      </c>
      <c r="E104" s="8">
        <f>CEO!E104+CS!E104+CFO!E104+LLA!E104+'C&amp;E'!E104+CES!E104+LLT!E104+GB!E104</f>
        <v>2970.0320000000002</v>
      </c>
      <c r="F104" s="8">
        <f>CEO!F104+CS!F104+CFO!F104+LLA!F104+'C&amp;E'!F104+CES!F104+LLT!F104+GB!F104</f>
        <v>874.03200000000015</v>
      </c>
      <c r="G104" s="8">
        <f>CEO!G104+CS!G104+CFO!G104+LLA!G104+'C&amp;E'!G104+CES!G104+LLT!G104+GB!G104</f>
        <v>874.03200000000015</v>
      </c>
      <c r="H104" s="8">
        <f>CEO!H104+CS!H104+CFO!H104+LLA!H104+'C&amp;E'!H104+CES!H104+LLT!H104+GB!H104</f>
        <v>874.03200000000015</v>
      </c>
      <c r="I104" s="8">
        <f>CEO!I104+CS!I104+CFO!I104+LLA!I104+'C&amp;E'!I104+CES!I104+LLT!I104+GB!I104</f>
        <v>874.03200000000015</v>
      </c>
      <c r="J104" s="8">
        <f>CEO!J104+CS!J104+CFO!J104+LLA!J104+'C&amp;E'!J104+CES!J104+LLT!J104+GB!J104</f>
        <v>874.03200000000015</v>
      </c>
      <c r="K104" s="8">
        <f>CEO!K104+CS!K104+CFO!K104+LLA!K104+'C&amp;E'!K104+CES!K104+LLT!K104+GB!K104</f>
        <v>874.03200000000015</v>
      </c>
      <c r="L104" s="8">
        <f>CEO!L104+CS!L104+CFO!L104+LLA!L104+'C&amp;E'!L104+CES!L104+LLT!L104+GB!L104</f>
        <v>2961.6479999999983</v>
      </c>
      <c r="M104" s="390" t="s">
        <v>488</v>
      </c>
      <c r="N104" s="8">
        <f t="shared" ref="N104:N106" si="66">SUM(0)</f>
        <v>0</v>
      </c>
      <c r="O104" s="8">
        <f t="shared" ref="O104:O106" si="67">SUM(A104:L104)</f>
        <v>14671.999999999996</v>
      </c>
      <c r="P104" s="8">
        <f t="shared" si="47"/>
        <v>14671.999999999996</v>
      </c>
      <c r="Q104" s="8">
        <f>CEO!Q104+CS!Q104+CFO!Q104+LLA!Q104+'C&amp;E'!Q104+CES!Q104+LLT!Q104+GB!Q104</f>
        <v>14672</v>
      </c>
      <c r="R104" s="8">
        <f t="shared" ref="R104:R106" si="68">Q104-P104</f>
        <v>0</v>
      </c>
      <c r="S104" s="8">
        <v>0</v>
      </c>
      <c r="T104" s="8">
        <f>CEO!T104+CS!T104+CFO!T104+LLA!T104+'C&amp;E'!T104+CES!T104+LLT!T104+GB!T104</f>
        <v>0</v>
      </c>
      <c r="U104" s="8">
        <f t="shared" si="49"/>
        <v>14672</v>
      </c>
      <c r="V104" s="8">
        <f t="shared" si="48"/>
        <v>0</v>
      </c>
      <c r="W104" s="8"/>
      <c r="X104" s="8">
        <f>CEO!Q104+CS!Q104+CFO!Q104+LLA!Q104+'C&amp;E'!Q104+CES!Q104+LLT!Q104+GB!Q104</f>
        <v>14672</v>
      </c>
      <c r="Y104" s="8">
        <f t="shared" ref="Y104:Y106" si="69">X104-Q104</f>
        <v>0</v>
      </c>
      <c r="Z104" s="8">
        <v>14672</v>
      </c>
      <c r="AA104" s="8">
        <f t="shared" ref="AA104:AA106" si="70">Z104*(1+AA$3)</f>
        <v>15361.583999999999</v>
      </c>
      <c r="AC104" s="295">
        <f t="shared" si="62"/>
        <v>0</v>
      </c>
    </row>
    <row r="105" spans="1:29" x14ac:dyDescent="0.3">
      <c r="A105" s="7">
        <f>CEO!A105+CS!A105+CFO!A105+LLA!A105+'C&amp;E'!A105+CES!A105+LLT!A105+GB!A105</f>
        <v>162.44</v>
      </c>
      <c r="B105" s="7">
        <f>CEO!B105+CS!B105+CFO!B105+LLA!B105+'C&amp;E'!B105+CES!B105+LLT!B105+GB!B105</f>
        <v>162.44</v>
      </c>
      <c r="C105" s="7">
        <f>CEO!C105+CS!C105+CFO!C105+LLA!C105+'C&amp;E'!C105+CES!C105+LLT!C105+GB!C105</f>
        <v>162.44</v>
      </c>
      <c r="D105" s="7">
        <f>CEO!D105+CS!D105+CFO!D105+LLA!D105+'C&amp;E'!D105+CES!D105+LLT!D105+GB!D105</f>
        <v>162.44</v>
      </c>
      <c r="E105" s="7">
        <f>CEO!E105+CS!E105+CFO!E105+LLA!E105+'C&amp;E'!E105+CES!E105+LLT!E105+GB!E105</f>
        <v>162.44</v>
      </c>
      <c r="F105" s="7">
        <f>CEO!F105+CS!F105+CFO!F105+LLA!F105+'C&amp;E'!F105+CES!F105+LLT!F105+GB!F105</f>
        <v>162.44</v>
      </c>
      <c r="G105" s="7">
        <f>CEO!G105+CS!G105+CFO!G105+LLA!G105+'C&amp;E'!G105+CES!G105+LLT!G105+GB!G105</f>
        <v>162.44</v>
      </c>
      <c r="H105" s="7">
        <f>CEO!H105+CS!H105+CFO!H105+LLA!H105+'C&amp;E'!H105+CES!H105+LLT!H105+GB!H105</f>
        <v>162.44</v>
      </c>
      <c r="I105" s="7">
        <f>CEO!I105+CS!I105+CFO!I105+LLA!I105+'C&amp;E'!I105+CES!I105+LLT!I105+GB!I105</f>
        <v>162.44</v>
      </c>
      <c r="J105" s="7">
        <f>CEO!J105+CS!J105+CFO!J105+LLA!J105+'C&amp;E'!J105+CES!J105+LLT!J105+GB!J105</f>
        <v>162.44</v>
      </c>
      <c r="K105" s="7">
        <f>CEO!K105+CS!K105+CFO!K105+LLA!K105+'C&amp;E'!K105+CES!K105+LLT!K105+GB!K105</f>
        <v>162.44</v>
      </c>
      <c r="L105" s="7">
        <f>CEO!L105+CS!L105+CFO!L105+LLA!L105+'C&amp;E'!L105+CES!L105+LLT!L105+GB!L105</f>
        <v>158.24799999999976</v>
      </c>
      <c r="M105" s="13" t="s">
        <v>489</v>
      </c>
      <c r="N105" s="7">
        <f t="shared" si="66"/>
        <v>0</v>
      </c>
      <c r="O105" s="7">
        <f t="shared" si="67"/>
        <v>1945.0880000000002</v>
      </c>
      <c r="P105" s="7">
        <f t="shared" si="47"/>
        <v>1945.0880000000002</v>
      </c>
      <c r="Q105" s="7">
        <f>CEO!Q105+CS!Q105+CFO!Q105+LLA!Q105+'C&amp;E'!Q105+CES!Q105+LLT!Q105+GB!Q105</f>
        <v>1945.0880000000002</v>
      </c>
      <c r="R105" s="7">
        <f t="shared" si="68"/>
        <v>0</v>
      </c>
      <c r="S105" s="7">
        <v>1856</v>
      </c>
      <c r="T105" s="7">
        <f>CEO!T105+CS!T105+CFO!T105+LLA!T105+'C&amp;E'!T105+CES!T105+LLT!T105+GB!T105</f>
        <v>0</v>
      </c>
      <c r="U105" s="7">
        <f t="shared" si="49"/>
        <v>3801.0880000000002</v>
      </c>
      <c r="V105" s="7">
        <f t="shared" si="48"/>
        <v>1856</v>
      </c>
      <c r="W105" s="7"/>
      <c r="X105" s="7">
        <f>CEO!Q105+CS!Q105+CFO!Q105+LLA!Q105+'C&amp;E'!Q105+CES!Q105+LLT!Q105+GB!Q105</f>
        <v>1945.0880000000002</v>
      </c>
      <c r="Y105" s="7">
        <f t="shared" si="69"/>
        <v>0</v>
      </c>
      <c r="Z105" s="7">
        <v>1945.0880000000002</v>
      </c>
      <c r="AA105" s="7">
        <f t="shared" si="70"/>
        <v>2036.5071360000002</v>
      </c>
      <c r="AC105" s="295">
        <f t="shared" si="62"/>
        <v>0</v>
      </c>
    </row>
    <row r="106" spans="1:29" x14ac:dyDescent="0.3">
      <c r="A106" s="11">
        <f>CEO!A106+CS!A106+CFO!A106+LLA!A106+'C&amp;E'!A106+CES!A106+LLT!A106+GB!A106</f>
        <v>325.928</v>
      </c>
      <c r="B106" s="11">
        <f>CEO!B106+CS!B106+CFO!B106+LLA!B106+'C&amp;E'!B106+CES!B106+LLT!B106+GB!B106</f>
        <v>325.928</v>
      </c>
      <c r="C106" s="11">
        <f>CEO!C106+CS!C106+CFO!C106+LLA!C106+'C&amp;E'!C106+CES!C106+LLT!C106+GB!C106</f>
        <v>325.928</v>
      </c>
      <c r="D106" s="11">
        <f>CEO!D106+CS!D106+CFO!D106+LLA!D106+'C&amp;E'!D106+CES!D106+LLT!D106+GB!D106</f>
        <v>325.928</v>
      </c>
      <c r="E106" s="11">
        <f>CEO!E106+CS!E106+CFO!E106+LLA!E106+'C&amp;E'!E106+CES!E106+LLT!E106+GB!E106</f>
        <v>325.928</v>
      </c>
      <c r="F106" s="11">
        <f>CEO!F106+CS!F106+CFO!F106+LLA!F106+'C&amp;E'!F106+CES!F106+LLT!F106+GB!F106</f>
        <v>325.928</v>
      </c>
      <c r="G106" s="11">
        <f>CEO!G106+CS!G106+CFO!G106+LLA!G106+'C&amp;E'!G106+CES!G106+LLT!G106+GB!G106</f>
        <v>325.928</v>
      </c>
      <c r="H106" s="11">
        <f>CEO!H106+CS!H106+CFO!H106+LLA!H106+'C&amp;E'!H106+CES!H106+LLT!H106+GB!H106</f>
        <v>325.928</v>
      </c>
      <c r="I106" s="11">
        <f>CEO!I106+CS!I106+CFO!I106+LLA!I106+'C&amp;E'!I106+CES!I106+LLT!I106+GB!I106</f>
        <v>325.928</v>
      </c>
      <c r="J106" s="11">
        <f>CEO!J106+CS!J106+CFO!J106+LLA!J106+'C&amp;E'!J106+CES!J106+LLT!J106+GB!J106</f>
        <v>325.928</v>
      </c>
      <c r="K106" s="11">
        <f>CEO!K106+CS!K106+CFO!K106+LLA!K106+'C&amp;E'!K106+CES!K106+LLT!K106+GB!K106</f>
        <v>325.928</v>
      </c>
      <c r="L106" s="11">
        <f>CEO!L106+CS!L106+CFO!L106+LLA!L106+'C&amp;E'!L106+CES!L106+LLT!L106+GB!L106</f>
        <v>324.88000000000113</v>
      </c>
      <c r="M106" s="13" t="s">
        <v>490</v>
      </c>
      <c r="N106" s="11">
        <f t="shared" si="66"/>
        <v>0</v>
      </c>
      <c r="O106" s="11">
        <f t="shared" si="67"/>
        <v>3910.0880000000002</v>
      </c>
      <c r="P106" s="11">
        <f t="shared" si="47"/>
        <v>3910.0880000000002</v>
      </c>
      <c r="Q106" s="11">
        <f>CEO!Q106+CS!Q106+CFO!Q106+LLA!Q106+'C&amp;E'!Q106+CES!Q106+LLT!Q106+GB!Q106</f>
        <v>3910.0880000000002</v>
      </c>
      <c r="R106" s="11">
        <f t="shared" si="68"/>
        <v>0</v>
      </c>
      <c r="S106" s="11">
        <v>3731</v>
      </c>
      <c r="T106" s="11">
        <f>CEO!T106+CS!T106+CFO!T106+LLA!T106+'C&amp;E'!T106+CES!T106+LLT!T106+GB!T106</f>
        <v>0</v>
      </c>
      <c r="U106" s="11">
        <f t="shared" si="49"/>
        <v>7641.0879999999997</v>
      </c>
      <c r="V106" s="11">
        <f t="shared" si="48"/>
        <v>3730.9999999999995</v>
      </c>
      <c r="W106" s="11"/>
      <c r="X106" s="11">
        <f>CEO!Q106+CS!Q106+CFO!Q106+LLA!Q106+'C&amp;E'!Q106+CES!Q106+LLT!Q106+GB!Q106</f>
        <v>3910.0880000000002</v>
      </c>
      <c r="Y106" s="11">
        <f t="shared" si="69"/>
        <v>0</v>
      </c>
      <c r="Z106" s="11">
        <v>3910.0880000000002</v>
      </c>
      <c r="AA106" s="11">
        <f t="shared" si="70"/>
        <v>4093.8621359999997</v>
      </c>
      <c r="AC106" s="295">
        <f t="shared" si="62"/>
        <v>0</v>
      </c>
    </row>
    <row r="107" spans="1:29" ht="3.6" customHeight="1" thickBot="1" x14ac:dyDescent="0.35">
      <c r="A107" s="89"/>
      <c r="B107" s="89"/>
      <c r="C107" s="89"/>
      <c r="D107" s="90"/>
      <c r="E107" s="91"/>
      <c r="F107" s="91"/>
      <c r="G107" s="91"/>
      <c r="H107" s="91"/>
      <c r="I107" s="91"/>
      <c r="J107" s="91"/>
      <c r="K107" s="91"/>
      <c r="L107" s="91"/>
      <c r="M107" s="13"/>
      <c r="N107" s="91">
        <f t="shared" si="50"/>
        <v>0</v>
      </c>
      <c r="O107" s="91">
        <f t="shared" si="51"/>
        <v>0</v>
      </c>
      <c r="P107" s="91">
        <f t="shared" si="47"/>
        <v>0</v>
      </c>
      <c r="Q107" s="91"/>
      <c r="R107" s="91">
        <f t="shared" ref="R107:R130" si="71">P107-Q107</f>
        <v>0</v>
      </c>
      <c r="S107" s="91">
        <v>0</v>
      </c>
      <c r="T107" s="89">
        <f>CEO!T107+CS!T107+CFO!T107+LLA!T107+'C&amp;E'!T107+CES!T107+LLT!T107+GB!T107</f>
        <v>0</v>
      </c>
      <c r="U107" s="89">
        <f t="shared" si="49"/>
        <v>0</v>
      </c>
      <c r="V107" s="89">
        <f t="shared" si="48"/>
        <v>0</v>
      </c>
      <c r="W107" s="89"/>
      <c r="X107" s="91">
        <f>CEO!Q107+CS!Q107+CFO!Q107+LLA!Q107+'C&amp;E'!Q107+CES!Q107+LLT!Q107+GB!Q107</f>
        <v>0</v>
      </c>
      <c r="Y107" s="91">
        <f t="shared" si="53"/>
        <v>0</v>
      </c>
      <c r="Z107" s="91"/>
      <c r="AA107" s="91"/>
      <c r="AC107" s="295">
        <f t="shared" si="62"/>
        <v>0</v>
      </c>
    </row>
    <row r="108" spans="1:29" x14ac:dyDescent="0.3">
      <c r="A108" s="4">
        <f>SUM(A104:A106)</f>
        <v>1362.4</v>
      </c>
      <c r="B108" s="4">
        <f>SUM(B104:B106)</f>
        <v>1362.4</v>
      </c>
      <c r="C108" s="4">
        <f t="shared" ref="C108:L108" si="72">SUM(C104:C106)</f>
        <v>1362.4</v>
      </c>
      <c r="D108" s="4">
        <f t="shared" si="72"/>
        <v>1362.4</v>
      </c>
      <c r="E108" s="4">
        <f t="shared" si="72"/>
        <v>3458.4</v>
      </c>
      <c r="F108" s="4">
        <f t="shared" si="72"/>
        <v>1362.4</v>
      </c>
      <c r="G108" s="4">
        <f t="shared" si="72"/>
        <v>1362.4</v>
      </c>
      <c r="H108" s="4">
        <f t="shared" si="72"/>
        <v>1362.4</v>
      </c>
      <c r="I108" s="4">
        <f t="shared" si="72"/>
        <v>1362.4</v>
      </c>
      <c r="J108" s="4">
        <f t="shared" si="72"/>
        <v>1362.4</v>
      </c>
      <c r="K108" s="4">
        <f t="shared" si="72"/>
        <v>1362.4</v>
      </c>
      <c r="L108" s="4">
        <f t="shared" si="72"/>
        <v>3444.7759999999989</v>
      </c>
      <c r="M108" s="13" t="s">
        <v>170</v>
      </c>
      <c r="N108" s="4">
        <f t="shared" ref="N108:P108" si="73">SUM(N104:N106)</f>
        <v>0</v>
      </c>
      <c r="O108" s="4">
        <f t="shared" si="73"/>
        <v>20527.175999999996</v>
      </c>
      <c r="P108" s="4">
        <f t="shared" si="73"/>
        <v>20527.175999999996</v>
      </c>
      <c r="Q108" s="4">
        <f>SUM(Q104:Q106)</f>
        <v>20527.175999999999</v>
      </c>
      <c r="R108" s="4">
        <f>SUM(R104:R106)</f>
        <v>0</v>
      </c>
      <c r="S108" s="4">
        <f>SUM(S104:S106)</f>
        <v>5587</v>
      </c>
      <c r="T108" s="4">
        <f t="shared" ref="T108" si="74">SUM(T104:T106)</f>
        <v>0</v>
      </c>
      <c r="U108" s="4">
        <f t="shared" si="49"/>
        <v>26114.175999999999</v>
      </c>
      <c r="V108" s="4">
        <f t="shared" si="48"/>
        <v>5587.0000000000036</v>
      </c>
      <c r="W108" s="4"/>
      <c r="X108" s="4">
        <f>CEO!Q108+CS!Q108+CFO!Q108+LLA!Q108+'C&amp;E'!Q108+CES!Q108+LLT!Q108+GB!Q108</f>
        <v>20527.175999999999</v>
      </c>
      <c r="Y108" s="4">
        <f t="shared" si="53"/>
        <v>0</v>
      </c>
      <c r="Z108" s="4">
        <f>SUM(Z104:Z106)</f>
        <v>20527.175999999999</v>
      </c>
      <c r="AA108" s="4">
        <f>SUM(AA104:AA106)</f>
        <v>21491.953271999999</v>
      </c>
      <c r="AC108" s="295">
        <f t="shared" si="62"/>
        <v>0</v>
      </c>
    </row>
    <row r="109" spans="1:29" ht="6" customHeight="1" x14ac:dyDescent="0.3">
      <c r="A109" s="81"/>
      <c r="B109" s="81"/>
      <c r="C109" s="81"/>
      <c r="D109" s="82"/>
      <c r="E109" s="81"/>
      <c r="F109" s="81"/>
      <c r="G109" s="81"/>
      <c r="H109" s="81"/>
      <c r="I109" s="81"/>
      <c r="J109" s="81"/>
      <c r="K109" s="81"/>
      <c r="L109" s="81"/>
      <c r="M109" s="80"/>
      <c r="N109" s="81">
        <f t="shared" si="50"/>
        <v>0</v>
      </c>
      <c r="O109" s="81">
        <f t="shared" si="51"/>
        <v>0</v>
      </c>
      <c r="P109" s="81">
        <f t="shared" si="47"/>
        <v>0</v>
      </c>
      <c r="Q109" s="81"/>
      <c r="R109" s="81">
        <f t="shared" si="71"/>
        <v>0</v>
      </c>
      <c r="S109" s="81">
        <v>0</v>
      </c>
      <c r="T109" s="81">
        <f>CEO!T109+CS!T109+CFO!T109+LLA!T109+'C&amp;E'!T109+CES!T109+LLT!T109+GB!T109</f>
        <v>0</v>
      </c>
      <c r="U109" s="81">
        <f t="shared" si="49"/>
        <v>0</v>
      </c>
      <c r="V109" s="81">
        <f t="shared" si="48"/>
        <v>0</v>
      </c>
      <c r="W109" s="81"/>
      <c r="X109" s="81">
        <f>CEO!Q109+CS!Q109+CFO!Q109+LLA!Q109+'C&amp;E'!Q109+CES!Q109+LLT!Q109+GB!Q109</f>
        <v>0</v>
      </c>
      <c r="Y109" s="81">
        <f t="shared" si="53"/>
        <v>0</v>
      </c>
      <c r="Z109" s="81"/>
      <c r="AA109" s="81"/>
      <c r="AC109" s="295">
        <f t="shared" si="62"/>
        <v>0</v>
      </c>
    </row>
    <row r="110" spans="1:29" x14ac:dyDescent="0.3">
      <c r="A110" s="4">
        <f>A28+A46+A65+A91+A102+A108</f>
        <v>1423581.0651890058</v>
      </c>
      <c r="B110" s="4">
        <f>B28+B46+B65+B91+B102+B108</f>
        <v>1720081.3928690059</v>
      </c>
      <c r="C110" s="4">
        <f t="shared" ref="C110:L110" si="75">C28+C46+C65+C91+C102+C108</f>
        <v>1952740.3167890057</v>
      </c>
      <c r="D110" s="4">
        <f t="shared" si="75"/>
        <v>2089175.475349006</v>
      </c>
      <c r="E110" s="4">
        <f t="shared" si="75"/>
        <v>1685449.3211090059</v>
      </c>
      <c r="F110" s="4">
        <f t="shared" si="75"/>
        <v>1781748.4971890058</v>
      </c>
      <c r="G110" s="4">
        <f t="shared" si="75"/>
        <v>1484550.5192690059</v>
      </c>
      <c r="H110" s="4">
        <f t="shared" si="75"/>
        <v>1428147.6171890059</v>
      </c>
      <c r="I110" s="4">
        <f t="shared" si="75"/>
        <v>1467864.4362335387</v>
      </c>
      <c r="J110" s="4">
        <f t="shared" si="75"/>
        <v>1421303.7611890058</v>
      </c>
      <c r="K110" s="4">
        <f t="shared" si="75"/>
        <v>1451446.8370509287</v>
      </c>
      <c r="L110" s="4">
        <f t="shared" si="75"/>
        <v>1617284.9293441731</v>
      </c>
      <c r="M110" s="390" t="s">
        <v>171</v>
      </c>
      <c r="N110" s="4">
        <f t="shared" ref="N110:P110" si="76">N28+N46+N65+N91+N102+N108</f>
        <v>0</v>
      </c>
      <c r="O110" s="4">
        <f t="shared" si="76"/>
        <v>19523374.168769691</v>
      </c>
      <c r="P110" s="4">
        <f t="shared" si="76"/>
        <v>19523374.168769691</v>
      </c>
      <c r="Q110" s="4">
        <f>Q28+Q46+Q65+Q91+Q102+Q108</f>
        <v>19523374.423487693</v>
      </c>
      <c r="R110" s="4">
        <f t="shared" ref="R110:S110" si="77">R28+R46+R65+R91+R102+R108</f>
        <v>0.25471799998194911</v>
      </c>
      <c r="S110" s="4">
        <f t="shared" si="77"/>
        <v>4886209.8100000005</v>
      </c>
      <c r="T110" s="4">
        <f>CEO!T110+CS!T110+CFO!T110+LLA!T110+'C&amp;E'!T110+CES!T110+LLT!T110+GB!T110</f>
        <v>572974.11440532445</v>
      </c>
      <c r="U110" s="4">
        <f t="shared" si="49"/>
        <v>24982558.347893018</v>
      </c>
      <c r="V110" s="4">
        <f t="shared" si="48"/>
        <v>5459184.1791233271</v>
      </c>
      <c r="W110" s="4"/>
      <c r="X110" s="4">
        <f>CEO!Q110+CS!Q110+CFO!Q110+LLA!Q110+'C&amp;E'!Q110+CES!Q110+LLT!Q110+GB!Q110</f>
        <v>19523374.423487697</v>
      </c>
      <c r="Y110" s="4">
        <f t="shared" si="53"/>
        <v>0</v>
      </c>
      <c r="Z110" s="4">
        <f>Z28+Z46+Z65+Z91+Z102+Z108</f>
        <v>19523374.627546668</v>
      </c>
      <c r="AA110" s="4">
        <f>AA28+AA46+AA65+AA91+AA102+AA108</f>
        <v>20555667.235041361</v>
      </c>
      <c r="AC110" s="295">
        <f t="shared" si="62"/>
        <v>-0.20405897498130798</v>
      </c>
    </row>
    <row r="111" spans="1:29" ht="5.4" customHeight="1" x14ac:dyDescent="0.3">
      <c r="A111" s="81"/>
      <c r="B111" s="81"/>
      <c r="C111" s="81"/>
      <c r="D111" s="82"/>
      <c r="E111" s="81"/>
      <c r="F111" s="81"/>
      <c r="G111" s="81"/>
      <c r="H111" s="81"/>
      <c r="I111" s="81"/>
      <c r="J111" s="81"/>
      <c r="K111" s="81"/>
      <c r="L111" s="81"/>
      <c r="M111" s="122"/>
      <c r="N111" s="81">
        <f t="shared" si="50"/>
        <v>0</v>
      </c>
      <c r="O111" s="81">
        <f t="shared" si="51"/>
        <v>0</v>
      </c>
      <c r="P111" s="81">
        <f t="shared" si="47"/>
        <v>0</v>
      </c>
      <c r="Q111" s="81"/>
      <c r="R111" s="81">
        <f t="shared" si="71"/>
        <v>0</v>
      </c>
      <c r="S111" s="81">
        <v>0</v>
      </c>
      <c r="T111" s="81">
        <f>CEO!T111+CS!T111+CFO!T111+LLA!T111+'C&amp;E'!T111+CES!T111+LLT!T111+GB!T111</f>
        <v>0</v>
      </c>
      <c r="U111" s="81">
        <f t="shared" si="49"/>
        <v>0</v>
      </c>
      <c r="V111" s="81">
        <f t="shared" si="48"/>
        <v>0</v>
      </c>
      <c r="W111" s="81"/>
      <c r="X111" s="81">
        <f>CEO!Q111+CS!Q111+CFO!Q111+LLA!Q111+'C&amp;E'!Q111+CES!Q111+LLT!Q111+GB!Q111</f>
        <v>0</v>
      </c>
      <c r="Y111" s="81">
        <f t="shared" si="53"/>
        <v>0</v>
      </c>
      <c r="Z111" s="81"/>
      <c r="AA111" s="81"/>
      <c r="AC111" s="295">
        <f t="shared" si="62"/>
        <v>0</v>
      </c>
    </row>
    <row r="112" spans="1:29" x14ac:dyDescent="0.3">
      <c r="A112" s="4">
        <f>A18+A110</f>
        <v>4064528.7562691658</v>
      </c>
      <c r="B112" s="4">
        <f>B18+B110</f>
        <v>4480563.3663893789</v>
      </c>
      <c r="C112" s="4">
        <f t="shared" ref="C112:L112" si="78">C18+C110</f>
        <v>4798216.0338336062</v>
      </c>
      <c r="D112" s="4">
        <f t="shared" si="78"/>
        <v>4996184.9367165798</v>
      </c>
      <c r="E112" s="4">
        <f t="shared" si="78"/>
        <v>4524394.7195936069</v>
      </c>
      <c r="F112" s="4">
        <f t="shared" si="78"/>
        <v>4607873.0095136063</v>
      </c>
      <c r="G112" s="4">
        <f t="shared" si="78"/>
        <v>4379561.1666365806</v>
      </c>
      <c r="H112" s="4">
        <f t="shared" si="78"/>
        <v>5801224.2394790146</v>
      </c>
      <c r="I112" s="4">
        <f t="shared" si="78"/>
        <v>4305084.8162381388</v>
      </c>
      <c r="J112" s="4">
        <f t="shared" si="78"/>
        <v>4332001.6271165796</v>
      </c>
      <c r="K112" s="4">
        <f t="shared" si="78"/>
        <v>4292601.9016155293</v>
      </c>
      <c r="L112" s="4">
        <f t="shared" si="78"/>
        <v>4426178.5066317469</v>
      </c>
      <c r="M112" s="13" t="s">
        <v>240</v>
      </c>
      <c r="N112" s="4">
        <f t="shared" ref="N112:O112" si="79">N18+N110</f>
        <v>0</v>
      </c>
      <c r="O112" s="4">
        <f t="shared" si="79"/>
        <v>55008413.080033526</v>
      </c>
      <c r="P112" s="4">
        <f>P18+P110</f>
        <v>55008413.080033526</v>
      </c>
      <c r="Q112" s="4">
        <f>Q18+Q110</f>
        <v>55008413.334751531</v>
      </c>
      <c r="R112" s="4">
        <f>R18+R110</f>
        <v>0.25471799998194911</v>
      </c>
      <c r="S112" s="4">
        <f>S18+S110</f>
        <v>6761256.3702114113</v>
      </c>
      <c r="T112" s="224">
        <f>CEO!T112+CS!T112+CFO!T112+LLA!T112+'C&amp;E'!T112+CES!T112+LLT!T112+GB!T112</f>
        <v>-941108.39194171887</v>
      </c>
      <c r="U112" s="224">
        <f t="shared" si="49"/>
        <v>60828561.31302122</v>
      </c>
      <c r="V112" s="224">
        <f t="shared" si="48"/>
        <v>5820148.2329876944</v>
      </c>
      <c r="W112" s="4"/>
      <c r="X112" s="4">
        <f>CEO!Q112+CS!Q112+CFO!Q112+LLA!Q112+'C&amp;E'!Q112+CES!Q112+LLT!Q112+GB!Q112</f>
        <v>55008413.334751539</v>
      </c>
      <c r="Y112" s="4">
        <f t="shared" si="53"/>
        <v>0</v>
      </c>
      <c r="Z112" s="4">
        <f>Z18+Z110</f>
        <v>54966012.495210618</v>
      </c>
      <c r="AA112" s="4">
        <f>AA18+AA110</f>
        <v>57664109.082485512</v>
      </c>
      <c r="AC112" s="295">
        <f t="shared" si="62"/>
        <v>42400.839540913701</v>
      </c>
    </row>
    <row r="113" spans="1:29" ht="6.6" customHeight="1" x14ac:dyDescent="0.3">
      <c r="A113" s="81"/>
      <c r="B113" s="81"/>
      <c r="C113" s="81"/>
      <c r="D113" s="82"/>
      <c r="E113" s="81"/>
      <c r="F113" s="81"/>
      <c r="G113" s="81"/>
      <c r="H113" s="81"/>
      <c r="I113" s="81"/>
      <c r="J113" s="81"/>
      <c r="K113" s="81"/>
      <c r="L113" s="81"/>
      <c r="M113" s="122"/>
      <c r="N113" s="81">
        <f t="shared" si="50"/>
        <v>0</v>
      </c>
      <c r="O113" s="81">
        <f t="shared" si="51"/>
        <v>0</v>
      </c>
      <c r="P113" s="81">
        <f t="shared" si="47"/>
        <v>0</v>
      </c>
      <c r="Q113" s="81"/>
      <c r="R113" s="81">
        <f t="shared" si="71"/>
        <v>0</v>
      </c>
      <c r="S113" s="81">
        <v>0</v>
      </c>
      <c r="T113" s="81">
        <f>CEO!T113+CS!T113+CFO!T113+LLA!T113+'C&amp;E'!T113+CES!T113+LLT!T113+GB!T113</f>
        <v>0</v>
      </c>
      <c r="U113" s="81">
        <f t="shared" si="49"/>
        <v>0</v>
      </c>
      <c r="V113" s="81">
        <f t="shared" si="48"/>
        <v>0</v>
      </c>
      <c r="W113" s="81"/>
      <c r="X113" s="81">
        <f>CEO!Q113+CS!Q113+CFO!Q113+LLA!Q113+'C&amp;E'!Q113+CES!Q113+LLT!Q113+GB!Q113</f>
        <v>0</v>
      </c>
      <c r="Y113" s="81">
        <f t="shared" si="53"/>
        <v>0</v>
      </c>
      <c r="Z113" s="81"/>
      <c r="AA113" s="81"/>
      <c r="AC113" s="295">
        <f t="shared" si="62"/>
        <v>0</v>
      </c>
    </row>
    <row r="114" spans="1:29" x14ac:dyDescent="0.3">
      <c r="A114" s="8">
        <f>CEO!A114+CS!A114+CFO!A114+LLA!A114+'C&amp;E'!A114+CES!A114+LLT!A114+GB!A114</f>
        <v>0</v>
      </c>
      <c r="B114" s="8">
        <f>CEO!B114+CS!B114+CFO!B114+LLA!B114+'C&amp;E'!B114+CES!B114+LLT!B114+GB!B114</f>
        <v>0</v>
      </c>
      <c r="C114" s="8">
        <f>CEO!C114+CS!C114+CFO!C114+LLA!C114+'C&amp;E'!C114+CES!C114+LLT!C114+GB!C114</f>
        <v>0</v>
      </c>
      <c r="D114" s="8">
        <f>CEO!D114+CS!D114+CFO!D114+LLA!D114+'C&amp;E'!D114+CES!D114+LLT!D114+GB!D114</f>
        <v>0</v>
      </c>
      <c r="E114" s="8">
        <f>CEO!E114+CS!E114+CFO!E114+LLA!E114+'C&amp;E'!E114+CES!E114+LLT!E114+GB!E114</f>
        <v>0</v>
      </c>
      <c r="F114" s="8">
        <f>CEO!F114+CS!F114+CFO!F114+LLA!F114+'C&amp;E'!F114+CES!F114+LLT!F114+GB!F114</f>
        <v>0</v>
      </c>
      <c r="G114" s="8">
        <f>CEO!G114+CS!G114+CFO!G114+LLA!G114+'C&amp;E'!G114+CES!G114+LLT!G114+GB!G114</f>
        <v>0</v>
      </c>
      <c r="H114" s="8">
        <f>CEO!H114+CS!H114+CFO!H114+LLA!H114+'C&amp;E'!H114+CES!H114+LLT!H114+GB!H114</f>
        <v>0</v>
      </c>
      <c r="I114" s="8">
        <f>CEO!I114+CS!I114+CFO!I114+LLA!I114+'C&amp;E'!I114+CES!I114+LLT!I114+GB!I114</f>
        <v>0</v>
      </c>
      <c r="J114" s="8">
        <f>CEO!J114+CS!J114+CFO!J114+LLA!J114+'C&amp;E'!J114+CES!J114+LLT!J114+GB!J114</f>
        <v>0</v>
      </c>
      <c r="K114" s="8">
        <f>CEO!K114+CS!K114+CFO!K114+LLA!K114+'C&amp;E'!K114+CES!K114+LLT!K114+GB!K114</f>
        <v>0</v>
      </c>
      <c r="L114" s="8">
        <f>CEO!L114+CS!L114+CFO!L114+LLA!L114+'C&amp;E'!L114+CES!L114+LLT!L114+GB!L114</f>
        <v>50450.720000000001</v>
      </c>
      <c r="M114" s="390" t="s">
        <v>491</v>
      </c>
      <c r="N114" s="8">
        <f t="shared" ref="N114:N125" si="80">SUM(0)</f>
        <v>0</v>
      </c>
      <c r="O114" s="8">
        <f t="shared" ref="O114:O125" si="81">SUM(A114:L114)</f>
        <v>50450.720000000001</v>
      </c>
      <c r="P114" s="8">
        <f t="shared" si="47"/>
        <v>50450.720000000001</v>
      </c>
      <c r="Q114" s="8">
        <f>CEO!Q114+CS!Q114+CFO!Q114+LLA!Q114+'C&amp;E'!Q114+CES!Q114+LLT!Q114+GB!Q114</f>
        <v>50450.720000000001</v>
      </c>
      <c r="R114" s="8">
        <f t="shared" ref="R114:R125" si="82">Q114-P114</f>
        <v>0</v>
      </c>
      <c r="S114" s="8">
        <v>344198</v>
      </c>
      <c r="T114" s="8">
        <f>CEO!T114+CS!T114+CFO!T114+LLA!T114+'C&amp;E'!T114+CES!T114+LLT!T114+GB!T114</f>
        <v>455888</v>
      </c>
      <c r="U114" s="8">
        <f t="shared" si="49"/>
        <v>850536.72</v>
      </c>
      <c r="V114" s="8">
        <f t="shared" si="48"/>
        <v>800086</v>
      </c>
      <c r="W114" s="8"/>
      <c r="X114" s="8">
        <f>CEO!Q114+CS!Q114+CFO!Q114+LLA!Q114+'C&amp;E'!Q114+CES!Q114+LLT!Q114+GB!Q114</f>
        <v>50450.720000000001</v>
      </c>
      <c r="Y114" s="8">
        <f>(X114-Q114)+306469</f>
        <v>306469</v>
      </c>
      <c r="Z114" s="8">
        <v>50450.465351719999</v>
      </c>
      <c r="AA114" s="8">
        <f>(Z114*(1+AA$3))</f>
        <v>52821.637223250837</v>
      </c>
      <c r="AC114" s="295">
        <f t="shared" si="62"/>
        <v>0.25464828000258422</v>
      </c>
    </row>
    <row r="115" spans="1:29" x14ac:dyDescent="0.3">
      <c r="A115" s="7">
        <f>CEO!A115+CS!A115+CFO!A115+LLA!A115+'C&amp;E'!A115+CES!A115+LLT!A115+GB!A115</f>
        <v>0</v>
      </c>
      <c r="B115" s="7">
        <f>CEO!B115+CS!B115+CFO!B115+LLA!B115+'C&amp;E'!B115+CES!B115+LLT!B115+GB!B115</f>
        <v>0</v>
      </c>
      <c r="C115" s="7">
        <f>CEO!C115+CS!C115+CFO!C115+LLA!C115+'C&amp;E'!C115+CES!C115+LLT!C115+GB!C115</f>
        <v>0</v>
      </c>
      <c r="D115" s="7">
        <f>CEO!D115+CS!D115+CFO!D115+LLA!D115+'C&amp;E'!D115+CES!D115+LLT!D115+GB!D115</f>
        <v>0</v>
      </c>
      <c r="E115" s="7">
        <f>CEO!E115+CS!E115+CFO!E115+LLA!E115+'C&amp;E'!E115+CES!E115+LLT!E115+GB!E115</f>
        <v>0</v>
      </c>
      <c r="F115" s="7">
        <f>CEO!F115+CS!F115+CFO!F115+LLA!F115+'C&amp;E'!F115+CES!F115+LLT!F115+GB!F115</f>
        <v>0</v>
      </c>
      <c r="G115" s="7">
        <f>CEO!G115+CS!G115+CFO!G115+LLA!G115+'C&amp;E'!G115+CES!G115+LLT!G115+GB!G115</f>
        <v>0</v>
      </c>
      <c r="H115" s="7">
        <f>CEO!H115+CS!H115+CFO!H115+LLA!H115+'C&amp;E'!H115+CES!H115+LLT!H115+GB!H115</f>
        <v>0</v>
      </c>
      <c r="I115" s="7">
        <f>CEO!I115+CS!I115+CFO!I115+LLA!I115+'C&amp;E'!I115+CES!I115+LLT!I115+GB!I115</f>
        <v>0</v>
      </c>
      <c r="J115" s="7">
        <f>CEO!J115+CS!J115+CFO!J115+LLA!J115+'C&amp;E'!J115+CES!J115+LLT!J115+GB!J115</f>
        <v>0</v>
      </c>
      <c r="K115" s="7">
        <f>CEO!K115+CS!K115+CFO!K115+LLA!K115+'C&amp;E'!K115+CES!K115+LLT!K115+GB!K115</f>
        <v>58233</v>
      </c>
      <c r="L115" s="7">
        <v>0</v>
      </c>
      <c r="M115" s="13" t="s">
        <v>492</v>
      </c>
      <c r="N115" s="7">
        <f t="shared" si="80"/>
        <v>0</v>
      </c>
      <c r="O115" s="7">
        <f t="shared" si="81"/>
        <v>58233</v>
      </c>
      <c r="P115" s="7">
        <f t="shared" si="47"/>
        <v>58233</v>
      </c>
      <c r="Q115" s="7">
        <f>CEO!Q115+CS!Q115+CFO!Q115+LLA!Q115+'C&amp;E'!Q115+CES!Q115+LLT!Q115+GB!Q115</f>
        <v>58233</v>
      </c>
      <c r="R115" s="7">
        <f t="shared" si="82"/>
        <v>0</v>
      </c>
      <c r="S115" s="7">
        <v>0</v>
      </c>
      <c r="T115" s="7">
        <f>CEO!T115+CS!T115+CFO!T115+LLA!T115+'C&amp;E'!T115+CES!T115+LLT!T115+GB!T115</f>
        <v>10280</v>
      </c>
      <c r="U115" s="7">
        <f t="shared" si="49"/>
        <v>68513</v>
      </c>
      <c r="V115" s="7">
        <f t="shared" si="48"/>
        <v>10280</v>
      </c>
      <c r="W115" s="7"/>
      <c r="X115" s="7">
        <f>CEO!Q115+CS!Q115+CFO!Q115+LLA!Q115+'C&amp;E'!Q115+CES!Q115+LLT!Q115+GB!Q115</f>
        <v>58233</v>
      </c>
      <c r="Y115" s="7">
        <f t="shared" ref="Y115:Y125" si="83">X115-Q115</f>
        <v>0</v>
      </c>
      <c r="Z115" s="7">
        <v>58233</v>
      </c>
      <c r="AA115" s="7">
        <f>200000-59471</f>
        <v>140529</v>
      </c>
      <c r="AC115" s="295">
        <f>Q115-Z115</f>
        <v>0</v>
      </c>
    </row>
    <row r="116" spans="1:29" x14ac:dyDescent="0.3">
      <c r="A116" s="7">
        <f>CEO!A116+CS!A116+CFO!A116+LLA!A116+'C&amp;E'!A116+CES!A116+LLT!A116+GB!A116</f>
        <v>0</v>
      </c>
      <c r="B116" s="7">
        <f>CEO!B116+CS!B116+CFO!B116+LLA!B116+'C&amp;E'!B116+CES!B116+LLT!B116+GB!B116</f>
        <v>0</v>
      </c>
      <c r="C116" s="7">
        <f>CEO!C116+CS!C116+CFO!C116+LLA!C116+'C&amp;E'!C116+CES!C116+LLT!C116+GB!C116</f>
        <v>0</v>
      </c>
      <c r="D116" s="7">
        <f>CEO!D116+CS!D116+CFO!D116+LLA!D116+'C&amp;E'!D116+CES!D116+LLT!D116+GB!D116</f>
        <v>0</v>
      </c>
      <c r="E116" s="7">
        <f>CEO!E116+CS!E116+CFO!E116+LLA!E116+'C&amp;E'!E116+CES!E116+LLT!E116+GB!E116</f>
        <v>0</v>
      </c>
      <c r="F116" s="7">
        <f>CEO!F116+CS!F116+CFO!F116+LLA!F116+'C&amp;E'!F116+CES!F116+LLT!F116+GB!F116</f>
        <v>0</v>
      </c>
      <c r="G116" s="7">
        <f>CEO!G116+CS!G116+CFO!G116+LLA!G116+'C&amp;E'!G116+CES!G116+LLT!G116+GB!G116</f>
        <v>0</v>
      </c>
      <c r="H116" s="7">
        <f>CEO!H116+CS!H116+CFO!H116+LLA!H116+'C&amp;E'!H116+CES!H116+LLT!H116+GB!H116</f>
        <v>0</v>
      </c>
      <c r="I116" s="7">
        <f>CEO!I116+CS!I116+CFO!I116+LLA!I116+'C&amp;E'!I116+CES!I116+LLT!I116+GB!I116</f>
        <v>0</v>
      </c>
      <c r="J116" s="7">
        <f>CEO!J116+CS!J116+CFO!J116+LLA!J116+'C&amp;E'!J116+CES!J116+LLT!J116+GB!J116</f>
        <v>0</v>
      </c>
      <c r="K116" s="7">
        <f>CEO!K116+CS!K116+CFO!K116+LLA!K116+'C&amp;E'!K116+CES!K116+LLT!K116+GB!K116</f>
        <v>0</v>
      </c>
      <c r="L116" s="7">
        <f>CEO!L116+CS!L116+CFO!L116+LLA!L116+'C&amp;E'!L116+CES!L116+LLT!L116+GB!L116</f>
        <v>0</v>
      </c>
      <c r="M116" s="13" t="s">
        <v>493</v>
      </c>
      <c r="N116" s="7">
        <f t="shared" si="80"/>
        <v>0</v>
      </c>
      <c r="O116" s="7">
        <f t="shared" si="81"/>
        <v>0</v>
      </c>
      <c r="P116" s="7">
        <f t="shared" si="47"/>
        <v>0</v>
      </c>
      <c r="Q116" s="7">
        <f>CEO!Q116+CS!Q116+CFO!Q116+LLA!Q116+'C&amp;E'!Q116+CES!Q116+LLT!Q116+GB!Q116</f>
        <v>0</v>
      </c>
      <c r="R116" s="7">
        <f t="shared" si="82"/>
        <v>0</v>
      </c>
      <c r="S116" s="7">
        <v>0</v>
      </c>
      <c r="T116" s="7">
        <f>CEO!T116+CS!T116+CFO!T116+LLA!T116+'C&amp;E'!T116+CES!T116+LLT!T116+GB!T116</f>
        <v>0</v>
      </c>
      <c r="U116" s="7">
        <f t="shared" si="49"/>
        <v>0</v>
      </c>
      <c r="V116" s="7">
        <f t="shared" si="48"/>
        <v>0</v>
      </c>
      <c r="W116" s="7"/>
      <c r="X116" s="7">
        <f>CEO!Q116+CS!Q116+CFO!Q116+LLA!Q116+'C&amp;E'!Q116+CES!Q116+LLT!Q116+GB!Q116</f>
        <v>0</v>
      </c>
      <c r="Y116" s="7">
        <f t="shared" si="83"/>
        <v>0</v>
      </c>
      <c r="Z116" s="7">
        <v>0</v>
      </c>
      <c r="AA116" s="7">
        <f t="shared" ref="AA116:AA125" si="84">Z116*(1+AA$3)</f>
        <v>0</v>
      </c>
      <c r="AC116" s="295">
        <f t="shared" si="62"/>
        <v>0</v>
      </c>
    </row>
    <row r="117" spans="1:29" x14ac:dyDescent="0.3">
      <c r="A117" s="7">
        <f>CEO!A117+CS!A117+CFO!A117+LLA!A117+'C&amp;E'!A117+CES!A117+LLT!A117+GB!A117</f>
        <v>0</v>
      </c>
      <c r="B117" s="7">
        <f>CEO!B117+CS!B117+CFO!B117+LLA!B117+'C&amp;E'!B117+CES!B117+LLT!B117+GB!B117</f>
        <v>0</v>
      </c>
      <c r="C117" s="7">
        <f>CEO!C117+CS!C117+CFO!C117+LLA!C117+'C&amp;E'!C117+CES!C117+LLT!C117+GB!C117</f>
        <v>0</v>
      </c>
      <c r="D117" s="7">
        <f>CEO!D117+CS!D117+CFO!D117+LLA!D117+'C&amp;E'!D117+CES!D117+LLT!D117+GB!D117</f>
        <v>0</v>
      </c>
      <c r="E117" s="7">
        <f>CEO!E117+CS!E117+CFO!E117+LLA!E117+'C&amp;E'!E117+CES!E117+LLT!E117+GB!E117</f>
        <v>0</v>
      </c>
      <c r="F117" s="7">
        <f>CEO!F117+CS!F117+CFO!F117+LLA!F117+'C&amp;E'!F117+CES!F117+LLT!F117+GB!F117</f>
        <v>0</v>
      </c>
      <c r="G117" s="7">
        <f>CEO!G117+CS!G117+CFO!G117+LLA!G117+'C&amp;E'!G117+CES!G117+LLT!G117+GB!G117</f>
        <v>0</v>
      </c>
      <c r="H117" s="7">
        <f>CEO!H117+CS!H117+CFO!H117+LLA!H117+'C&amp;E'!H117+CES!H117+LLT!H117+GB!H117</f>
        <v>0</v>
      </c>
      <c r="I117" s="7">
        <f>CEO!I117+CS!I117+CFO!I117+LLA!I117+'C&amp;E'!I117+CES!I117+LLT!I117+GB!I117</f>
        <v>0</v>
      </c>
      <c r="J117" s="7">
        <f>CEO!J117+CS!J117+CFO!J117+LLA!J117+'C&amp;E'!J117+CES!J117+LLT!J117+GB!J117</f>
        <v>0</v>
      </c>
      <c r="K117" s="7">
        <f>CEO!K117+CS!K117+CFO!K117+LLA!K117+'C&amp;E'!K117+CES!K117+LLT!K117+GB!K117</f>
        <v>0</v>
      </c>
      <c r="L117" s="7">
        <f>CEO!L117+CS!L117+CFO!L117+LLA!L117+'C&amp;E'!L117+CES!L117+LLT!L117+GB!L117</f>
        <v>0</v>
      </c>
      <c r="M117" s="390" t="s">
        <v>494</v>
      </c>
      <c r="N117" s="7">
        <f t="shared" si="80"/>
        <v>0</v>
      </c>
      <c r="O117" s="7">
        <f t="shared" si="81"/>
        <v>0</v>
      </c>
      <c r="P117" s="7">
        <f t="shared" si="47"/>
        <v>0</v>
      </c>
      <c r="Q117" s="7">
        <f>CEO!Q117+CS!Q117+CFO!Q117+LLA!Q117+'C&amp;E'!Q117+CES!Q117+LLT!Q117+GB!Q117</f>
        <v>0</v>
      </c>
      <c r="R117" s="7">
        <f t="shared" si="82"/>
        <v>0</v>
      </c>
      <c r="S117" s="7">
        <v>0</v>
      </c>
      <c r="T117" s="7">
        <f>CEO!T117+CS!T117+CFO!T117+LLA!T117+'C&amp;E'!T117+CES!T117+LLT!T117+GB!T117</f>
        <v>46958</v>
      </c>
      <c r="U117" s="7">
        <f t="shared" si="49"/>
        <v>46958</v>
      </c>
      <c r="V117" s="7">
        <f t="shared" si="48"/>
        <v>46958</v>
      </c>
      <c r="W117" s="7"/>
      <c r="X117" s="7">
        <f>CEO!Q117+CS!Q117+CFO!Q117+LLA!Q117+'C&amp;E'!Q117+CES!Q117+LLT!Q117+GB!Q117</f>
        <v>0</v>
      </c>
      <c r="Y117" s="7">
        <f t="shared" si="83"/>
        <v>0</v>
      </c>
      <c r="Z117" s="7">
        <v>0</v>
      </c>
      <c r="AA117" s="7">
        <f t="shared" si="84"/>
        <v>0</v>
      </c>
      <c r="AC117" s="295">
        <f t="shared" si="62"/>
        <v>0</v>
      </c>
    </row>
    <row r="118" spans="1:29" x14ac:dyDescent="0.3">
      <c r="A118" s="7">
        <f>CEO!A118+CS!A118+CFO!A118+LLA!A118+'C&amp;E'!A118+CES!A118+LLT!A118+GB!A118</f>
        <v>0</v>
      </c>
      <c r="B118" s="7">
        <f>CEO!B118+CS!B118+CFO!B118+LLA!B118+'C&amp;E'!B118+CES!B118+LLT!B118+GB!B118</f>
        <v>0</v>
      </c>
      <c r="C118" s="7">
        <f>CEO!C118+CS!C118+CFO!C118+LLA!C118+'C&amp;E'!C118+CES!C118+LLT!C118+GB!C118</f>
        <v>0</v>
      </c>
      <c r="D118" s="7">
        <f>CEO!D118+CS!D118+CFO!D118+LLA!D118+'C&amp;E'!D118+CES!D118+LLT!D118+GB!D118</f>
        <v>0</v>
      </c>
      <c r="E118" s="7">
        <f>CEO!E118+CS!E118+CFO!E118+LLA!E118+'C&amp;E'!E118+CES!E118+LLT!E118+GB!E118</f>
        <v>0</v>
      </c>
      <c r="F118" s="7">
        <f>CEO!F118+CS!F118+CFO!F118+LLA!F118+'C&amp;E'!F118+CES!F118+LLT!F118+GB!F118</f>
        <v>0</v>
      </c>
      <c r="G118" s="7">
        <f>CEO!G118+CS!G118+CFO!G118+LLA!G118+'C&amp;E'!G118+CES!G118+LLT!G118+GB!G118</f>
        <v>0</v>
      </c>
      <c r="H118" s="7">
        <f>CEO!H118+CS!H118+CFO!H118+LLA!H118+'C&amp;E'!H118+CES!H118+LLT!H118+GB!H118</f>
        <v>0</v>
      </c>
      <c r="I118" s="7">
        <f>CEO!I118+CS!I118+CFO!I118+LLA!I118+'C&amp;E'!I118+CES!I118+LLT!I118+GB!I118</f>
        <v>0</v>
      </c>
      <c r="J118" s="7">
        <f>CEO!J118+CS!J118+CFO!J118+LLA!J118+'C&amp;E'!J118+CES!J118+LLT!J118+GB!J118</f>
        <v>0</v>
      </c>
      <c r="K118" s="7">
        <f>CEO!K118+CS!K118+CFO!K118+LLA!K118+'C&amp;E'!K118+CES!K118+LLT!K118+GB!K118</f>
        <v>0</v>
      </c>
      <c r="L118" s="7">
        <f>CEO!L118+CS!L118+CFO!L118+LLA!L118+'C&amp;E'!L118+CES!L118+LLT!L118+GB!L118</f>
        <v>0</v>
      </c>
      <c r="M118" s="13" t="s">
        <v>495</v>
      </c>
      <c r="N118" s="7">
        <f t="shared" si="80"/>
        <v>0</v>
      </c>
      <c r="O118" s="7">
        <f t="shared" si="81"/>
        <v>0</v>
      </c>
      <c r="P118" s="7">
        <f t="shared" si="47"/>
        <v>0</v>
      </c>
      <c r="Q118" s="7">
        <f>CEO!Q118+CS!Q118+CFO!Q118+LLA!Q118+'C&amp;E'!Q118+CES!Q118+LLT!Q118+GB!Q118</f>
        <v>0</v>
      </c>
      <c r="R118" s="7">
        <f t="shared" si="82"/>
        <v>0</v>
      </c>
      <c r="S118" s="7">
        <v>0.23500000000058208</v>
      </c>
      <c r="T118" s="7">
        <f>CEO!T118+CS!T118+CFO!T118+LLA!T118+'C&amp;E'!T118+CES!T118+LLT!T118+GB!T118</f>
        <v>0</v>
      </c>
      <c r="U118" s="7">
        <f t="shared" si="49"/>
        <v>0.23500000000058208</v>
      </c>
      <c r="V118" s="7">
        <f t="shared" si="48"/>
        <v>0.23500000000058208</v>
      </c>
      <c r="W118" s="7"/>
      <c r="X118" s="7">
        <f>CEO!Q118+CS!Q118+CFO!Q118+LLA!Q118+'C&amp;E'!Q118+CES!Q118+LLT!Q118+GB!Q118</f>
        <v>0</v>
      </c>
      <c r="Y118" s="7">
        <f t="shared" si="83"/>
        <v>0</v>
      </c>
      <c r="Z118" s="7">
        <v>0</v>
      </c>
      <c r="AA118" s="7">
        <f t="shared" si="84"/>
        <v>0</v>
      </c>
      <c r="AC118" s="295">
        <f t="shared" si="62"/>
        <v>0</v>
      </c>
    </row>
    <row r="119" spans="1:29" x14ac:dyDescent="0.3">
      <c r="A119" s="7">
        <f>CEO!A119+CS!A119+CFO!A119+LLA!A119+'C&amp;E'!A119+CES!A119+LLT!A119+GB!A119</f>
        <v>47820</v>
      </c>
      <c r="B119" s="7">
        <f>CEO!B119+CS!B119+CFO!B119+LLA!B119+'C&amp;E'!B119+CES!B119+LLT!B119+GB!B119</f>
        <v>47820</v>
      </c>
      <c r="C119" s="7">
        <f>CEO!C119+CS!C119+CFO!C119+LLA!C119+'C&amp;E'!C119+CES!C119+LLT!C119+GB!C119</f>
        <v>47820</v>
      </c>
      <c r="D119" s="7">
        <f>CEO!D119+CS!D119+CFO!D119+LLA!D119+'C&amp;E'!D119+CES!D119+LLT!D119+GB!D119</f>
        <v>47820</v>
      </c>
      <c r="E119" s="7">
        <f>CEO!E119+CS!E119+CFO!E119+LLA!E119+'C&amp;E'!E119+CES!E119+LLT!E119+GB!E119</f>
        <v>47820</v>
      </c>
      <c r="F119" s="7">
        <f>CEO!F119+CS!F119+CFO!F119+LLA!F119+'C&amp;E'!F119+CES!F119+LLT!F119+GB!F119</f>
        <v>47820</v>
      </c>
      <c r="G119" s="7">
        <f>CEO!G119+CS!G119+CFO!G119+LLA!G119+'C&amp;E'!G119+CES!G119+LLT!G119+GB!G119</f>
        <v>47820</v>
      </c>
      <c r="H119" s="7">
        <f>CEO!H119+CS!H119+CFO!H119+LLA!H119+'C&amp;E'!H119+CES!H119+LLT!H119+GB!H119</f>
        <v>47820</v>
      </c>
      <c r="I119" s="7">
        <f>CEO!I119+CS!I119+CFO!I119+LLA!I119+'C&amp;E'!I119+CES!I119+LLT!I119+GB!I119</f>
        <v>47820</v>
      </c>
      <c r="J119" s="7">
        <f>CEO!J119+CS!J119+CFO!J119+LLA!J119+'C&amp;E'!J119+CES!J119+LLT!J119+GB!J119</f>
        <v>47820</v>
      </c>
      <c r="K119" s="7">
        <f>CEO!K119+CS!K119+CFO!K119+LLA!K119+'C&amp;E'!K119+CES!K119+LLT!K119+GB!K119</f>
        <v>47820</v>
      </c>
      <c r="L119" s="7">
        <f>CEO!L119+CS!L119+CFO!L119+LLA!L119+'C&amp;E'!L119+CES!L119+LLT!L119+GB!L119</f>
        <v>47820</v>
      </c>
      <c r="M119" s="13" t="s">
        <v>496</v>
      </c>
      <c r="N119" s="7">
        <f t="shared" si="80"/>
        <v>0</v>
      </c>
      <c r="O119" s="7">
        <f t="shared" si="81"/>
        <v>573840</v>
      </c>
      <c r="P119" s="7">
        <f t="shared" si="47"/>
        <v>573840</v>
      </c>
      <c r="Q119" s="7">
        <f>CEO!Q119+CS!Q119+CFO!Q119+LLA!Q119+'C&amp;E'!Q119+CES!Q119+LLT!Q119+GB!Q119</f>
        <v>573840</v>
      </c>
      <c r="R119" s="7">
        <f t="shared" si="82"/>
        <v>0</v>
      </c>
      <c r="S119" s="7">
        <v>-37729</v>
      </c>
      <c r="T119" s="7">
        <f>CEO!T119+CS!T119+CFO!T119+LLA!T119+'C&amp;E'!T119+CES!T119+LLT!T119+GB!T119</f>
        <v>414418</v>
      </c>
      <c r="U119" s="7">
        <f t="shared" si="49"/>
        <v>950529</v>
      </c>
      <c r="V119" s="7">
        <f t="shared" si="48"/>
        <v>376689</v>
      </c>
      <c r="W119" s="7"/>
      <c r="X119" s="7">
        <f>CEO!Q119+CS!Q119+CFO!Q119+LLA!Q119+'C&amp;E'!Q119+CES!Q119+LLT!Q119+GB!Q119</f>
        <v>573840</v>
      </c>
      <c r="Y119" s="7">
        <f t="shared" si="83"/>
        <v>0</v>
      </c>
      <c r="Z119" s="7">
        <v>573840.44863999996</v>
      </c>
      <c r="AA119" s="7">
        <f t="shared" si="84"/>
        <v>600810.94972607994</v>
      </c>
      <c r="AC119" s="295">
        <f t="shared" si="62"/>
        <v>-0.44863999995868653</v>
      </c>
    </row>
    <row r="120" spans="1:29" x14ac:dyDescent="0.3">
      <c r="A120" s="7">
        <f>CEO!A120+CS!A120+CFO!A120+LLA!A120+'C&amp;E'!A120+CES!A120+LLT!A120+GB!A120</f>
        <v>0</v>
      </c>
      <c r="B120" s="7">
        <f>CEO!B120+CS!B120+CFO!B120+LLA!B120+'C&amp;E'!B120+CES!B120+LLT!B120+GB!B120</f>
        <v>0</v>
      </c>
      <c r="C120" s="7">
        <f>CEO!C120+CS!C120+CFO!C120+LLA!C120+'C&amp;E'!C120+CES!C120+LLT!C120+GB!C120</f>
        <v>0</v>
      </c>
      <c r="D120" s="7">
        <f>CEO!D120+CS!D120+CFO!D120+LLA!D120+'C&amp;E'!D120+CES!D120+LLT!D120+GB!D120</f>
        <v>0</v>
      </c>
      <c r="E120" s="7"/>
      <c r="F120" s="7"/>
      <c r="G120" s="7"/>
      <c r="H120" s="7"/>
      <c r="I120" s="7">
        <f>CEO!I120+CS!I120+CFO!I120+LLA!I120+'C&amp;E'!I120+CES!I120+LLT!I120+GB!I120</f>
        <v>0</v>
      </c>
      <c r="J120" s="7">
        <f>CEO!J120+CS!J120+CFO!J120+LLA!J120+'C&amp;E'!J120+CES!J120+LLT!J120+GB!J120</f>
        <v>0</v>
      </c>
      <c r="K120" s="7">
        <f>CEO!K120+CS!K120+CFO!K120+LLA!K120+'C&amp;E'!K120+CES!K120+LLT!K120+GB!K120</f>
        <v>0</v>
      </c>
      <c r="L120" s="7">
        <f>CEO!L120+CS!L120+CFO!L120+LLA!L120+'C&amp;E'!L120+CES!L120+LLT!L120+GB!L120</f>
        <v>0</v>
      </c>
      <c r="M120" s="390" t="s">
        <v>497</v>
      </c>
      <c r="N120" s="7">
        <f t="shared" si="80"/>
        <v>0</v>
      </c>
      <c r="O120" s="7">
        <f t="shared" si="81"/>
        <v>0</v>
      </c>
      <c r="P120" s="7">
        <f t="shared" si="47"/>
        <v>0</v>
      </c>
      <c r="Q120" s="7">
        <f>CEO!Q120+CS!Q120+CFO!Q120+LLA!Q120+'C&amp;E'!Q120+CES!Q120+LLT!Q120+GB!Q120</f>
        <v>0</v>
      </c>
      <c r="R120" s="7">
        <f t="shared" si="82"/>
        <v>0</v>
      </c>
      <c r="S120" s="7">
        <v>0</v>
      </c>
      <c r="T120" s="7">
        <f>CEO!T120+CS!T120+CFO!T120+LLA!T120+'C&amp;E'!T120+CES!T120+LLT!T120+GB!T120</f>
        <v>0</v>
      </c>
      <c r="U120" s="7">
        <f t="shared" si="49"/>
        <v>0</v>
      </c>
      <c r="V120" s="7">
        <f t="shared" si="48"/>
        <v>0</v>
      </c>
      <c r="W120" s="7"/>
      <c r="X120" s="7">
        <f>CEO!Q120+CS!Q120+CFO!Q120+LLA!Q120+'C&amp;E'!Q120+CES!Q120+LLT!Q120+GB!Q120</f>
        <v>0</v>
      </c>
      <c r="Y120" s="7">
        <f t="shared" si="83"/>
        <v>0</v>
      </c>
      <c r="Z120" s="7">
        <v>0</v>
      </c>
      <c r="AA120" s="7">
        <f t="shared" si="84"/>
        <v>0</v>
      </c>
      <c r="AC120" s="295">
        <f t="shared" si="62"/>
        <v>0</v>
      </c>
    </row>
    <row r="121" spans="1:29" x14ac:dyDescent="0.3">
      <c r="A121" s="7">
        <f>CEO!A121+CS!A121+CFO!A121+LLA!A121+'C&amp;E'!A121+CES!A121+LLT!A121+GB!A121</f>
        <v>0</v>
      </c>
      <c r="B121" s="7">
        <f>CEO!B121+CS!B121+CFO!B121+LLA!B121+'C&amp;E'!B121+CES!B121+LLT!B121+GB!B121</f>
        <v>0</v>
      </c>
      <c r="C121" s="7">
        <f>CEO!C121+CS!C121+CFO!C121+LLA!C121+'C&amp;E'!C121+CES!C121+LLT!C121+GB!C121</f>
        <v>0</v>
      </c>
      <c r="D121" s="7">
        <f>CEO!D121+CS!D121+CFO!D121+LLA!D121+'C&amp;E'!D121+CES!D121+LLT!D121+GB!D121</f>
        <v>0</v>
      </c>
      <c r="E121" s="7"/>
      <c r="F121" s="7"/>
      <c r="G121" s="7"/>
      <c r="H121" s="7"/>
      <c r="I121" s="7">
        <f>CEO!I121+CS!I121+CFO!I121+LLA!I121+'C&amp;E'!I121+CES!I121+LLT!I121+GB!I121</f>
        <v>0</v>
      </c>
      <c r="J121" s="7">
        <f>CEO!J121+CS!J121+CFO!J121+LLA!J121+'C&amp;E'!J121+CES!J121+LLT!J121+GB!J121</f>
        <v>0</v>
      </c>
      <c r="K121" s="7">
        <f>CEO!K121+CS!K121+CFO!K121+LLA!K121+'C&amp;E'!K121+CES!K121+LLT!K121+GB!K121</f>
        <v>0</v>
      </c>
      <c r="L121" s="7">
        <f>CEO!L121+CS!L121+CFO!L121+LLA!L121+'C&amp;E'!L121+CES!L121+LLT!L121+GB!L121</f>
        <v>0</v>
      </c>
      <c r="M121" s="13" t="s">
        <v>498</v>
      </c>
      <c r="N121" s="7">
        <f t="shared" si="80"/>
        <v>0</v>
      </c>
      <c r="O121" s="7">
        <f t="shared" si="81"/>
        <v>0</v>
      </c>
      <c r="P121" s="7">
        <f t="shared" si="47"/>
        <v>0</v>
      </c>
      <c r="Q121" s="7">
        <f>CEO!Q121+CS!Q121+CFO!Q121+LLA!Q121+'C&amp;E'!Q121+CES!Q121+LLT!Q121+GB!Q121</f>
        <v>0</v>
      </c>
      <c r="R121" s="7">
        <f t="shared" si="82"/>
        <v>0</v>
      </c>
      <c r="S121" s="7">
        <v>0</v>
      </c>
      <c r="T121" s="7">
        <f>CEO!T121+CS!T121+CFO!T121+LLA!T121+'C&amp;E'!T121+CES!T121+LLT!T121+GB!T121</f>
        <v>0</v>
      </c>
      <c r="U121" s="7">
        <f t="shared" si="49"/>
        <v>0</v>
      </c>
      <c r="V121" s="7">
        <f t="shared" si="48"/>
        <v>0</v>
      </c>
      <c r="W121" s="7"/>
      <c r="X121" s="7">
        <f>CEO!Q121+CS!Q121+CFO!Q121+LLA!Q121+'C&amp;E'!Q121+CES!Q121+LLT!Q121+GB!Q121</f>
        <v>0</v>
      </c>
      <c r="Y121" s="7">
        <f t="shared" si="83"/>
        <v>0</v>
      </c>
      <c r="Z121" s="7">
        <v>0</v>
      </c>
      <c r="AA121" s="7">
        <f t="shared" si="84"/>
        <v>0</v>
      </c>
      <c r="AC121" s="295">
        <f t="shared" si="62"/>
        <v>0</v>
      </c>
    </row>
    <row r="122" spans="1:29" x14ac:dyDescent="0.3">
      <c r="A122" s="7">
        <f>CEO!A122+CS!A122+CFO!A122+LLA!A122+'C&amp;E'!A122+CES!A122+LLT!A122+GB!A122</f>
        <v>31699.904000000002</v>
      </c>
      <c r="B122" s="7">
        <f>CEO!B122+CS!B122+CFO!B122+LLA!B122+'C&amp;E'!B122+CES!B122+LLT!B122+GB!B122</f>
        <v>31699.904000000002</v>
      </c>
      <c r="C122" s="7">
        <f>CEO!C122+CS!C122+CFO!C122+LLA!C122+'C&amp;E'!C122+CES!C122+LLT!C122+GB!C122</f>
        <v>31699.904000000002</v>
      </c>
      <c r="D122" s="7">
        <f>CEO!D122+CS!D122+CFO!D122+LLA!D122+'C&amp;E'!D122+CES!D122+LLT!D122+GB!D122</f>
        <v>31699.904000000002</v>
      </c>
      <c r="E122" s="7">
        <f>CEO!E122+CS!E122+CFO!E122+LLA!E122+'C&amp;E'!E122+CES!E122+LLT!E122+GB!E122</f>
        <v>31699.904000000002</v>
      </c>
      <c r="F122" s="7">
        <f>CEO!F122+CS!F122+CFO!F122+LLA!F122+'C&amp;E'!F122+CES!F122+LLT!F122+GB!F122</f>
        <v>31699.904000000002</v>
      </c>
      <c r="G122" s="7">
        <f>CEO!G122+CS!G122+CFO!G122+LLA!G122+'C&amp;E'!G122+CES!G122+LLT!G122+GB!G122</f>
        <v>31699.904000000002</v>
      </c>
      <c r="H122" s="7">
        <f>CEO!H122+CS!H122+CFO!H122+LLA!H122+'C&amp;E'!H122+CES!H122+LLT!H122+GB!H122</f>
        <v>31699.904000000002</v>
      </c>
      <c r="I122" s="7">
        <f>CEO!I122+CS!I122+CFO!I122+LLA!I122+'C&amp;E'!I122+CES!I122+LLT!I122+GB!I122</f>
        <v>31699.904000000002</v>
      </c>
      <c r="J122" s="7">
        <f>CEO!J122+CS!J122+CFO!J122+LLA!J122+'C&amp;E'!J122+CES!J122+LLT!J122+GB!J122</f>
        <v>31699.904000000002</v>
      </c>
      <c r="K122" s="7">
        <f>CEO!K122+CS!K122+CFO!K122+LLA!K122+'C&amp;E'!K122+CES!K122+LLT!K122+GB!K122</f>
        <v>31699.904000000002</v>
      </c>
      <c r="L122" s="7">
        <f>CEO!L122+CS!L122+CFO!L122+LLA!L122+'C&amp;E'!L122+CES!L122+LLT!L122+GB!L122</f>
        <v>31695.904000000002</v>
      </c>
      <c r="M122" s="13" t="s">
        <v>499</v>
      </c>
      <c r="N122" s="7">
        <f t="shared" si="80"/>
        <v>0</v>
      </c>
      <c r="O122" s="7">
        <f t="shared" si="81"/>
        <v>380394.848</v>
      </c>
      <c r="P122" s="7">
        <f t="shared" si="47"/>
        <v>380394.848</v>
      </c>
      <c r="Q122" s="7">
        <f>CEO!Q122+CS!Q122+CFO!Q122+LLA!Q122+'C&amp;E'!Q122+CES!Q122+LLT!Q122+GB!Q122</f>
        <v>380394.848</v>
      </c>
      <c r="R122" s="7">
        <f t="shared" si="82"/>
        <v>0</v>
      </c>
      <c r="S122" s="7">
        <v>-198733</v>
      </c>
      <c r="T122" s="7">
        <f>CEO!T122+CS!T122+CFO!T122+LLA!T122+'C&amp;E'!T122+CES!T122+LLT!T122+GB!T122</f>
        <v>13564</v>
      </c>
      <c r="U122" s="7">
        <f t="shared" si="49"/>
        <v>195225.848</v>
      </c>
      <c r="V122" s="7">
        <f t="shared" si="48"/>
        <v>-185169</v>
      </c>
      <c r="W122" s="7"/>
      <c r="X122" s="7">
        <f>CEO!Q122+CS!Q122+CFO!Q122+LLA!Q122+'C&amp;E'!Q122+CES!Q122+LLT!Q122+GB!Q122</f>
        <v>380394.848</v>
      </c>
      <c r="Y122" s="7">
        <f t="shared" si="83"/>
        <v>0</v>
      </c>
      <c r="Z122" s="7">
        <v>380395.07520000002</v>
      </c>
      <c r="AA122" s="7">
        <f t="shared" si="84"/>
        <v>398273.64373439999</v>
      </c>
      <c r="AC122" s="295">
        <f t="shared" si="62"/>
        <v>-0.22720000002300367</v>
      </c>
    </row>
    <row r="123" spans="1:29" x14ac:dyDescent="0.3">
      <c r="A123" s="7">
        <f>CEO!A123+CS!A123+CFO!A123+LLA!A123+'C&amp;E'!A123+CES!A123+LLT!A123+GB!A123</f>
        <v>105337.62400000001</v>
      </c>
      <c r="B123" s="7">
        <f>CEO!B123+CS!B123+CFO!B123+LLA!B123+'C&amp;E'!B123+CES!B123+LLT!B123+GB!B123</f>
        <v>105337.62400000001</v>
      </c>
      <c r="C123" s="7">
        <f>CEO!C123+CS!C123+CFO!C123+LLA!C123+'C&amp;E'!C123+CES!C123+LLT!C123+GB!C123</f>
        <v>105337.62400000001</v>
      </c>
      <c r="D123" s="7">
        <f>CEO!D123+CS!D123+CFO!D123+LLA!D123+'C&amp;E'!D123+CES!D123+LLT!D123+GB!D123</f>
        <v>105337.62400000001</v>
      </c>
      <c r="E123" s="7">
        <f>CEO!E123+CS!E123+CFO!E123+LLA!E123+'C&amp;E'!E123+CES!E123+LLT!E123+GB!E123</f>
        <v>105337.62400000001</v>
      </c>
      <c r="F123" s="7">
        <f>CEO!F123+CS!F123+CFO!F123+LLA!F123+'C&amp;E'!F123+CES!F123+LLT!F123+GB!F123</f>
        <v>105337.62400000001</v>
      </c>
      <c r="G123" s="7">
        <f>CEO!G123+CS!G123+CFO!G123+LLA!G123+'C&amp;E'!G123+CES!G123+LLT!G123+GB!G123</f>
        <v>105337.62400000001</v>
      </c>
      <c r="H123" s="7">
        <f>CEO!H123+CS!H123+CFO!H123+LLA!H123+'C&amp;E'!H123+CES!H123+LLT!H123+GB!H123</f>
        <v>105337.62400000001</v>
      </c>
      <c r="I123" s="7">
        <f>CEO!I123+CS!I123+CFO!I123+LLA!I123+'C&amp;E'!I123+CES!I123+LLT!I123+GB!I123</f>
        <v>105337.62400000001</v>
      </c>
      <c r="J123" s="7">
        <f>CEO!J123+CS!J123+CFO!J123+LLA!J123+'C&amp;E'!J123+CES!J123+LLT!J123+GB!J123</f>
        <v>105337.62400000001</v>
      </c>
      <c r="K123" s="7">
        <f>CEO!K123+CS!K123+CFO!K123+LLA!K123+'C&amp;E'!K123+CES!K123+LLT!K123+GB!K123</f>
        <v>105337.62400000001</v>
      </c>
      <c r="L123" s="7">
        <f>CEO!L123+CS!L123+CFO!L123+LLA!L123+'C&amp;E'!L123+CES!L123+LLT!L123+GB!L123</f>
        <v>105339.62400000001</v>
      </c>
      <c r="M123" s="390" t="s">
        <v>500</v>
      </c>
      <c r="N123" s="7">
        <f t="shared" si="80"/>
        <v>0</v>
      </c>
      <c r="O123" s="7">
        <f t="shared" si="81"/>
        <v>1264053.4880000006</v>
      </c>
      <c r="P123" s="7">
        <f t="shared" si="47"/>
        <v>1264053.4880000006</v>
      </c>
      <c r="Q123" s="7">
        <f>CEO!Q123+CS!Q123+CFO!Q123+LLA!Q123+'C&amp;E'!Q123+CES!Q123+LLT!Q123+GB!Q123</f>
        <v>1264053.4880000006</v>
      </c>
      <c r="R123" s="7">
        <f t="shared" si="82"/>
        <v>0</v>
      </c>
      <c r="S123" s="7">
        <v>0</v>
      </c>
      <c r="T123" s="7">
        <f>CEO!T123+CS!T123+CFO!T123+LLA!T123+'C&amp;E'!T123+CES!T123+LLT!T123+GB!T123</f>
        <v>0</v>
      </c>
      <c r="U123" s="7">
        <f t="shared" si="49"/>
        <v>1264053.4880000006</v>
      </c>
      <c r="V123" s="7">
        <f t="shared" si="48"/>
        <v>0</v>
      </c>
      <c r="W123" s="7"/>
      <c r="X123" s="7">
        <f>CEO!Q123+CS!Q123+CFO!Q123+LLA!Q123+'C&amp;E'!Q123+CES!Q123+LLT!Q123+GB!Q123</f>
        <v>1264053.4880000006</v>
      </c>
      <c r="Y123" s="7">
        <f t="shared" si="83"/>
        <v>0</v>
      </c>
      <c r="Z123" s="7">
        <v>1264053.2554576593</v>
      </c>
      <c r="AA123" s="7">
        <f t="shared" si="84"/>
        <v>1323463.7584641692</v>
      </c>
      <c r="AC123" s="295">
        <f t="shared" si="62"/>
        <v>0.23254234134219587</v>
      </c>
    </row>
    <row r="124" spans="1:29" x14ac:dyDescent="0.3">
      <c r="A124" s="7">
        <f>CEO!A124+CS!A124+CFO!A124+LLA!A124+'C&amp;E'!A124+CES!A124+LLT!A124+GB!A124</f>
        <v>0</v>
      </c>
      <c r="B124" s="7">
        <f>CEO!B124+CS!B124+CFO!B124+LLA!B124+'C&amp;E'!B124+CES!B124+LLT!B124+GB!B124</f>
        <v>0</v>
      </c>
      <c r="C124" s="7">
        <f>CEO!C124+CS!C124+CFO!C124+LLA!C124+'C&amp;E'!C124+CES!C124+LLT!C124+GB!C124</f>
        <v>0</v>
      </c>
      <c r="D124" s="7">
        <f>CEO!D124+CS!D124+CFO!D124+LLA!D124+'C&amp;E'!D124+CES!D124+LLT!D124+GB!D124</f>
        <v>0</v>
      </c>
      <c r="E124" s="7">
        <f>CEO!E124+CS!E124+CFO!E124+LLA!E124+'C&amp;E'!E124+CES!E124+LLT!E124+GB!E124</f>
        <v>0</v>
      </c>
      <c r="F124" s="7">
        <f>CEO!F124+CS!F124+CFO!F124+LLA!F124+'C&amp;E'!F124+CES!F124+LLT!F124+GB!F124</f>
        <v>0</v>
      </c>
      <c r="G124" s="7">
        <f>CEO!G124+CS!G124+CFO!G124+LLA!G124+'C&amp;E'!G124+CES!G124+LLT!G124+GB!G124</f>
        <v>0</v>
      </c>
      <c r="H124" s="7">
        <f>CEO!H124+CS!H124+CFO!H124+LLA!H124+'C&amp;E'!H124+CES!H124+LLT!H124+GB!H124</f>
        <v>0</v>
      </c>
      <c r="I124" s="7">
        <f>CEO!I124+CS!I124+CFO!I124+LLA!I124+'C&amp;E'!I124+CES!I124+LLT!I124+GB!I124</f>
        <v>0</v>
      </c>
      <c r="J124" s="7">
        <f>CEO!J124+CS!J124+CFO!J124+LLA!J124+'C&amp;E'!J124+CES!J124+LLT!J124+GB!J124</f>
        <v>0</v>
      </c>
      <c r="K124" s="7">
        <f>CEO!K124+CS!K124+CFO!K124+LLA!K124+'C&amp;E'!K124+CES!K124+LLT!K124+GB!K124</f>
        <v>0</v>
      </c>
      <c r="L124" s="7">
        <f>CEO!L124+CS!L124+CFO!L124+LLA!L124+'C&amp;E'!L124+CES!L124+LLT!L124+GB!L124</f>
        <v>0</v>
      </c>
      <c r="M124" s="13" t="s">
        <v>501</v>
      </c>
      <c r="N124" s="7">
        <f t="shared" si="80"/>
        <v>0</v>
      </c>
      <c r="O124" s="7">
        <f t="shared" si="81"/>
        <v>0</v>
      </c>
      <c r="P124" s="7">
        <f t="shared" si="47"/>
        <v>0</v>
      </c>
      <c r="Q124" s="7">
        <f>CEO!Q124+CS!Q124+CFO!Q124+LLA!Q124+'C&amp;E'!Q124+CES!Q124+LLT!Q124+GB!Q124</f>
        <v>0</v>
      </c>
      <c r="R124" s="7">
        <f t="shared" si="82"/>
        <v>0</v>
      </c>
      <c r="S124" s="7">
        <v>0</v>
      </c>
      <c r="T124" s="7">
        <f>CEO!T124+CS!T124+CFO!T124+LLA!T124+'C&amp;E'!T124+CES!T124+LLT!T124+GB!T124</f>
        <v>0</v>
      </c>
      <c r="U124" s="7">
        <f t="shared" si="49"/>
        <v>0</v>
      </c>
      <c r="V124" s="7">
        <f t="shared" si="48"/>
        <v>0</v>
      </c>
      <c r="W124" s="7"/>
      <c r="X124" s="7">
        <f>CEO!Q124+CS!Q124+CFO!Q124+LLA!Q124+'C&amp;E'!Q124+CES!Q124+LLT!Q124+GB!Q124</f>
        <v>0</v>
      </c>
      <c r="Y124" s="7">
        <f t="shared" si="83"/>
        <v>0</v>
      </c>
      <c r="Z124" s="7">
        <v>0</v>
      </c>
      <c r="AA124" s="7">
        <f t="shared" si="84"/>
        <v>0</v>
      </c>
      <c r="AC124" s="295">
        <f t="shared" si="62"/>
        <v>0</v>
      </c>
    </row>
    <row r="125" spans="1:29" x14ac:dyDescent="0.3">
      <c r="A125" s="11">
        <f>CEO!A125+CS!A125+CFO!A125+LLA!A125+'C&amp;E'!A125+CES!A125+LLT!A125+GB!A125</f>
        <v>0</v>
      </c>
      <c r="B125" s="11">
        <f>CEO!B125+CS!B125+CFO!B125+LLA!B125+'C&amp;E'!B125+CES!B125+LLT!B125+GB!B125</f>
        <v>0</v>
      </c>
      <c r="C125" s="11">
        <f>CEO!C125+CS!C125+CFO!C125+LLA!C125+'C&amp;E'!C125+CES!C125+LLT!C125+GB!C125</f>
        <v>0</v>
      </c>
      <c r="D125" s="11">
        <f>CEO!D125+CS!D125+CFO!D125+LLA!D125+'C&amp;E'!D125+CES!D125+LLT!D125+GB!D125</f>
        <v>0</v>
      </c>
      <c r="E125" s="11">
        <f>CEO!E125+CS!E125+CFO!E125+LLA!E125+'C&amp;E'!E125+CES!E125+LLT!E125+GB!E125</f>
        <v>0</v>
      </c>
      <c r="F125" s="11">
        <f>CEO!F125+CS!F125+CFO!F125+LLA!F125+'C&amp;E'!F125+CES!F125+LLT!F125+GB!F125</f>
        <v>0</v>
      </c>
      <c r="G125" s="11">
        <f>CEO!G125+CS!G125+CFO!G125+LLA!G125+'C&amp;E'!G125+CES!G125+LLT!G125+GB!G125</f>
        <v>0</v>
      </c>
      <c r="H125" s="11">
        <f>CEO!H125+CS!H125+CFO!H125+LLA!H125+'C&amp;E'!H125+CES!H125+LLT!H125+GB!H125</f>
        <v>0</v>
      </c>
      <c r="I125" s="11">
        <f>CEO!I125+CS!I125+CFO!I125+LLA!I125+'C&amp;E'!I125+CES!I125+LLT!I125+GB!I125</f>
        <v>0</v>
      </c>
      <c r="J125" s="11">
        <f>CEO!J125+CS!J125+CFO!J125+LLA!J125+'C&amp;E'!J125+CES!J125+LLT!J125+GB!J125</f>
        <v>0</v>
      </c>
      <c r="K125" s="11">
        <f>CEO!K125+CS!K125+CFO!K125+LLA!K125+'C&amp;E'!K125+CES!K125+LLT!K125+GB!K125</f>
        <v>0</v>
      </c>
      <c r="L125" s="11">
        <f>CEO!L125+CS!L125+CFO!L125+LLA!L125+'C&amp;E'!L125+CES!L125+LLT!L125+GB!L125</f>
        <v>0</v>
      </c>
      <c r="M125" s="13" t="s">
        <v>184</v>
      </c>
      <c r="N125" s="11">
        <f t="shared" si="80"/>
        <v>0</v>
      </c>
      <c r="O125" s="11">
        <f t="shared" si="81"/>
        <v>0</v>
      </c>
      <c r="P125" s="11">
        <f t="shared" si="47"/>
        <v>0</v>
      </c>
      <c r="Q125" s="11">
        <f>CEO!Q125+CS!Q125+CFO!Q125+LLA!Q125+'C&amp;E'!Q125+CES!Q125+LLT!Q125+GB!Q125</f>
        <v>0</v>
      </c>
      <c r="R125" s="11">
        <f t="shared" si="82"/>
        <v>0</v>
      </c>
      <c r="S125" s="11">
        <v>0</v>
      </c>
      <c r="T125" s="11">
        <f>CEO!T125+CS!T125+CFO!T125+LLA!T125+'C&amp;E'!T125+CES!T125+LLT!T125+GB!T125</f>
        <v>0</v>
      </c>
      <c r="U125" s="11">
        <f t="shared" si="49"/>
        <v>0</v>
      </c>
      <c r="V125" s="11">
        <f t="shared" si="48"/>
        <v>0</v>
      </c>
      <c r="W125" s="11"/>
      <c r="X125" s="11">
        <f>CEO!Q125+CS!Q125+CFO!Q125+LLA!Q125+'C&amp;E'!Q125+CES!Q125+LLT!Q125+GB!Q125</f>
        <v>0</v>
      </c>
      <c r="Y125" s="11">
        <f t="shared" si="83"/>
        <v>0</v>
      </c>
      <c r="Z125" s="11"/>
      <c r="AA125" s="11">
        <f t="shared" si="84"/>
        <v>0</v>
      </c>
      <c r="AC125" s="295">
        <f t="shared" si="62"/>
        <v>0</v>
      </c>
    </row>
    <row r="126" spans="1:29" ht="5.4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13"/>
      <c r="N126" s="7">
        <f t="shared" si="50"/>
        <v>0</v>
      </c>
      <c r="O126" s="7">
        <f t="shared" si="51"/>
        <v>0</v>
      </c>
      <c r="P126" s="7">
        <f t="shared" si="47"/>
        <v>0</v>
      </c>
      <c r="Q126" s="7"/>
      <c r="R126" s="7">
        <f t="shared" si="71"/>
        <v>0</v>
      </c>
      <c r="S126" s="7">
        <v>0</v>
      </c>
      <c r="T126" s="7">
        <f>CEO!T126+CS!T126+CFO!T126+LLA!T126+'C&amp;E'!T126+CES!T126+LLT!T126+GB!T126</f>
        <v>0</v>
      </c>
      <c r="U126" s="7">
        <f t="shared" si="49"/>
        <v>0</v>
      </c>
      <c r="V126" s="7">
        <f t="shared" si="48"/>
        <v>0</v>
      </c>
      <c r="W126" s="7"/>
      <c r="X126" s="7">
        <f>CEO!Q126+CS!Q126+CFO!Q126+LLA!Q126+'C&amp;E'!Q126+CES!Q126+LLT!Q126+GB!Q126</f>
        <v>0</v>
      </c>
      <c r="Y126" s="7">
        <f t="shared" si="53"/>
        <v>0</v>
      </c>
      <c r="Z126" s="7"/>
      <c r="AA126" s="7"/>
      <c r="AC126" s="295">
        <f t="shared" si="62"/>
        <v>0</v>
      </c>
    </row>
    <row r="127" spans="1:29" x14ac:dyDescent="0.3">
      <c r="A127" s="4">
        <f>SUM(A114:A125)</f>
        <v>184857.52800000002</v>
      </c>
      <c r="B127" s="4">
        <f>SUM(B114:B125)</f>
        <v>184857.52800000002</v>
      </c>
      <c r="C127" s="4">
        <f t="shared" ref="C127:L127" si="85">SUM(C114:C125)</f>
        <v>184857.52800000002</v>
      </c>
      <c r="D127" s="4">
        <f t="shared" si="85"/>
        <v>184857.52800000002</v>
      </c>
      <c r="E127" s="4">
        <f t="shared" si="85"/>
        <v>184857.52800000002</v>
      </c>
      <c r="F127" s="4">
        <f t="shared" si="85"/>
        <v>184857.52800000002</v>
      </c>
      <c r="G127" s="4">
        <f t="shared" si="85"/>
        <v>184857.52800000002</v>
      </c>
      <c r="H127" s="4">
        <f t="shared" si="85"/>
        <v>184857.52800000002</v>
      </c>
      <c r="I127" s="4">
        <f t="shared" si="85"/>
        <v>184857.52800000002</v>
      </c>
      <c r="J127" s="4">
        <f t="shared" si="85"/>
        <v>184857.52800000002</v>
      </c>
      <c r="K127" s="4">
        <f t="shared" si="85"/>
        <v>243090.52800000002</v>
      </c>
      <c r="L127" s="4">
        <f t="shared" si="85"/>
        <v>235306.24800000002</v>
      </c>
      <c r="M127" s="13" t="s">
        <v>185</v>
      </c>
      <c r="N127" s="4">
        <f t="shared" ref="N127:O127" si="86">SUM(N114:N125)</f>
        <v>0</v>
      </c>
      <c r="O127" s="4">
        <f t="shared" si="86"/>
        <v>2326972.0560000008</v>
      </c>
      <c r="P127" s="4">
        <f>SUM(P114:P125)</f>
        <v>2326972.0560000008</v>
      </c>
      <c r="Q127" s="4">
        <f>SUM(Q114:Q125)</f>
        <v>2326972.0560000008</v>
      </c>
      <c r="R127" s="4">
        <f>SUM(R114:R125)</f>
        <v>0</v>
      </c>
      <c r="S127" s="4">
        <f>SUM(S114:S125)</f>
        <v>107736.23499999999</v>
      </c>
      <c r="T127" s="4">
        <f>CEO!T127+CS!T127+CFO!T127+LLA!T127+'C&amp;E'!T127+CES!T127+LLT!T127+GB!T127</f>
        <v>941108</v>
      </c>
      <c r="U127" s="4">
        <f t="shared" si="49"/>
        <v>3375816.2910000007</v>
      </c>
      <c r="V127" s="4">
        <f t="shared" si="48"/>
        <v>1048844.2349999999</v>
      </c>
      <c r="W127" s="4"/>
      <c r="X127" s="4">
        <f>CEO!Q127+CS!Q127+CFO!Q127+LLA!Q127+'C&amp;E'!Q127+CES!Q127+LLT!Q127+GB!Q127</f>
        <v>2326972.0560000008</v>
      </c>
      <c r="Y127" s="4">
        <f t="shared" si="53"/>
        <v>0</v>
      </c>
      <c r="Z127" s="4">
        <f>SUM(Z114:Z125)</f>
        <v>2326972.2446493795</v>
      </c>
      <c r="AA127" s="4">
        <f>SUM(AA114:AA125)</f>
        <v>2515898.9891478997</v>
      </c>
      <c r="AC127" s="295">
        <f t="shared" si="62"/>
        <v>-0.18864937871694565</v>
      </c>
    </row>
    <row r="128" spans="1:29" ht="5.4" customHeight="1" x14ac:dyDescent="0.3">
      <c r="A128" s="82"/>
      <c r="B128" s="81"/>
      <c r="C128" s="81"/>
      <c r="D128" s="82"/>
      <c r="E128" s="86"/>
      <c r="F128" s="86"/>
      <c r="G128" s="86"/>
      <c r="H128" s="86"/>
      <c r="I128" s="86"/>
      <c r="J128" s="86"/>
      <c r="K128" s="86"/>
      <c r="L128" s="86"/>
      <c r="M128" s="122"/>
      <c r="N128" s="86">
        <f t="shared" si="50"/>
        <v>0</v>
      </c>
      <c r="O128" s="86">
        <f t="shared" si="51"/>
        <v>0</v>
      </c>
      <c r="P128" s="86">
        <f t="shared" si="47"/>
        <v>0</v>
      </c>
      <c r="Q128" s="86"/>
      <c r="R128" s="86">
        <f t="shared" si="71"/>
        <v>0</v>
      </c>
      <c r="S128" s="86">
        <v>0</v>
      </c>
      <c r="T128" s="81">
        <f>CEO!T128+CS!T128+CFO!T128+LLA!T128+'C&amp;E'!T128+CES!T128+LLT!T128+GB!T128</f>
        <v>0</v>
      </c>
      <c r="U128" s="81">
        <f t="shared" si="49"/>
        <v>0</v>
      </c>
      <c r="V128" s="81">
        <f t="shared" si="48"/>
        <v>0</v>
      </c>
      <c r="W128" s="81"/>
      <c r="X128" s="86">
        <f>CEO!Q128+CS!Q128+CFO!Q128+LLA!Q128+'C&amp;E'!Q128+CES!Q128+LLT!Q128+GB!Q128</f>
        <v>0</v>
      </c>
      <c r="Y128" s="86">
        <f t="shared" si="53"/>
        <v>0</v>
      </c>
      <c r="Z128" s="86"/>
      <c r="AA128" s="86"/>
      <c r="AC128" s="295">
        <f t="shared" si="62"/>
        <v>0</v>
      </c>
    </row>
    <row r="129" spans="1:29" x14ac:dyDescent="0.3">
      <c r="A129" s="4">
        <f>A112+A127</f>
        <v>4249386.2842691662</v>
      </c>
      <c r="B129" s="4">
        <f>B112+B127</f>
        <v>4665420.8943893788</v>
      </c>
      <c r="C129" s="4">
        <f t="shared" ref="C129:L129" si="87">C112+C127</f>
        <v>4983073.5618336061</v>
      </c>
      <c r="D129" s="4">
        <f t="shared" si="87"/>
        <v>5181042.4647165798</v>
      </c>
      <c r="E129" s="4">
        <f t="shared" si="87"/>
        <v>4709252.2475936068</v>
      </c>
      <c r="F129" s="4">
        <f t="shared" si="87"/>
        <v>4792730.5375136063</v>
      </c>
      <c r="G129" s="4">
        <f>G112+G127</f>
        <v>4564418.6946365805</v>
      </c>
      <c r="H129" s="4">
        <f t="shared" si="87"/>
        <v>5986081.7674790146</v>
      </c>
      <c r="I129" s="4">
        <f t="shared" si="87"/>
        <v>4489942.3442381388</v>
      </c>
      <c r="J129" s="4">
        <f t="shared" si="87"/>
        <v>4516859.1551165795</v>
      </c>
      <c r="K129" s="4">
        <f t="shared" si="87"/>
        <v>4535692.4296155293</v>
      </c>
      <c r="L129" s="4">
        <f t="shared" si="87"/>
        <v>4661484.7546317466</v>
      </c>
      <c r="M129" s="13" t="s">
        <v>186</v>
      </c>
      <c r="N129" s="4">
        <f t="shared" ref="N129:O129" si="88">N112+N127</f>
        <v>0</v>
      </c>
      <c r="O129" s="4">
        <f t="shared" si="88"/>
        <v>57335385.136033528</v>
      </c>
      <c r="P129" s="4">
        <f>P112+P127</f>
        <v>57335385.136033528</v>
      </c>
      <c r="Q129" s="4">
        <f>Q112+Q127</f>
        <v>57335385.390751533</v>
      </c>
      <c r="R129" s="4">
        <f>R112+R127</f>
        <v>0.25471799998194911</v>
      </c>
      <c r="S129" s="4">
        <f>S112+S127</f>
        <v>6868992.6052114116</v>
      </c>
      <c r="T129" s="4">
        <f>CEO!T129+CS!T129+CFO!T129+LLA!T129+'C&amp;E'!T129+CES!T129+LLT!T129+GB!T129</f>
        <v>-0.39194171888175333</v>
      </c>
      <c r="U129" s="4">
        <f>S129+Q129+T129</f>
        <v>64204377.604021229</v>
      </c>
      <c r="V129" s="4">
        <f t="shared" si="48"/>
        <v>6868992.4679877013</v>
      </c>
      <c r="W129" s="4"/>
      <c r="X129" s="4">
        <f>CEO!Q129+CS!Q129+CFO!Q129+LLA!Q129+'C&amp;E'!Q129+CES!Q129+LLT!Q129+GB!Q129</f>
        <v>57335385.390751533</v>
      </c>
      <c r="Y129" s="4">
        <f t="shared" si="53"/>
        <v>0</v>
      </c>
      <c r="Z129" s="4">
        <f>Z112+Z127</f>
        <v>57292984.739859998</v>
      </c>
      <c r="AA129" s="4">
        <f>AA112+AA127</f>
        <v>60180008.071633413</v>
      </c>
      <c r="AC129" s="295">
        <f t="shared" si="62"/>
        <v>42400.650891534984</v>
      </c>
    </row>
    <row r="130" spans="1:29" ht="5.4" customHeight="1" x14ac:dyDescent="0.3">
      <c r="A130" s="381"/>
      <c r="B130" s="381"/>
      <c r="C130" s="381"/>
      <c r="D130" s="381"/>
      <c r="E130" s="381"/>
      <c r="F130" s="381"/>
      <c r="G130" s="381"/>
      <c r="H130" s="381"/>
      <c r="I130" s="381"/>
      <c r="J130" s="381"/>
      <c r="K130" s="381"/>
      <c r="L130" s="381"/>
      <c r="M130" s="122"/>
      <c r="N130" s="81">
        <f t="shared" ref="N130:N135" si="89">SUM(A130:J130)</f>
        <v>0</v>
      </c>
      <c r="O130" s="81">
        <f t="shared" ref="O130:O171" si="90">SUM(K130:L130)</f>
        <v>0</v>
      </c>
      <c r="P130" s="81">
        <f t="shared" si="47"/>
        <v>0</v>
      </c>
      <c r="Q130" s="81"/>
      <c r="R130" s="81">
        <f t="shared" si="71"/>
        <v>0</v>
      </c>
      <c r="S130" s="81">
        <f>CEO!S130+CS!S130+CFO!S130+LLA!S130+'C&amp;E'!S130+CES!S130+LLT!S130+GB!S130</f>
        <v>0</v>
      </c>
      <c r="T130" s="81">
        <f>CEO!T130+CS!T130+CFO!T130+LLA!T130+'C&amp;E'!T130+CES!T130+LLT!T130+GB!T130</f>
        <v>0</v>
      </c>
      <c r="U130" s="81">
        <f t="shared" ref="U130" si="91">Q130+T130</f>
        <v>0</v>
      </c>
      <c r="V130" s="81">
        <f t="shared" si="48"/>
        <v>0</v>
      </c>
      <c r="W130" s="81"/>
      <c r="X130" s="81">
        <f>CEO!Q130+CS!Q130+CFO!Q130+LLA!Q130+'C&amp;E'!Q130+CES!Q130+LLT!Q130+GB!Q130</f>
        <v>0</v>
      </c>
      <c r="Y130" s="81">
        <f t="shared" si="53"/>
        <v>0</v>
      </c>
      <c r="Z130" s="81"/>
      <c r="AA130" s="81"/>
      <c r="AC130" s="295">
        <f t="shared" si="62"/>
        <v>0</v>
      </c>
    </row>
    <row r="131" spans="1:29" x14ac:dyDescent="0.3">
      <c r="A131" s="8">
        <f>0*(110/100)</f>
        <v>0</v>
      </c>
      <c r="B131" s="8">
        <f>346500*1.1</f>
        <v>381150.00000000006</v>
      </c>
      <c r="C131" s="8">
        <f>22000*1.1</f>
        <v>24200.000000000004</v>
      </c>
      <c r="D131" s="8">
        <f>0*(110/100)</f>
        <v>0</v>
      </c>
      <c r="E131" s="8">
        <f>114400*1.1</f>
        <v>125840.00000000001</v>
      </c>
      <c r="F131" s="8">
        <v>0</v>
      </c>
      <c r="G131" s="8">
        <f>182050*1.1</f>
        <v>200255.00000000003</v>
      </c>
      <c r="H131" s="8">
        <f>113300*1.1</f>
        <v>124630.00000000001</v>
      </c>
      <c r="I131" s="8">
        <f>100100*1.1</f>
        <v>110110.00000000001</v>
      </c>
      <c r="J131" s="8">
        <f>46200*1.1</f>
        <v>50820.000000000007</v>
      </c>
      <c r="K131" s="8">
        <f>100100*1.1</f>
        <v>110110.00000000001</v>
      </c>
      <c r="L131" s="8">
        <f>100100*1.1</f>
        <v>110110.00000000001</v>
      </c>
      <c r="M131" s="390" t="s">
        <v>187</v>
      </c>
      <c r="N131" s="8">
        <f t="shared" si="89"/>
        <v>1017005.0000000001</v>
      </c>
      <c r="O131" s="8">
        <f t="shared" si="90"/>
        <v>220220.00000000003</v>
      </c>
      <c r="P131" s="8">
        <f t="shared" si="47"/>
        <v>1237225.0000000002</v>
      </c>
      <c r="Q131" s="8">
        <v>1237225.0000000002</v>
      </c>
      <c r="R131" s="8">
        <f t="shared" ref="R131:R160" si="92">Q131-P131</f>
        <v>0</v>
      </c>
      <c r="S131" s="8"/>
      <c r="T131" s="8">
        <f>CEO!T131+CS!T131+CFO!T131+LLA!T131+'C&amp;E'!T131+CES!T131+LLT!T131+GB!T131</f>
        <v>91071</v>
      </c>
      <c r="U131" s="7">
        <f t="shared" ref="U131:U171" si="93">S131+Q131+T131</f>
        <v>1328296.0000000002</v>
      </c>
      <c r="V131" s="8">
        <f t="shared" si="48"/>
        <v>91071</v>
      </c>
      <c r="W131" s="8"/>
      <c r="X131" s="8"/>
      <c r="Y131" s="8"/>
      <c r="Z131" s="8">
        <v>1237225</v>
      </c>
      <c r="AA131" s="8">
        <f t="shared" ref="AA131:AA160" si="94">Z131*1.1</f>
        <v>1360947.5</v>
      </c>
      <c r="AC131" s="295">
        <f>Q131-Z131</f>
        <v>0</v>
      </c>
    </row>
    <row r="132" spans="1:29" x14ac:dyDescent="0.3">
      <c r="A132" s="7">
        <v>150354.6</v>
      </c>
      <c r="B132" s="7">
        <v>15826.800000000003</v>
      </c>
      <c r="C132" s="7">
        <v>0</v>
      </c>
      <c r="D132" s="7">
        <v>0</v>
      </c>
      <c r="E132" s="7">
        <v>18464.600000000002</v>
      </c>
      <c r="F132" s="7">
        <v>9075</v>
      </c>
      <c r="G132" s="7">
        <v>7913.4000000000015</v>
      </c>
      <c r="H132" s="7">
        <v>7913.4000000000015</v>
      </c>
      <c r="I132" s="7">
        <v>0</v>
      </c>
      <c r="J132" s="7">
        <v>452494.62500000012</v>
      </c>
      <c r="K132" s="7">
        <v>605000</v>
      </c>
      <c r="L132" s="7">
        <v>605000</v>
      </c>
      <c r="M132" s="13" t="s">
        <v>188</v>
      </c>
      <c r="N132" s="7">
        <f t="shared" si="89"/>
        <v>662042.42500000016</v>
      </c>
      <c r="O132" s="7">
        <f t="shared" si="90"/>
        <v>1210000</v>
      </c>
      <c r="P132" s="7">
        <f t="shared" si="47"/>
        <v>1872042.4250000003</v>
      </c>
      <c r="Q132" s="7">
        <v>1872042.425</v>
      </c>
      <c r="R132" s="7">
        <f t="shared" si="92"/>
        <v>0</v>
      </c>
      <c r="S132" s="7"/>
      <c r="T132" s="7">
        <f>CEO!T132+CS!T132+CFO!T132+LLA!T132+'C&amp;E'!T132+CES!T132+LLT!T132+GB!T132</f>
        <v>0</v>
      </c>
      <c r="U132" s="7">
        <f t="shared" si="93"/>
        <v>1872042.425</v>
      </c>
      <c r="V132" s="7">
        <f t="shared" si="48"/>
        <v>0</v>
      </c>
      <c r="W132" s="7"/>
      <c r="X132" s="7"/>
      <c r="Y132" s="7"/>
      <c r="Z132" s="7">
        <v>1872042.425</v>
      </c>
      <c r="AA132" s="7">
        <f t="shared" si="94"/>
        <v>2059246.6675000002</v>
      </c>
      <c r="AC132" s="295">
        <f t="shared" si="62"/>
        <v>0</v>
      </c>
    </row>
    <row r="133" spans="1:29" x14ac:dyDescent="0.3">
      <c r="A133" s="7">
        <v>3303.3000000000006</v>
      </c>
      <c r="B133" s="7">
        <v>0</v>
      </c>
      <c r="C133" s="7">
        <v>0</v>
      </c>
      <c r="D133" s="7">
        <v>0</v>
      </c>
      <c r="E133" s="7">
        <v>2637.8</v>
      </c>
      <c r="F133" s="7">
        <v>0</v>
      </c>
      <c r="G133" s="7">
        <v>4289.4500000000007</v>
      </c>
      <c r="H133" s="7">
        <v>0</v>
      </c>
      <c r="I133" s="7">
        <v>2637.8</v>
      </c>
      <c r="J133" s="7">
        <v>0</v>
      </c>
      <c r="K133" s="7">
        <v>2637.8</v>
      </c>
      <c r="L133" s="7">
        <v>2637.8</v>
      </c>
      <c r="M133" s="13" t="s">
        <v>189</v>
      </c>
      <c r="N133" s="7">
        <f t="shared" si="89"/>
        <v>12868.350000000002</v>
      </c>
      <c r="O133" s="7">
        <f t="shared" si="90"/>
        <v>5275.6</v>
      </c>
      <c r="P133" s="7">
        <f t="shared" si="47"/>
        <v>18143.950000000004</v>
      </c>
      <c r="Q133" s="7">
        <v>18143.95</v>
      </c>
      <c r="R133" s="7">
        <f t="shared" si="92"/>
        <v>0</v>
      </c>
      <c r="S133" s="7"/>
      <c r="T133" s="7">
        <f>CEO!T133+CS!T133+CFO!T133+LLA!T133+'C&amp;E'!T133+CES!T133+LLT!T133+GB!T133</f>
        <v>0</v>
      </c>
      <c r="U133" s="7">
        <f t="shared" si="93"/>
        <v>18143.95</v>
      </c>
      <c r="V133" s="7">
        <f t="shared" si="48"/>
        <v>0</v>
      </c>
      <c r="W133" s="7"/>
      <c r="X133" s="7"/>
      <c r="Y133" s="7"/>
      <c r="Z133" s="7">
        <v>18143.95</v>
      </c>
      <c r="AA133" s="7">
        <f t="shared" si="94"/>
        <v>19958.345000000001</v>
      </c>
      <c r="AC133" s="295">
        <f t="shared" si="62"/>
        <v>0</v>
      </c>
    </row>
    <row r="134" spans="1:29" x14ac:dyDescent="0.3">
      <c r="A134" s="7">
        <v>116462.50000000003</v>
      </c>
      <c r="B134" s="7">
        <v>184942.45</v>
      </c>
      <c r="C134" s="7">
        <v>42392.350000000006</v>
      </c>
      <c r="D134" s="7">
        <v>51709.350000000013</v>
      </c>
      <c r="E134" s="7">
        <v>148606.15000000002</v>
      </c>
      <c r="F134" s="7">
        <v>230595.75000000006</v>
      </c>
      <c r="G134" s="7">
        <v>140686.70000000004</v>
      </c>
      <c r="H134" s="7">
        <v>241776.15000000005</v>
      </c>
      <c r="I134" s="7">
        <v>140468.90000000002</v>
      </c>
      <c r="J134" s="7">
        <v>115161.75000000003</v>
      </c>
      <c r="K134" s="7">
        <v>140468.90000000002</v>
      </c>
      <c r="L134" s="7">
        <v>140468.90000000002</v>
      </c>
      <c r="M134" s="390" t="s">
        <v>190</v>
      </c>
      <c r="N134" s="7">
        <f t="shared" si="89"/>
        <v>1412802.0500000003</v>
      </c>
      <c r="O134" s="7">
        <f t="shared" si="90"/>
        <v>280937.80000000005</v>
      </c>
      <c r="P134" s="7">
        <f t="shared" si="47"/>
        <v>1693739.8500000003</v>
      </c>
      <c r="Q134" s="7">
        <v>1693739.85</v>
      </c>
      <c r="R134" s="7">
        <f t="shared" si="92"/>
        <v>0</v>
      </c>
      <c r="S134" s="7"/>
      <c r="T134" s="7">
        <f>CEO!T134+CS!T134+CFO!T134+LLA!T134+'C&amp;E'!T134+CES!T134+LLT!T134+GB!T134</f>
        <v>0</v>
      </c>
      <c r="U134" s="7">
        <f t="shared" si="93"/>
        <v>1693739.85</v>
      </c>
      <c r="V134" s="7">
        <f t="shared" si="48"/>
        <v>0</v>
      </c>
      <c r="W134" s="7"/>
      <c r="X134" s="7"/>
      <c r="Y134" s="7"/>
      <c r="Z134" s="7">
        <v>1693739.85</v>
      </c>
      <c r="AA134" s="7">
        <f t="shared" si="94"/>
        <v>1863113.8350000002</v>
      </c>
      <c r="AC134" s="295">
        <f t="shared" si="62"/>
        <v>0</v>
      </c>
    </row>
    <row r="135" spans="1:29" x14ac:dyDescent="0.3">
      <c r="A135" s="7">
        <v>0</v>
      </c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13" t="s">
        <v>191</v>
      </c>
      <c r="N135" s="7">
        <f t="shared" si="89"/>
        <v>0</v>
      </c>
      <c r="O135" s="7">
        <f t="shared" si="90"/>
        <v>0</v>
      </c>
      <c r="P135" s="7">
        <f t="shared" si="47"/>
        <v>0</v>
      </c>
      <c r="Q135" s="7">
        <v>0</v>
      </c>
      <c r="R135" s="7">
        <f t="shared" si="92"/>
        <v>0</v>
      </c>
      <c r="S135" s="7"/>
      <c r="T135" s="7">
        <f>CEO!T135+CS!T135+CFO!T135+LLA!T135+'C&amp;E'!T135+CES!T135+LLT!T135+GB!T135</f>
        <v>0</v>
      </c>
      <c r="U135" s="7">
        <f t="shared" si="93"/>
        <v>0</v>
      </c>
      <c r="V135" s="7">
        <f t="shared" si="48"/>
        <v>0</v>
      </c>
      <c r="W135" s="7"/>
      <c r="X135" s="7"/>
      <c r="Y135" s="7"/>
      <c r="Z135" s="7">
        <v>0</v>
      </c>
      <c r="AA135" s="7">
        <f t="shared" si="94"/>
        <v>0</v>
      </c>
      <c r="AC135" s="295">
        <f t="shared" si="62"/>
        <v>0</v>
      </c>
    </row>
    <row r="136" spans="1:29" x14ac:dyDescent="0.3">
      <c r="A136" s="7">
        <v>1609.3000000000004</v>
      </c>
      <c r="B136" s="7">
        <v>5069.9000000000005</v>
      </c>
      <c r="C136" s="7">
        <v>4314.6180000000013</v>
      </c>
      <c r="D136" s="7">
        <v>6122.6</v>
      </c>
      <c r="E136" s="7">
        <v>5856.4000000000005</v>
      </c>
      <c r="F136" s="7">
        <v>3859.900000000001</v>
      </c>
      <c r="G136" s="7">
        <v>4658.5</v>
      </c>
      <c r="H136" s="7">
        <v>3993.0000000000009</v>
      </c>
      <c r="I136" s="7">
        <v>2347.4</v>
      </c>
      <c r="J136" s="7">
        <v>1379.4</v>
      </c>
      <c r="K136" s="7">
        <v>2347.4</v>
      </c>
      <c r="L136" s="7">
        <v>2347.4</v>
      </c>
      <c r="M136" s="13" t="s">
        <v>192</v>
      </c>
      <c r="N136" s="7">
        <f t="shared" ref="N136:N171" si="95">SUM(A136:J136)</f>
        <v>39211.018000000011</v>
      </c>
      <c r="O136" s="7">
        <f t="shared" si="90"/>
        <v>4694.8</v>
      </c>
      <c r="P136" s="7">
        <f t="shared" ref="P136:P171" si="96">SUM(N136:O136)</f>
        <v>43905.818000000014</v>
      </c>
      <c r="Q136" s="7">
        <v>43905.818000000007</v>
      </c>
      <c r="R136" s="7">
        <f t="shared" si="92"/>
        <v>0</v>
      </c>
      <c r="S136" s="7"/>
      <c r="T136" s="7">
        <f>CEO!T136+CS!T136+CFO!T136+LLA!T136+'C&amp;E'!T136+CES!T136+LLT!T136+GB!T136</f>
        <v>0</v>
      </c>
      <c r="U136" s="7">
        <f t="shared" si="93"/>
        <v>43905.818000000007</v>
      </c>
      <c r="V136" s="7">
        <f t="shared" ref="V136:V172" si="97">U136-P136</f>
        <v>0</v>
      </c>
      <c r="W136" s="7"/>
      <c r="X136" s="7"/>
      <c r="Y136" s="7"/>
      <c r="Z136" s="7">
        <v>43905.818000000007</v>
      </c>
      <c r="AA136" s="7">
        <f t="shared" si="94"/>
        <v>48296.399800000014</v>
      </c>
      <c r="AC136" s="295">
        <f t="shared" si="62"/>
        <v>0</v>
      </c>
    </row>
    <row r="137" spans="1:29" x14ac:dyDescent="0.3">
      <c r="A137" s="7">
        <v>82522</v>
      </c>
      <c r="B137" s="7">
        <v>133021.35000000003</v>
      </c>
      <c r="C137" s="7">
        <v>122470.15000000002</v>
      </c>
      <c r="D137" s="7">
        <v>133021.35000000003</v>
      </c>
      <c r="E137" s="7">
        <v>162121.85</v>
      </c>
      <c r="F137" s="7">
        <v>131369.70000000004</v>
      </c>
      <c r="G137" s="7">
        <v>90792.35</v>
      </c>
      <c r="H137" s="7">
        <v>103569.95000000003</v>
      </c>
      <c r="I137" s="7">
        <v>37419.25</v>
      </c>
      <c r="J137" s="7">
        <v>90816.55</v>
      </c>
      <c r="K137" s="7">
        <v>37419.25</v>
      </c>
      <c r="L137" s="7">
        <v>37419.25</v>
      </c>
      <c r="M137" s="390" t="s">
        <v>193</v>
      </c>
      <c r="N137" s="7">
        <f t="shared" si="95"/>
        <v>1087124.5000000002</v>
      </c>
      <c r="O137" s="7">
        <f t="shared" si="90"/>
        <v>74838.5</v>
      </c>
      <c r="P137" s="7">
        <f t="shared" si="96"/>
        <v>1161963.0000000002</v>
      </c>
      <c r="Q137" s="7">
        <v>1161963</v>
      </c>
      <c r="R137" s="7">
        <f t="shared" si="92"/>
        <v>0</v>
      </c>
      <c r="S137" s="7"/>
      <c r="T137" s="7">
        <f>CEO!T137+CS!T137+CFO!T137+LLA!T137+'C&amp;E'!T137+CES!T137+LLT!T137+GB!T137</f>
        <v>0</v>
      </c>
      <c r="U137" s="7">
        <f t="shared" si="93"/>
        <v>1161963</v>
      </c>
      <c r="V137" s="7">
        <f t="shared" si="97"/>
        <v>0</v>
      </c>
      <c r="W137" s="7"/>
      <c r="X137" s="7"/>
      <c r="Y137" s="7"/>
      <c r="Z137" s="7">
        <v>1161963</v>
      </c>
      <c r="AA137" s="7">
        <f t="shared" si="94"/>
        <v>1278159.3</v>
      </c>
      <c r="AC137" s="295">
        <f t="shared" si="62"/>
        <v>0</v>
      </c>
    </row>
    <row r="138" spans="1:29" x14ac:dyDescent="0.3">
      <c r="A138" s="7">
        <v>2577.3000000000002</v>
      </c>
      <c r="B138" s="7">
        <v>0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13" t="s">
        <v>194</v>
      </c>
      <c r="N138" s="7">
        <f t="shared" si="95"/>
        <v>2577.3000000000002</v>
      </c>
      <c r="O138" s="7">
        <f t="shared" si="90"/>
        <v>0</v>
      </c>
      <c r="P138" s="7">
        <f t="shared" si="96"/>
        <v>2577.3000000000002</v>
      </c>
      <c r="Q138" s="7">
        <v>2577.3000000000002</v>
      </c>
      <c r="R138" s="7">
        <f t="shared" si="92"/>
        <v>0</v>
      </c>
      <c r="S138" s="7"/>
      <c r="T138" s="7">
        <f>CEO!T138+CS!T138+CFO!T138+LLA!T138+'C&amp;E'!T138+CES!T138+LLT!T138+GB!T138</f>
        <v>0</v>
      </c>
      <c r="U138" s="7">
        <f t="shared" si="93"/>
        <v>2577.3000000000002</v>
      </c>
      <c r="V138" s="7">
        <f t="shared" si="97"/>
        <v>0</v>
      </c>
      <c r="W138" s="7"/>
      <c r="X138" s="7"/>
      <c r="Y138" s="7"/>
      <c r="Z138" s="7">
        <v>2577.3000000000002</v>
      </c>
      <c r="AA138" s="7">
        <f t="shared" si="94"/>
        <v>2835.0300000000007</v>
      </c>
      <c r="AC138" s="295">
        <f t="shared" si="62"/>
        <v>0</v>
      </c>
    </row>
    <row r="139" spans="1:29" x14ac:dyDescent="0.3">
      <c r="A139" s="7">
        <v>1651.6500000000003</v>
      </c>
      <c r="B139" s="7">
        <v>4295.5000000000009</v>
      </c>
      <c r="C139" s="7">
        <v>5941.1</v>
      </c>
      <c r="D139" s="7">
        <v>72.600000000000009</v>
      </c>
      <c r="E139" s="7">
        <v>2577.3000000000002</v>
      </c>
      <c r="F139" s="7">
        <v>1397.5500000000002</v>
      </c>
      <c r="G139" s="7">
        <v>859.10000000000025</v>
      </c>
      <c r="H139" s="7">
        <v>3436.400000000001</v>
      </c>
      <c r="I139" s="7">
        <v>2674.1000000000004</v>
      </c>
      <c r="J139" s="7">
        <v>4495.1500000000005</v>
      </c>
      <c r="K139" s="7">
        <v>2674.1000000000004</v>
      </c>
      <c r="L139" s="7">
        <v>2674.1000000000004</v>
      </c>
      <c r="M139" s="13" t="s">
        <v>195</v>
      </c>
      <c r="N139" s="7">
        <f t="shared" si="95"/>
        <v>27400.450000000004</v>
      </c>
      <c r="O139" s="7">
        <f t="shared" si="90"/>
        <v>5348.2000000000007</v>
      </c>
      <c r="P139" s="7">
        <f t="shared" si="96"/>
        <v>32748.650000000005</v>
      </c>
      <c r="Q139" s="7">
        <v>32748.65</v>
      </c>
      <c r="R139" s="7">
        <f t="shared" si="92"/>
        <v>0</v>
      </c>
      <c r="S139" s="7"/>
      <c r="T139" s="7">
        <f>CEO!T139+CS!T139+CFO!T139+LLA!T139+'C&amp;E'!T139+CES!T139+LLT!T139+GB!T139</f>
        <v>0</v>
      </c>
      <c r="U139" s="7">
        <f t="shared" si="93"/>
        <v>32748.65</v>
      </c>
      <c r="V139" s="7">
        <f t="shared" si="97"/>
        <v>0</v>
      </c>
      <c r="W139" s="7"/>
      <c r="X139" s="7"/>
      <c r="Y139" s="7"/>
      <c r="Z139" s="7">
        <v>32748.65</v>
      </c>
      <c r="AA139" s="7">
        <f t="shared" si="94"/>
        <v>36023.515000000007</v>
      </c>
      <c r="AC139" s="295">
        <f t="shared" si="62"/>
        <v>0</v>
      </c>
    </row>
    <row r="140" spans="1:29" x14ac:dyDescent="0.3">
      <c r="A140" s="7">
        <v>12620.300000000003</v>
      </c>
      <c r="B140" s="7">
        <v>4954.9500000000007</v>
      </c>
      <c r="C140" s="7">
        <v>1651.6500000000003</v>
      </c>
      <c r="D140" s="7">
        <v>0</v>
      </c>
      <c r="E140" s="7">
        <v>8258.2500000000018</v>
      </c>
      <c r="F140" s="7">
        <v>1651.6500000000003</v>
      </c>
      <c r="G140" s="7">
        <v>9468.25</v>
      </c>
      <c r="H140" s="7">
        <v>1210</v>
      </c>
      <c r="I140" s="7">
        <v>6691.3000000000011</v>
      </c>
      <c r="J140" s="7">
        <v>3303.3000000000006</v>
      </c>
      <c r="K140" s="7">
        <v>6691.3000000000011</v>
      </c>
      <c r="L140" s="7">
        <v>6691.3000000000011</v>
      </c>
      <c r="M140" s="390" t="s">
        <v>196</v>
      </c>
      <c r="N140" s="7">
        <f t="shared" si="95"/>
        <v>49809.650000000016</v>
      </c>
      <c r="O140" s="7">
        <f t="shared" si="90"/>
        <v>13382.600000000002</v>
      </c>
      <c r="P140" s="7">
        <f t="shared" si="96"/>
        <v>63192.250000000015</v>
      </c>
      <c r="Q140" s="7">
        <v>63192.250000000007</v>
      </c>
      <c r="R140" s="7">
        <f t="shared" si="92"/>
        <v>0</v>
      </c>
      <c r="S140" s="7"/>
      <c r="T140" s="7">
        <f>CEO!T140+CS!T140+CFO!T140+LLA!T140+'C&amp;E'!T140+CES!T140+LLT!T140+GB!T140</f>
        <v>0</v>
      </c>
      <c r="U140" s="7">
        <f t="shared" si="93"/>
        <v>63192.250000000007</v>
      </c>
      <c r="V140" s="7">
        <f t="shared" si="97"/>
        <v>0</v>
      </c>
      <c r="W140" s="7"/>
      <c r="X140" s="7"/>
      <c r="Y140" s="7"/>
      <c r="Z140" s="7">
        <v>63192.250000000007</v>
      </c>
      <c r="AA140" s="7">
        <f t="shared" si="94"/>
        <v>69511.47500000002</v>
      </c>
      <c r="AC140" s="295">
        <f t="shared" si="62"/>
        <v>0</v>
      </c>
    </row>
    <row r="141" spans="1:29" x14ac:dyDescent="0.3">
      <c r="A141" s="7">
        <v>17254.600000000002</v>
      </c>
      <c r="B141" s="7">
        <v>20497.400000000001</v>
      </c>
      <c r="C141" s="7">
        <v>21894.95</v>
      </c>
      <c r="D141" s="7">
        <v>16304.750000000004</v>
      </c>
      <c r="E141" s="7">
        <v>24224.2</v>
      </c>
      <c r="F141" s="7">
        <v>18972.800000000003</v>
      </c>
      <c r="G141" s="7">
        <v>16304.750000000004</v>
      </c>
      <c r="H141" s="7">
        <v>20963.25</v>
      </c>
      <c r="I141" s="7">
        <v>17617.600000000002</v>
      </c>
      <c r="J141" s="7">
        <v>10708.5</v>
      </c>
      <c r="K141" s="7">
        <v>17617.600000000002</v>
      </c>
      <c r="L141" s="7">
        <v>17617.600000000002</v>
      </c>
      <c r="M141" s="13" t="s">
        <v>197</v>
      </c>
      <c r="N141" s="7">
        <f t="shared" si="95"/>
        <v>184742.80000000002</v>
      </c>
      <c r="O141" s="7">
        <f t="shared" si="90"/>
        <v>35235.200000000004</v>
      </c>
      <c r="P141" s="7">
        <f t="shared" si="96"/>
        <v>219978.00000000003</v>
      </c>
      <c r="Q141" s="7">
        <v>219978.00000000003</v>
      </c>
      <c r="R141" s="7">
        <f t="shared" si="92"/>
        <v>0</v>
      </c>
      <c r="S141" s="7"/>
      <c r="T141" s="7">
        <f>CEO!T141+CS!T141+CFO!T141+LLA!T141+'C&amp;E'!T141+CES!T141+LLT!T141+GB!T141</f>
        <v>0</v>
      </c>
      <c r="U141" s="7">
        <f t="shared" si="93"/>
        <v>219978.00000000003</v>
      </c>
      <c r="V141" s="7">
        <f t="shared" si="97"/>
        <v>0</v>
      </c>
      <c r="W141" s="7"/>
      <c r="X141" s="7"/>
      <c r="Y141" s="7"/>
      <c r="Z141" s="7">
        <v>219978.00000000003</v>
      </c>
      <c r="AA141" s="7">
        <f t="shared" si="94"/>
        <v>241975.80000000005</v>
      </c>
      <c r="AC141" s="295">
        <f t="shared" si="62"/>
        <v>0</v>
      </c>
    </row>
    <row r="142" spans="1:29" x14ac:dyDescent="0.3">
      <c r="A142" s="7">
        <v>2238.5000000000005</v>
      </c>
      <c r="B142" s="7">
        <v>16322.900000000003</v>
      </c>
      <c r="C142" s="7">
        <v>19759.300000000003</v>
      </c>
      <c r="D142" s="7">
        <v>20618.400000000001</v>
      </c>
      <c r="E142" s="7">
        <v>35223.100000000006</v>
      </c>
      <c r="F142" s="7">
        <v>33504.900000000009</v>
      </c>
      <c r="G142" s="7">
        <v>28350.300000000007</v>
      </c>
      <c r="H142" s="7">
        <v>22336.600000000002</v>
      </c>
      <c r="I142" s="7">
        <v>16335.000000000004</v>
      </c>
      <c r="J142" s="7">
        <v>9982.5</v>
      </c>
      <c r="K142" s="7">
        <v>16335.000000000004</v>
      </c>
      <c r="L142" s="7">
        <v>16335.000000000004</v>
      </c>
      <c r="M142" s="13" t="s">
        <v>198</v>
      </c>
      <c r="N142" s="7">
        <f t="shared" si="95"/>
        <v>204671.50000000003</v>
      </c>
      <c r="O142" s="7">
        <f t="shared" si="90"/>
        <v>32670.000000000007</v>
      </c>
      <c r="P142" s="7">
        <f t="shared" si="96"/>
        <v>237341.50000000003</v>
      </c>
      <c r="Q142" s="7">
        <v>237341.50000000003</v>
      </c>
      <c r="R142" s="7">
        <f t="shared" si="92"/>
        <v>0</v>
      </c>
      <c r="S142" s="7"/>
      <c r="T142" s="7">
        <f>CEO!T142+CS!T142+CFO!T142+LLA!T142+'C&amp;E'!T142+CES!T142+LLT!T142+GB!T142</f>
        <v>0</v>
      </c>
      <c r="U142" s="7">
        <f t="shared" si="93"/>
        <v>237341.50000000003</v>
      </c>
      <c r="V142" s="7">
        <f t="shared" si="97"/>
        <v>0</v>
      </c>
      <c r="W142" s="7"/>
      <c r="X142" s="7"/>
      <c r="Y142" s="7"/>
      <c r="Z142" s="7">
        <v>237341.50000000003</v>
      </c>
      <c r="AA142" s="7">
        <f t="shared" si="94"/>
        <v>261075.65000000005</v>
      </c>
      <c r="AC142" s="295">
        <f t="shared" si="62"/>
        <v>0</v>
      </c>
    </row>
    <row r="143" spans="1:29" x14ac:dyDescent="0.3">
      <c r="A143" s="7">
        <v>1718.2000000000005</v>
      </c>
      <c r="B143" s="7">
        <v>4198.7000000000007</v>
      </c>
      <c r="C143" s="7">
        <v>1391.5</v>
      </c>
      <c r="D143" s="7">
        <v>2758.8</v>
      </c>
      <c r="E143" s="7">
        <v>2238.5000000000005</v>
      </c>
      <c r="F143" s="7">
        <v>1064.8000000000002</v>
      </c>
      <c r="G143" s="7">
        <v>1851.3000000000004</v>
      </c>
      <c r="H143" s="7">
        <v>3642.1000000000008</v>
      </c>
      <c r="I143" s="7">
        <v>278.30000000000007</v>
      </c>
      <c r="J143" s="7">
        <v>5783.8</v>
      </c>
      <c r="K143" s="7">
        <v>278.30000000000007</v>
      </c>
      <c r="L143" s="7">
        <v>278.30000000000007</v>
      </c>
      <c r="M143" s="390" t="s">
        <v>199</v>
      </c>
      <c r="N143" s="7">
        <f t="shared" si="95"/>
        <v>24926</v>
      </c>
      <c r="O143" s="7">
        <f t="shared" si="90"/>
        <v>556.60000000000014</v>
      </c>
      <c r="P143" s="7">
        <f t="shared" si="96"/>
        <v>25482.6</v>
      </c>
      <c r="Q143" s="7">
        <v>25482.600000000002</v>
      </c>
      <c r="R143" s="7">
        <f t="shared" si="92"/>
        <v>0</v>
      </c>
      <c r="S143" s="7"/>
      <c r="T143" s="7">
        <f>CEO!T143+CS!T143+CFO!T143+LLA!T143+'C&amp;E'!T143+CES!T143+LLT!T143+GB!T143</f>
        <v>0</v>
      </c>
      <c r="U143" s="7">
        <f t="shared" si="93"/>
        <v>25482.600000000002</v>
      </c>
      <c r="V143" s="7">
        <f t="shared" si="97"/>
        <v>0</v>
      </c>
      <c r="W143" s="7"/>
      <c r="X143" s="7"/>
      <c r="Y143" s="7"/>
      <c r="Z143" s="7">
        <v>25482.600000000002</v>
      </c>
      <c r="AA143" s="7">
        <f t="shared" si="94"/>
        <v>28030.860000000004</v>
      </c>
      <c r="AC143" s="295">
        <f t="shared" si="62"/>
        <v>0</v>
      </c>
    </row>
    <row r="144" spans="1:29" x14ac:dyDescent="0.3">
      <c r="A144" s="7">
        <v>11688.6</v>
      </c>
      <c r="B144" s="7">
        <v>2577.3000000000002</v>
      </c>
      <c r="C144" s="7">
        <v>5154.6000000000004</v>
      </c>
      <c r="D144" s="7">
        <v>1718.2000000000005</v>
      </c>
      <c r="E144" s="7">
        <v>859.10000000000025</v>
      </c>
      <c r="F144" s="7">
        <v>1718.2000000000005</v>
      </c>
      <c r="G144" s="7">
        <v>4295.5000000000009</v>
      </c>
      <c r="H144" s="7">
        <v>2577.3000000000002</v>
      </c>
      <c r="I144" s="7">
        <v>3630.0000000000009</v>
      </c>
      <c r="J144" s="7">
        <v>0</v>
      </c>
      <c r="K144" s="7">
        <v>3630.0000000000009</v>
      </c>
      <c r="L144" s="7">
        <v>3630.0000000000009</v>
      </c>
      <c r="M144" s="13" t="s">
        <v>200</v>
      </c>
      <c r="N144" s="7">
        <f t="shared" si="95"/>
        <v>34218.800000000003</v>
      </c>
      <c r="O144" s="7">
        <f t="shared" si="90"/>
        <v>7260.0000000000018</v>
      </c>
      <c r="P144" s="7">
        <f t="shared" si="96"/>
        <v>41478.800000000003</v>
      </c>
      <c r="Q144" s="7">
        <v>41478.800000000003</v>
      </c>
      <c r="R144" s="7">
        <f t="shared" si="92"/>
        <v>0</v>
      </c>
      <c r="S144" s="7"/>
      <c r="T144" s="7">
        <f>CEO!T144+CS!T144+CFO!T144+LLA!T144+'C&amp;E'!T144+CES!T144+LLT!T144+GB!T144</f>
        <v>0</v>
      </c>
      <c r="U144" s="7">
        <f t="shared" si="93"/>
        <v>41478.800000000003</v>
      </c>
      <c r="V144" s="7">
        <f t="shared" si="97"/>
        <v>0</v>
      </c>
      <c r="W144" s="7"/>
      <c r="X144" s="7"/>
      <c r="Y144" s="7"/>
      <c r="Z144" s="7">
        <v>41478.800000000003</v>
      </c>
      <c r="AA144" s="7">
        <f t="shared" si="94"/>
        <v>45626.680000000008</v>
      </c>
      <c r="AC144" s="295">
        <f t="shared" si="62"/>
        <v>0</v>
      </c>
    </row>
    <row r="145" spans="1:29" x14ac:dyDescent="0.3">
      <c r="A145" s="7">
        <v>4295.5000000000009</v>
      </c>
      <c r="B145" s="7">
        <v>20031.550000000003</v>
      </c>
      <c r="C145" s="7">
        <v>17702.300000000003</v>
      </c>
      <c r="D145" s="7">
        <v>14907.200000000003</v>
      </c>
      <c r="E145" s="7">
        <v>20963.25</v>
      </c>
      <c r="F145" s="7">
        <v>16220.050000000003</v>
      </c>
      <c r="G145" s="7">
        <v>14442.560000000001</v>
      </c>
      <c r="H145" s="7">
        <v>19099.850000000002</v>
      </c>
      <c r="I145" s="7">
        <v>14677.300000000003</v>
      </c>
      <c r="J145" s="7">
        <v>7768.2000000000016</v>
      </c>
      <c r="K145" s="7">
        <v>14677.300000000003</v>
      </c>
      <c r="L145" s="7">
        <v>14677.300000000003</v>
      </c>
      <c r="M145" s="13" t="s">
        <v>201</v>
      </c>
      <c r="N145" s="7">
        <f t="shared" si="95"/>
        <v>150107.76000000004</v>
      </c>
      <c r="O145" s="7">
        <f t="shared" si="90"/>
        <v>29354.600000000006</v>
      </c>
      <c r="P145" s="7">
        <f t="shared" si="96"/>
        <v>179462.36000000004</v>
      </c>
      <c r="Q145" s="7">
        <v>179462.36000000002</v>
      </c>
      <c r="R145" s="7">
        <f t="shared" si="92"/>
        <v>0</v>
      </c>
      <c r="S145" s="7"/>
      <c r="T145" s="7">
        <f>CEO!T145+CS!T145+CFO!T145+LLA!T145+'C&amp;E'!T145+CES!T145+LLT!T145+GB!T145</f>
        <v>0</v>
      </c>
      <c r="U145" s="7">
        <f t="shared" si="93"/>
        <v>179462.36000000002</v>
      </c>
      <c r="V145" s="7">
        <f t="shared" si="97"/>
        <v>0</v>
      </c>
      <c r="W145" s="7"/>
      <c r="X145" s="7"/>
      <c r="Y145" s="7"/>
      <c r="Z145" s="7">
        <v>179462.36000000002</v>
      </c>
      <c r="AA145" s="7">
        <f t="shared" si="94"/>
        <v>197408.59600000002</v>
      </c>
      <c r="AC145" s="295">
        <f t="shared" si="62"/>
        <v>0</v>
      </c>
    </row>
    <row r="146" spans="1:29" x14ac:dyDescent="0.3">
      <c r="A146" s="7">
        <v>0</v>
      </c>
      <c r="B146" s="7">
        <v>7731.9000000000015</v>
      </c>
      <c r="C146" s="7">
        <v>6872.800000000002</v>
      </c>
      <c r="D146" s="7">
        <v>7731.9000000000015</v>
      </c>
      <c r="E146" s="7">
        <v>41236.800000000003</v>
      </c>
      <c r="F146" s="7">
        <v>8663.6000000000022</v>
      </c>
      <c r="G146" s="7">
        <v>27491.200000000008</v>
      </c>
      <c r="H146" s="7">
        <v>12886.500000000004</v>
      </c>
      <c r="I146" s="7">
        <v>7260.0000000000018</v>
      </c>
      <c r="J146" s="7">
        <v>3630.0000000000009</v>
      </c>
      <c r="K146" s="7">
        <v>7260.0000000000018</v>
      </c>
      <c r="L146" s="7">
        <v>7260.0000000000018</v>
      </c>
      <c r="M146" s="390" t="s">
        <v>202</v>
      </c>
      <c r="N146" s="7">
        <f t="shared" si="95"/>
        <v>123504.70000000003</v>
      </c>
      <c r="O146" s="7">
        <f t="shared" si="90"/>
        <v>14520.000000000004</v>
      </c>
      <c r="P146" s="7">
        <f t="shared" si="96"/>
        <v>138024.70000000004</v>
      </c>
      <c r="Q146" s="7">
        <v>138024.70000000001</v>
      </c>
      <c r="R146" s="7">
        <f t="shared" si="92"/>
        <v>0</v>
      </c>
      <c r="S146" s="7"/>
      <c r="T146" s="7">
        <f>CEO!T146+CS!T146+CFO!T146+LLA!T146+'C&amp;E'!T146+CES!T146+LLT!T146+GB!T146</f>
        <v>0</v>
      </c>
      <c r="U146" s="7">
        <f t="shared" si="93"/>
        <v>138024.70000000001</v>
      </c>
      <c r="V146" s="7">
        <f t="shared" si="97"/>
        <v>0</v>
      </c>
      <c r="W146" s="7"/>
      <c r="X146" s="7"/>
      <c r="Y146" s="7"/>
      <c r="Z146" s="7">
        <v>138024.70000000001</v>
      </c>
      <c r="AA146" s="7">
        <f t="shared" si="94"/>
        <v>151827.17000000001</v>
      </c>
      <c r="AC146" s="295">
        <f t="shared" si="62"/>
        <v>0</v>
      </c>
    </row>
    <row r="147" spans="1:29" x14ac:dyDescent="0.3">
      <c r="A147" s="7">
        <v>0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13" t="s">
        <v>203</v>
      </c>
      <c r="N147" s="7">
        <f t="shared" si="95"/>
        <v>0</v>
      </c>
      <c r="O147" s="7">
        <f t="shared" si="90"/>
        <v>0</v>
      </c>
      <c r="P147" s="7">
        <f t="shared" si="96"/>
        <v>0</v>
      </c>
      <c r="Q147" s="7">
        <v>0</v>
      </c>
      <c r="R147" s="7">
        <f t="shared" si="92"/>
        <v>0</v>
      </c>
      <c r="S147" s="7"/>
      <c r="T147" s="7">
        <f>CEO!T147+CS!T147+CFO!T147+LLA!T147+'C&amp;E'!T147+CES!T147+LLT!T147+GB!T147</f>
        <v>0</v>
      </c>
      <c r="U147" s="7">
        <f t="shared" si="93"/>
        <v>0</v>
      </c>
      <c r="V147" s="7">
        <f t="shared" si="97"/>
        <v>0</v>
      </c>
      <c r="W147" s="7"/>
      <c r="X147" s="7"/>
      <c r="Y147" s="7"/>
      <c r="Z147" s="7">
        <v>0</v>
      </c>
      <c r="AA147" s="7">
        <f t="shared" si="94"/>
        <v>0</v>
      </c>
      <c r="AC147" s="295">
        <f t="shared" si="62"/>
        <v>0</v>
      </c>
    </row>
    <row r="148" spans="1:29" x14ac:dyDescent="0.3">
      <c r="A148" s="7">
        <v>0</v>
      </c>
      <c r="B148" s="7">
        <v>1863.4000000000003</v>
      </c>
      <c r="C148" s="7">
        <v>1863.4000000000003</v>
      </c>
      <c r="D148" s="7">
        <v>931.70000000000016</v>
      </c>
      <c r="E148" s="7">
        <v>465.85000000000008</v>
      </c>
      <c r="F148" s="7">
        <v>931.70000000000016</v>
      </c>
      <c r="G148" s="7">
        <v>465.85000000000008</v>
      </c>
      <c r="H148" s="7">
        <v>931.70000000000016</v>
      </c>
      <c r="I148" s="7">
        <v>490.05000000000013</v>
      </c>
      <c r="J148" s="7">
        <v>0</v>
      </c>
      <c r="K148" s="7">
        <v>490.05000000000013</v>
      </c>
      <c r="L148" s="7">
        <v>490.05000000000013</v>
      </c>
      <c r="M148" s="13" t="s">
        <v>204</v>
      </c>
      <c r="N148" s="7">
        <f t="shared" si="95"/>
        <v>7943.6500000000015</v>
      </c>
      <c r="O148" s="7">
        <f t="shared" si="90"/>
        <v>980.10000000000025</v>
      </c>
      <c r="P148" s="7">
        <f t="shared" si="96"/>
        <v>8923.7500000000018</v>
      </c>
      <c r="Q148" s="7">
        <v>8923.7500000000018</v>
      </c>
      <c r="R148" s="7">
        <f t="shared" si="92"/>
        <v>0</v>
      </c>
      <c r="S148" s="7"/>
      <c r="T148" s="7">
        <f>CEO!T148+CS!T148+CFO!T148+LLA!T148+'C&amp;E'!T148+CES!T148+LLT!T148+GB!T148</f>
        <v>0</v>
      </c>
      <c r="U148" s="7">
        <f t="shared" si="93"/>
        <v>8923.7500000000018</v>
      </c>
      <c r="V148" s="7">
        <f t="shared" si="97"/>
        <v>0</v>
      </c>
      <c r="W148" s="7"/>
      <c r="X148" s="7"/>
      <c r="Y148" s="7"/>
      <c r="Z148" s="7">
        <v>8923.7500000000018</v>
      </c>
      <c r="AA148" s="7">
        <f t="shared" si="94"/>
        <v>9816.1250000000036</v>
      </c>
      <c r="AC148" s="295">
        <f t="shared" si="62"/>
        <v>0</v>
      </c>
    </row>
    <row r="149" spans="1:29" x14ac:dyDescent="0.3">
      <c r="A149" s="7">
        <v>0</v>
      </c>
      <c r="B149" s="7">
        <v>0</v>
      </c>
      <c r="C149" s="7">
        <v>0</v>
      </c>
      <c r="D149" s="7">
        <v>0</v>
      </c>
      <c r="E149" s="7">
        <v>465.85000000000008</v>
      </c>
      <c r="F149" s="7">
        <v>0</v>
      </c>
      <c r="G149" s="7">
        <v>0</v>
      </c>
      <c r="H149" s="7">
        <v>0</v>
      </c>
      <c r="I149" s="7">
        <v>465.85000000000008</v>
      </c>
      <c r="J149" s="7">
        <v>490.05000000000013</v>
      </c>
      <c r="K149" s="7">
        <v>465.85000000000008</v>
      </c>
      <c r="L149" s="7">
        <v>465.85000000000008</v>
      </c>
      <c r="M149" s="390" t="s">
        <v>205</v>
      </c>
      <c r="N149" s="7">
        <f t="shared" si="95"/>
        <v>1421.7500000000002</v>
      </c>
      <c r="O149" s="7">
        <f t="shared" si="90"/>
        <v>931.70000000000016</v>
      </c>
      <c r="P149" s="7">
        <f t="shared" si="96"/>
        <v>2353.4500000000003</v>
      </c>
      <c r="Q149" s="7">
        <v>2353.4500000000007</v>
      </c>
      <c r="R149" s="7">
        <f t="shared" si="92"/>
        <v>0</v>
      </c>
      <c r="S149" s="7"/>
      <c r="T149" s="7">
        <f>CEO!T149+CS!T149+CFO!T149+LLA!T149+'C&amp;E'!T149+CES!T149+LLT!T149+GB!T149</f>
        <v>0</v>
      </c>
      <c r="U149" s="7">
        <f t="shared" si="93"/>
        <v>2353.4500000000007</v>
      </c>
      <c r="V149" s="7">
        <f t="shared" si="97"/>
        <v>0</v>
      </c>
      <c r="W149" s="7"/>
      <c r="X149" s="7"/>
      <c r="Y149" s="7"/>
      <c r="Z149" s="7">
        <v>2353.4500000000007</v>
      </c>
      <c r="AA149" s="7">
        <f t="shared" si="94"/>
        <v>2588.795000000001</v>
      </c>
      <c r="AC149" s="295">
        <f t="shared" si="62"/>
        <v>0</v>
      </c>
    </row>
    <row r="150" spans="1:29" x14ac:dyDescent="0.3">
      <c r="A150" s="7">
        <v>0</v>
      </c>
      <c r="B150" s="7">
        <v>0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13" t="s">
        <v>206</v>
      </c>
      <c r="N150" s="7">
        <f t="shared" si="95"/>
        <v>0</v>
      </c>
      <c r="O150" s="7">
        <f t="shared" si="90"/>
        <v>0</v>
      </c>
      <c r="P150" s="7">
        <f t="shared" si="96"/>
        <v>0</v>
      </c>
      <c r="Q150" s="7">
        <v>0</v>
      </c>
      <c r="R150" s="7">
        <f t="shared" si="92"/>
        <v>0</v>
      </c>
      <c r="S150" s="7"/>
      <c r="T150" s="7">
        <f>CEO!T150+CS!T150+CFO!T150+LLA!T150+'C&amp;E'!T150+CES!T150+LLT!T150+GB!T150</f>
        <v>0</v>
      </c>
      <c r="U150" s="7">
        <f t="shared" si="93"/>
        <v>0</v>
      </c>
      <c r="V150" s="7">
        <f t="shared" si="97"/>
        <v>0</v>
      </c>
      <c r="W150" s="7"/>
      <c r="X150" s="7"/>
      <c r="Y150" s="7"/>
      <c r="Z150" s="7">
        <v>0</v>
      </c>
      <c r="AA150" s="7">
        <f t="shared" si="94"/>
        <v>0</v>
      </c>
      <c r="AC150" s="295">
        <f t="shared" si="62"/>
        <v>0</v>
      </c>
    </row>
    <row r="151" spans="1:29" x14ac:dyDescent="0.3">
      <c r="A151" s="7">
        <v>0</v>
      </c>
      <c r="B151" s="7">
        <v>0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13" t="s">
        <v>207</v>
      </c>
      <c r="N151" s="7">
        <f t="shared" si="95"/>
        <v>0</v>
      </c>
      <c r="O151" s="7">
        <f t="shared" si="90"/>
        <v>0</v>
      </c>
      <c r="P151" s="7">
        <f t="shared" si="96"/>
        <v>0</v>
      </c>
      <c r="Q151" s="7">
        <v>0</v>
      </c>
      <c r="R151" s="7">
        <f t="shared" si="92"/>
        <v>0</v>
      </c>
      <c r="S151" s="7"/>
      <c r="T151" s="7">
        <f>CEO!T151+CS!T151+CFO!T151+LLA!T151+'C&amp;E'!T151+CES!T151+LLT!T151+GB!T151</f>
        <v>0</v>
      </c>
      <c r="U151" s="7">
        <f t="shared" si="93"/>
        <v>0</v>
      </c>
      <c r="V151" s="7">
        <f t="shared" si="97"/>
        <v>0</v>
      </c>
      <c r="W151" s="7"/>
      <c r="X151" s="7"/>
      <c r="Y151" s="7"/>
      <c r="Z151" s="7">
        <v>0</v>
      </c>
      <c r="AA151" s="7">
        <f t="shared" si="94"/>
        <v>0</v>
      </c>
      <c r="AC151" s="295">
        <f t="shared" si="62"/>
        <v>0</v>
      </c>
    </row>
    <row r="152" spans="1:29" x14ac:dyDescent="0.3">
      <c r="A152" s="7">
        <v>0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390" t="s">
        <v>208</v>
      </c>
      <c r="N152" s="7">
        <f t="shared" si="95"/>
        <v>0</v>
      </c>
      <c r="O152" s="7">
        <f t="shared" si="90"/>
        <v>0</v>
      </c>
      <c r="P152" s="7">
        <f t="shared" si="96"/>
        <v>0</v>
      </c>
      <c r="Q152" s="7">
        <v>0</v>
      </c>
      <c r="R152" s="7">
        <f t="shared" si="92"/>
        <v>0</v>
      </c>
      <c r="S152" s="7"/>
      <c r="T152" s="7">
        <f>CEO!T152+CS!T152+CFO!T152+LLA!T152+'C&amp;E'!T152+CES!T152+LLT!T152+GB!T152</f>
        <v>0</v>
      </c>
      <c r="U152" s="7">
        <f t="shared" si="93"/>
        <v>0</v>
      </c>
      <c r="V152" s="7">
        <f t="shared" si="97"/>
        <v>0</v>
      </c>
      <c r="W152" s="7"/>
      <c r="X152" s="7"/>
      <c r="Y152" s="7"/>
      <c r="Z152" s="7">
        <v>0</v>
      </c>
      <c r="AA152" s="7">
        <f t="shared" si="94"/>
        <v>0</v>
      </c>
      <c r="AC152" s="295">
        <f t="shared" si="62"/>
        <v>0</v>
      </c>
    </row>
    <row r="153" spans="1:29" x14ac:dyDescent="0.3">
      <c r="A153" s="7">
        <v>1863.4000000000003</v>
      </c>
      <c r="B153" s="7">
        <v>3260.9500000000007</v>
      </c>
      <c r="C153" s="7">
        <v>2329.25</v>
      </c>
      <c r="D153" s="7">
        <v>3260.9500000000007</v>
      </c>
      <c r="E153" s="7">
        <v>3260.9500000000007</v>
      </c>
      <c r="F153" s="7">
        <v>1397.5500000000002</v>
      </c>
      <c r="G153" s="7">
        <v>1863.4000000000003</v>
      </c>
      <c r="H153" s="7">
        <v>1863.4000000000003</v>
      </c>
      <c r="I153" s="7">
        <v>0</v>
      </c>
      <c r="J153" s="7">
        <v>1373.3500000000001</v>
      </c>
      <c r="K153" s="7">
        <v>0</v>
      </c>
      <c r="L153" s="7">
        <v>0</v>
      </c>
      <c r="M153" s="13" t="s">
        <v>209</v>
      </c>
      <c r="N153" s="7">
        <f t="shared" si="95"/>
        <v>20473.200000000004</v>
      </c>
      <c r="O153" s="7">
        <f t="shared" si="90"/>
        <v>0</v>
      </c>
      <c r="P153" s="7">
        <f t="shared" si="96"/>
        <v>20473.200000000004</v>
      </c>
      <c r="Q153" s="7">
        <v>20473.200000000004</v>
      </c>
      <c r="R153" s="7">
        <f t="shared" si="92"/>
        <v>0</v>
      </c>
      <c r="S153" s="7"/>
      <c r="T153" s="7">
        <f>CEO!T153+CS!T153+CFO!T153+LLA!T153+'C&amp;E'!T153+CES!T153+LLT!T153+GB!T153</f>
        <v>0</v>
      </c>
      <c r="U153" s="7">
        <f t="shared" si="93"/>
        <v>20473.200000000004</v>
      </c>
      <c r="V153" s="7">
        <f t="shared" si="97"/>
        <v>0</v>
      </c>
      <c r="W153" s="7"/>
      <c r="X153" s="7"/>
      <c r="Y153" s="7"/>
      <c r="Z153" s="7">
        <v>20473.200000000004</v>
      </c>
      <c r="AA153" s="7">
        <f t="shared" si="94"/>
        <v>22520.520000000008</v>
      </c>
      <c r="AC153" s="295">
        <f t="shared" si="62"/>
        <v>0</v>
      </c>
    </row>
    <row r="154" spans="1:29" x14ac:dyDescent="0.3">
      <c r="A154" s="7">
        <v>859.10000000000025</v>
      </c>
      <c r="B154" s="7">
        <v>2577.3000000000002</v>
      </c>
      <c r="C154" s="7">
        <v>2577.3000000000002</v>
      </c>
      <c r="D154" s="7">
        <v>5154.6000000000004</v>
      </c>
      <c r="E154" s="7">
        <v>6800.2000000000016</v>
      </c>
      <c r="F154" s="7">
        <v>2577.3000000000002</v>
      </c>
      <c r="G154" s="7">
        <v>7659.300000000002</v>
      </c>
      <c r="H154" s="7">
        <v>6872.800000000002</v>
      </c>
      <c r="I154" s="7">
        <v>859.10000000000025</v>
      </c>
      <c r="J154" s="7">
        <v>1766.6000000000004</v>
      </c>
      <c r="K154" s="7">
        <v>859.10000000000025</v>
      </c>
      <c r="L154" s="7">
        <v>859.10000000000025</v>
      </c>
      <c r="M154" s="13" t="s">
        <v>210</v>
      </c>
      <c r="N154" s="7">
        <f t="shared" si="95"/>
        <v>37703.600000000006</v>
      </c>
      <c r="O154" s="7">
        <f t="shared" si="90"/>
        <v>1718.2000000000005</v>
      </c>
      <c r="P154" s="7">
        <f t="shared" si="96"/>
        <v>39421.800000000003</v>
      </c>
      <c r="Q154" s="7">
        <v>39421.800000000003</v>
      </c>
      <c r="R154" s="7">
        <f t="shared" si="92"/>
        <v>0</v>
      </c>
      <c r="S154" s="7"/>
      <c r="T154" s="7">
        <f>CEO!T154+CS!T154+CFO!T154+LLA!T154+'C&amp;E'!T154+CES!T154+LLT!T154+GB!T154</f>
        <v>0</v>
      </c>
      <c r="U154" s="7">
        <f t="shared" si="93"/>
        <v>39421.800000000003</v>
      </c>
      <c r="V154" s="7">
        <f t="shared" si="97"/>
        <v>0</v>
      </c>
      <c r="W154" s="7"/>
      <c r="X154" s="7"/>
      <c r="Y154" s="7"/>
      <c r="Z154" s="7">
        <v>39421.800000000003</v>
      </c>
      <c r="AA154" s="7">
        <f t="shared" si="94"/>
        <v>43363.98</v>
      </c>
      <c r="AC154" s="295">
        <f t="shared" si="62"/>
        <v>0</v>
      </c>
    </row>
    <row r="155" spans="1:29" x14ac:dyDescent="0.3">
      <c r="A155" s="7">
        <v>97598.6</v>
      </c>
      <c r="B155" s="7">
        <v>96775.8</v>
      </c>
      <c r="C155" s="7">
        <v>89685.200000000012</v>
      </c>
      <c r="D155" s="7">
        <v>161075.20000000001</v>
      </c>
      <c r="E155" s="7">
        <v>187283.80000000002</v>
      </c>
      <c r="F155" s="7">
        <v>81771.8</v>
      </c>
      <c r="G155" s="7">
        <v>123758.80000000003</v>
      </c>
      <c r="H155" s="7">
        <v>112602.60000000002</v>
      </c>
      <c r="I155" s="7">
        <v>45816.65</v>
      </c>
      <c r="J155" s="7">
        <v>98161.250000000015</v>
      </c>
      <c r="K155" s="7">
        <v>45816.65</v>
      </c>
      <c r="L155" s="7">
        <v>45816.65</v>
      </c>
      <c r="M155" s="390" t="s">
        <v>211</v>
      </c>
      <c r="N155" s="7">
        <f t="shared" si="95"/>
        <v>1094529.7000000002</v>
      </c>
      <c r="O155" s="7">
        <f t="shared" si="90"/>
        <v>91633.3</v>
      </c>
      <c r="P155" s="7">
        <f t="shared" si="96"/>
        <v>1186163.0000000002</v>
      </c>
      <c r="Q155" s="7">
        <v>1296163</v>
      </c>
      <c r="R155" s="7">
        <f>Q155-P155</f>
        <v>109999.99999999977</v>
      </c>
      <c r="S155" s="7"/>
      <c r="T155" s="7">
        <f>CEO!T155+CS!T155+CFO!T155+LLA!T155+'C&amp;E'!T155+CES!T155+LLT!T155+GB!T155</f>
        <v>0</v>
      </c>
      <c r="U155" s="7">
        <f t="shared" si="93"/>
        <v>1296163</v>
      </c>
      <c r="V155" s="7">
        <f t="shared" si="97"/>
        <v>109999.99999999977</v>
      </c>
      <c r="W155" s="7"/>
      <c r="X155" s="7"/>
      <c r="Y155" s="7"/>
      <c r="Z155" s="7">
        <v>1296163</v>
      </c>
      <c r="AA155" s="7">
        <f t="shared" si="94"/>
        <v>1425779.3</v>
      </c>
      <c r="AC155" s="295">
        <f t="shared" si="62"/>
        <v>0</v>
      </c>
    </row>
    <row r="156" spans="1:29" x14ac:dyDescent="0.3">
      <c r="A156" s="7">
        <v>199383.80000000005</v>
      </c>
      <c r="B156" s="7">
        <v>208452.75000000006</v>
      </c>
      <c r="C156" s="7">
        <v>109613.90000000002</v>
      </c>
      <c r="D156" s="7">
        <v>166375</v>
      </c>
      <c r="E156" s="7">
        <v>180187.15000000002</v>
      </c>
      <c r="F156" s="7">
        <v>171632.45</v>
      </c>
      <c r="G156" s="7">
        <v>207968.75000000006</v>
      </c>
      <c r="H156" s="7">
        <v>272969.95000000007</v>
      </c>
      <c r="I156" s="7">
        <v>428636.45000000007</v>
      </c>
      <c r="J156" s="7">
        <v>167209.90000000002</v>
      </c>
      <c r="K156" s="7">
        <v>211242.90000000002</v>
      </c>
      <c r="L156" s="7">
        <v>211242.90000000002</v>
      </c>
      <c r="M156" s="13" t="s">
        <v>212</v>
      </c>
      <c r="N156" s="7">
        <f t="shared" si="95"/>
        <v>2112430.1000000006</v>
      </c>
      <c r="O156" s="7">
        <f t="shared" si="90"/>
        <v>422485.80000000005</v>
      </c>
      <c r="P156" s="7">
        <f t="shared" si="96"/>
        <v>2534915.9000000004</v>
      </c>
      <c r="Q156" s="7">
        <v>2534915.9000000004</v>
      </c>
      <c r="R156" s="7">
        <f t="shared" si="92"/>
        <v>0</v>
      </c>
      <c r="S156" s="7">
        <v>371993</v>
      </c>
      <c r="T156" s="7">
        <f>CEO!T156+CS!T156+CFO!T156+LLA!T156+'C&amp;E'!T156+CES!T156+LLT!T156+GB!T156</f>
        <v>0</v>
      </c>
      <c r="U156" s="7">
        <f t="shared" si="93"/>
        <v>2906908.9000000004</v>
      </c>
      <c r="V156" s="7">
        <f t="shared" si="97"/>
        <v>371993</v>
      </c>
      <c r="W156" s="7"/>
      <c r="X156" s="7"/>
      <c r="Y156" s="7"/>
      <c r="Z156" s="7">
        <v>2534915.9000000004</v>
      </c>
      <c r="AA156" s="7">
        <f t="shared" si="94"/>
        <v>2788407.4900000007</v>
      </c>
      <c r="AC156" s="295">
        <f t="shared" si="62"/>
        <v>0</v>
      </c>
    </row>
    <row r="157" spans="1:29" x14ac:dyDescent="0.3">
      <c r="A157" s="7">
        <v>26426.400000000005</v>
      </c>
      <c r="B157" s="7">
        <v>101621.85000000002</v>
      </c>
      <c r="C157" s="7">
        <v>88190.85</v>
      </c>
      <c r="D157" s="7">
        <v>54921.900000000016</v>
      </c>
      <c r="E157" s="7">
        <v>117987.10000000002</v>
      </c>
      <c r="F157" s="7">
        <v>45084.600000000006</v>
      </c>
      <c r="G157" s="7">
        <v>118985.35000000002</v>
      </c>
      <c r="H157" s="7">
        <v>60669.400000000016</v>
      </c>
      <c r="I157" s="7">
        <v>34769.350000000006</v>
      </c>
      <c r="J157" s="7">
        <v>25639.900000000005</v>
      </c>
      <c r="K157" s="7">
        <v>34769.350000000006</v>
      </c>
      <c r="L157" s="7">
        <v>34769.350000000006</v>
      </c>
      <c r="M157" s="13" t="s">
        <v>213</v>
      </c>
      <c r="N157" s="7">
        <f t="shared" si="95"/>
        <v>674296.70000000007</v>
      </c>
      <c r="O157" s="7">
        <f t="shared" si="90"/>
        <v>69538.700000000012</v>
      </c>
      <c r="P157" s="7">
        <f t="shared" si="96"/>
        <v>743835.40000000014</v>
      </c>
      <c r="Q157" s="7">
        <v>743835.4</v>
      </c>
      <c r="R157" s="7">
        <f t="shared" si="92"/>
        <v>0</v>
      </c>
      <c r="S157" s="7"/>
      <c r="T157" s="7">
        <f>CEO!T157+CS!T157+CFO!T157+LLA!T157+'C&amp;E'!T157+CES!T157+LLT!T157+GB!T157</f>
        <v>0</v>
      </c>
      <c r="U157" s="7">
        <f t="shared" si="93"/>
        <v>743835.4</v>
      </c>
      <c r="V157" s="7">
        <f t="shared" si="97"/>
        <v>0</v>
      </c>
      <c r="W157" s="7"/>
      <c r="X157" s="7"/>
      <c r="Y157" s="7"/>
      <c r="Z157" s="7">
        <v>743835.4</v>
      </c>
      <c r="AA157" s="7">
        <f t="shared" si="94"/>
        <v>818218.94000000006</v>
      </c>
      <c r="AC157" s="295">
        <f t="shared" si="62"/>
        <v>0</v>
      </c>
    </row>
    <row r="158" spans="1:29" x14ac:dyDescent="0.3">
      <c r="A158" s="7">
        <v>29348.550000000007</v>
      </c>
      <c r="B158" s="7">
        <v>35404.600000000006</v>
      </c>
      <c r="C158" s="7">
        <v>28882.700000000008</v>
      </c>
      <c r="D158" s="7">
        <v>52175.200000000012</v>
      </c>
      <c r="E158" s="7">
        <v>51546.000000000015</v>
      </c>
      <c r="F158" s="7">
        <v>74300.05</v>
      </c>
      <c r="G158" s="7">
        <v>63355.600000000013</v>
      </c>
      <c r="H158" s="7">
        <v>48448.4</v>
      </c>
      <c r="I158" s="7">
        <v>31097.000000000007</v>
      </c>
      <c r="J158" s="7">
        <v>43614.450000000004</v>
      </c>
      <c r="K158" s="7">
        <v>31097.000000000007</v>
      </c>
      <c r="L158" s="7">
        <v>31097.000000000007</v>
      </c>
      <c r="M158" s="390" t="s">
        <v>214</v>
      </c>
      <c r="N158" s="7">
        <f t="shared" si="95"/>
        <v>458172.5500000001</v>
      </c>
      <c r="O158" s="7">
        <f t="shared" si="90"/>
        <v>62194.000000000015</v>
      </c>
      <c r="P158" s="7">
        <f t="shared" si="96"/>
        <v>520366.5500000001</v>
      </c>
      <c r="Q158" s="7">
        <v>520366.5500000001</v>
      </c>
      <c r="R158" s="7">
        <f t="shared" si="92"/>
        <v>0</v>
      </c>
      <c r="S158" s="7"/>
      <c r="T158" s="7">
        <f>CEO!T158+CS!T158+CFO!T158+LLA!T158+'C&amp;E'!T158+CES!T158+LLT!T158+GB!T158</f>
        <v>0</v>
      </c>
      <c r="U158" s="7">
        <f t="shared" si="93"/>
        <v>520366.5500000001</v>
      </c>
      <c r="V158" s="7">
        <f t="shared" si="97"/>
        <v>0</v>
      </c>
      <c r="W158" s="7"/>
      <c r="X158" s="7"/>
      <c r="Y158" s="7"/>
      <c r="Z158" s="7">
        <v>520366.5500000001</v>
      </c>
      <c r="AA158" s="7">
        <f t="shared" si="94"/>
        <v>572403.20500000019</v>
      </c>
      <c r="AC158" s="295">
        <f t="shared" ref="AC158:AC172" si="98">Q158-Z158</f>
        <v>0</v>
      </c>
    </row>
    <row r="159" spans="1:29" x14ac:dyDescent="0.3">
      <c r="A159" s="7">
        <v>5154.6000000000004</v>
      </c>
      <c r="B159" s="7">
        <v>13600.400000000003</v>
      </c>
      <c r="C159" s="7">
        <v>859.10000000000025</v>
      </c>
      <c r="D159" s="7">
        <v>10309.200000000001</v>
      </c>
      <c r="E159" s="7">
        <v>6872.800000000002</v>
      </c>
      <c r="F159" s="7">
        <v>1718.2000000000005</v>
      </c>
      <c r="G159" s="7">
        <v>3436.400000000001</v>
      </c>
      <c r="H159" s="7">
        <v>859.10000000000025</v>
      </c>
      <c r="I159" s="7">
        <v>0</v>
      </c>
      <c r="J159" s="7">
        <v>859.10000000000025</v>
      </c>
      <c r="K159" s="7">
        <v>0</v>
      </c>
      <c r="L159" s="7">
        <v>0</v>
      </c>
      <c r="M159" s="13" t="s">
        <v>215</v>
      </c>
      <c r="N159" s="7">
        <f t="shared" si="95"/>
        <v>43668.9</v>
      </c>
      <c r="O159" s="7">
        <f t="shared" si="90"/>
        <v>0</v>
      </c>
      <c r="P159" s="7">
        <f t="shared" si="96"/>
        <v>43668.9</v>
      </c>
      <c r="Q159" s="7">
        <v>43668.9</v>
      </c>
      <c r="R159" s="7">
        <f t="shared" si="92"/>
        <v>0</v>
      </c>
      <c r="S159" s="7"/>
      <c r="T159" s="7">
        <f>CEO!T159+CS!T159+CFO!T159+LLA!T159+'C&amp;E'!T159+CES!T159+LLT!T159+GB!T159</f>
        <v>0</v>
      </c>
      <c r="U159" s="7">
        <f t="shared" si="93"/>
        <v>43668.9</v>
      </c>
      <c r="V159" s="7">
        <f t="shared" si="97"/>
        <v>0</v>
      </c>
      <c r="W159" s="7"/>
      <c r="X159" s="7"/>
      <c r="Y159" s="7"/>
      <c r="Z159" s="7">
        <v>43668.9</v>
      </c>
      <c r="AA159" s="7">
        <f t="shared" si="94"/>
        <v>48035.790000000008</v>
      </c>
      <c r="AC159" s="295">
        <f t="shared" si="98"/>
        <v>0</v>
      </c>
    </row>
    <row r="160" spans="1:29" x14ac:dyDescent="0.3">
      <c r="A160" s="11">
        <v>0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3" t="s">
        <v>216</v>
      </c>
      <c r="N160" s="11">
        <f t="shared" si="95"/>
        <v>0</v>
      </c>
      <c r="O160" s="11">
        <f t="shared" si="90"/>
        <v>0</v>
      </c>
      <c r="P160" s="11">
        <f t="shared" si="96"/>
        <v>0</v>
      </c>
      <c r="Q160" s="11">
        <v>0</v>
      </c>
      <c r="R160" s="11">
        <f t="shared" si="92"/>
        <v>0</v>
      </c>
      <c r="S160" s="11"/>
      <c r="T160" s="11">
        <f>CEO!T160+CS!T160+CFO!T160+LLA!T160+'C&amp;E'!T160+CES!T160+LLT!T160+GB!T160</f>
        <v>0</v>
      </c>
      <c r="U160" s="11">
        <f t="shared" si="93"/>
        <v>0</v>
      </c>
      <c r="V160" s="11">
        <f t="shared" si="97"/>
        <v>0</v>
      </c>
      <c r="W160" s="11"/>
      <c r="X160" s="11"/>
      <c r="Y160" s="11"/>
      <c r="Z160" s="11">
        <v>0</v>
      </c>
      <c r="AA160" s="11">
        <f t="shared" si="94"/>
        <v>0</v>
      </c>
      <c r="AC160" s="295">
        <f t="shared" si="98"/>
        <v>0</v>
      </c>
    </row>
    <row r="161" spans="1:29" ht="6" customHeight="1" x14ac:dyDescent="0.3">
      <c r="A161" s="81"/>
      <c r="B161" s="81"/>
      <c r="C161" s="81"/>
      <c r="D161" s="82"/>
      <c r="E161" s="81"/>
      <c r="F161" s="81"/>
      <c r="G161" s="81"/>
      <c r="H161" s="81"/>
      <c r="I161" s="81"/>
      <c r="J161" s="81"/>
      <c r="K161" s="81"/>
      <c r="L161" s="81"/>
      <c r="M161" s="13"/>
      <c r="N161" s="81">
        <f t="shared" si="95"/>
        <v>0</v>
      </c>
      <c r="O161" s="81">
        <f t="shared" si="90"/>
        <v>0</v>
      </c>
      <c r="P161" s="81">
        <f t="shared" si="96"/>
        <v>0</v>
      </c>
      <c r="Q161" s="81"/>
      <c r="R161" s="81">
        <f t="shared" ref="R161:R171" si="99">P161-Q161</f>
        <v>0</v>
      </c>
      <c r="S161" s="81">
        <f>CEO!S161+CS!S161+CFO!S161+LLA!S161+'C&amp;E'!S161+CES!S161+LLT!S161+GB!S161</f>
        <v>0</v>
      </c>
      <c r="T161" s="81">
        <f>CEO!T161+CS!T161+CFO!T161+LLA!T161+'C&amp;E'!T161+CES!T161+LLT!T161+GB!T161</f>
        <v>0</v>
      </c>
      <c r="U161" s="81">
        <f t="shared" si="93"/>
        <v>0</v>
      </c>
      <c r="V161" s="81">
        <f t="shared" si="97"/>
        <v>0</v>
      </c>
      <c r="W161" s="81"/>
      <c r="X161" s="81"/>
      <c r="Y161" s="81"/>
      <c r="Z161" s="81"/>
      <c r="AA161" s="81"/>
      <c r="AC161" s="295">
        <f t="shared" si="98"/>
        <v>0</v>
      </c>
    </row>
    <row r="162" spans="1:29" x14ac:dyDescent="0.3">
      <c r="A162" s="4">
        <f t="shared" ref="A162:F162" si="100">SUM(A131:A160)</f>
        <v>768930.8</v>
      </c>
      <c r="B162" s="4">
        <f t="shared" si="100"/>
        <v>1264177.7500000002</v>
      </c>
      <c r="C162" s="4">
        <f t="shared" si="100"/>
        <v>597747.01800000004</v>
      </c>
      <c r="D162" s="4">
        <f t="shared" si="100"/>
        <v>709168.90000000014</v>
      </c>
      <c r="E162" s="4">
        <f t="shared" si="100"/>
        <v>1153977</v>
      </c>
      <c r="F162" s="4">
        <f t="shared" si="100"/>
        <v>837507.55000000016</v>
      </c>
      <c r="G162" s="4">
        <f t="shared" ref="G162:L162" si="101">SUM(G131:G160)</f>
        <v>1079151.81</v>
      </c>
      <c r="H162" s="4">
        <f t="shared" si="101"/>
        <v>1073251.8500000003</v>
      </c>
      <c r="I162" s="4">
        <f t="shared" si="101"/>
        <v>904281.4</v>
      </c>
      <c r="J162" s="4">
        <f t="shared" si="101"/>
        <v>1095458.3750000002</v>
      </c>
      <c r="K162" s="4">
        <f t="shared" si="101"/>
        <v>1291887.8500000003</v>
      </c>
      <c r="L162" s="4">
        <f t="shared" si="101"/>
        <v>1291887.8500000003</v>
      </c>
      <c r="M162" s="13" t="s">
        <v>217</v>
      </c>
      <c r="N162" s="4">
        <f t="shared" ref="N162:P162" si="102">SUM(N131:N160)</f>
        <v>9483652.4530000035</v>
      </c>
      <c r="O162" s="4">
        <f t="shared" si="102"/>
        <v>2583775.7000000007</v>
      </c>
      <c r="P162" s="4">
        <f t="shared" si="102"/>
        <v>12067428.153000005</v>
      </c>
      <c r="Q162" s="4">
        <f>SUM(Q131:Q160)</f>
        <v>12177428.153000003</v>
      </c>
      <c r="R162" s="4">
        <f>SUM(R131:R160)</f>
        <v>109999.99999999977</v>
      </c>
      <c r="S162" s="4">
        <f>SUM(S131:S160)</f>
        <v>371993</v>
      </c>
      <c r="T162" s="4">
        <f>CEO!T162+CS!T162+CFO!T162+LLA!T162+'C&amp;E'!T162+CES!T162+LLT!T162+GB!T162</f>
        <v>0</v>
      </c>
      <c r="U162" s="4">
        <f t="shared" si="93"/>
        <v>12549421.153000003</v>
      </c>
      <c r="V162" s="4">
        <f t="shared" si="97"/>
        <v>481992.99999999814</v>
      </c>
      <c r="W162" s="4"/>
      <c r="X162" s="4"/>
      <c r="Y162" s="4"/>
      <c r="Z162" s="4">
        <f>SUM(Z131:Z160)</f>
        <v>12177428.153000001</v>
      </c>
      <c r="AA162" s="4">
        <f>SUM(AA131:AA160)</f>
        <v>13395170.9683</v>
      </c>
      <c r="AC162" s="295">
        <f t="shared" si="98"/>
        <v>0</v>
      </c>
    </row>
    <row r="163" spans="1:29" ht="6.6" customHeight="1" x14ac:dyDescent="0.3">
      <c r="A163" s="81"/>
      <c r="B163" s="81"/>
      <c r="C163" s="81"/>
      <c r="D163" s="82"/>
      <c r="E163" s="95"/>
      <c r="F163" s="95"/>
      <c r="G163" s="95"/>
      <c r="H163" s="95"/>
      <c r="I163" s="95"/>
      <c r="J163" s="95"/>
      <c r="K163" s="95"/>
      <c r="L163" s="95"/>
      <c r="M163" s="122"/>
      <c r="N163" s="95">
        <f t="shared" si="95"/>
        <v>0</v>
      </c>
      <c r="O163" s="95">
        <f t="shared" si="90"/>
        <v>0</v>
      </c>
      <c r="P163" s="95">
        <f t="shared" si="96"/>
        <v>0</v>
      </c>
      <c r="Q163" s="95"/>
      <c r="R163" s="95">
        <f t="shared" si="99"/>
        <v>0</v>
      </c>
      <c r="S163" s="95">
        <f>CEO!S163+CS!S163+CFO!S163+LLA!S163+'C&amp;E'!S163+CES!S163+LLT!S163+GB!S163</f>
        <v>0</v>
      </c>
      <c r="T163" s="95">
        <f>CEO!T163+CS!T163+CFO!T163+LLA!T163+'C&amp;E'!T163+CES!T163+LLT!T163+GB!T163</f>
        <v>0</v>
      </c>
      <c r="U163" s="95">
        <f t="shared" si="93"/>
        <v>0</v>
      </c>
      <c r="V163" s="95">
        <f t="shared" si="97"/>
        <v>0</v>
      </c>
      <c r="W163" s="81"/>
      <c r="X163" s="95"/>
      <c r="Y163" s="95"/>
      <c r="Z163" s="95"/>
      <c r="AA163" s="95"/>
      <c r="AC163" s="295">
        <f t="shared" si="98"/>
        <v>0</v>
      </c>
    </row>
    <row r="164" spans="1:29" x14ac:dyDescent="0.3">
      <c r="A164" s="8">
        <f>(42079.89+12394.27)*1.1</f>
        <v>59921.576000000008</v>
      </c>
      <c r="B164" s="8">
        <f>(38698.04+4696.58)*1.1</f>
        <v>47734.082000000009</v>
      </c>
      <c r="C164" s="8">
        <v>49370.541000000005</v>
      </c>
      <c r="D164" s="8">
        <v>40101.589</v>
      </c>
      <c r="E164" s="8">
        <v>67126.62</v>
      </c>
      <c r="F164" s="8">
        <v>44292.754000000001</v>
      </c>
      <c r="G164" s="8">
        <v>80315.796000000002</v>
      </c>
      <c r="H164" s="8">
        <v>69348.257000000012</v>
      </c>
      <c r="I164" s="8">
        <v>110042.944</v>
      </c>
      <c r="J164" s="8">
        <f>(130.52+206445.5+30470.82)*1.1</f>
        <v>260751.524</v>
      </c>
      <c r="K164" s="8">
        <v>77000</v>
      </c>
      <c r="L164" s="8">
        <v>77000</v>
      </c>
      <c r="M164" s="13" t="s">
        <v>218</v>
      </c>
      <c r="N164" s="8">
        <f t="shared" ref="N164:N168" si="103">SUM(A164:J164)</f>
        <v>829005.68300000008</v>
      </c>
      <c r="O164" s="8">
        <f t="shared" si="90"/>
        <v>154000</v>
      </c>
      <c r="P164" s="8">
        <f t="shared" si="96"/>
        <v>983005.68300000008</v>
      </c>
      <c r="Q164" s="8">
        <v>983005.68299999996</v>
      </c>
      <c r="R164" s="8">
        <f t="shared" ref="R164:R168" si="104">Q164-P164</f>
        <v>0</v>
      </c>
      <c r="S164" s="8">
        <v>150000</v>
      </c>
      <c r="T164" s="8">
        <f>CEO!T164+CS!T164+CFO!T164+LLA!T164+'C&amp;E'!T164+CES!T164+LLT!T164+GB!T164</f>
        <v>0</v>
      </c>
      <c r="U164" s="8">
        <f t="shared" si="93"/>
        <v>1133005.683</v>
      </c>
      <c r="V164" s="8">
        <f t="shared" si="97"/>
        <v>149999.99999999988</v>
      </c>
      <c r="W164" s="8"/>
      <c r="X164" s="8"/>
      <c r="Y164" s="8"/>
      <c r="Z164" s="8">
        <v>983005.68299999996</v>
      </c>
      <c r="AA164" s="8">
        <f t="shared" ref="AA164" si="105">Z164*1.1</f>
        <v>1081306.2513000001</v>
      </c>
      <c r="AC164" s="295">
        <f t="shared" si="98"/>
        <v>0</v>
      </c>
    </row>
    <row r="165" spans="1:29" x14ac:dyDescent="0.3">
      <c r="A165" s="7">
        <v>0</v>
      </c>
      <c r="B165" s="7">
        <v>0</v>
      </c>
      <c r="C165" s="7">
        <f>Z165/4</f>
        <v>11036000</v>
      </c>
      <c r="D165" s="7">
        <v>0</v>
      </c>
      <c r="E165" s="7">
        <v>11036000</v>
      </c>
      <c r="F165" s="7">
        <v>0</v>
      </c>
      <c r="G165" s="7">
        <v>0</v>
      </c>
      <c r="H165" s="7">
        <v>11036000</v>
      </c>
      <c r="I165" s="7">
        <v>0</v>
      </c>
      <c r="J165" s="7">
        <v>0</v>
      </c>
      <c r="K165" s="7">
        <v>11036000</v>
      </c>
      <c r="L165" s="7">
        <v>0</v>
      </c>
      <c r="M165" s="390" t="s">
        <v>219</v>
      </c>
      <c r="N165" s="7">
        <f t="shared" si="103"/>
        <v>33108000</v>
      </c>
      <c r="O165" s="7">
        <f t="shared" si="90"/>
        <v>11036000</v>
      </c>
      <c r="P165" s="7">
        <f t="shared" si="96"/>
        <v>44144000</v>
      </c>
      <c r="Q165" s="7">
        <v>44144000</v>
      </c>
      <c r="R165" s="7">
        <f t="shared" si="104"/>
        <v>0</v>
      </c>
      <c r="S165" s="7">
        <f>CEO!S165+CS!S165+CFO!S165+LLA!S165+'C&amp;E'!S165+CES!S165+LLT!S165+GB!S165</f>
        <v>0</v>
      </c>
      <c r="T165" s="7">
        <f>CEO!T165+CS!T165+CFO!T165+LLA!T165+'C&amp;E'!T165+CES!T165+LLT!T165+GB!T165</f>
        <v>0</v>
      </c>
      <c r="U165" s="7">
        <f t="shared" si="93"/>
        <v>44144000</v>
      </c>
      <c r="V165" s="7">
        <f t="shared" si="97"/>
        <v>0</v>
      </c>
      <c r="W165" s="7"/>
      <c r="X165" s="7"/>
      <c r="Y165" s="7"/>
      <c r="Z165" s="7">
        <v>44144000</v>
      </c>
      <c r="AA165" s="7">
        <v>45688000</v>
      </c>
      <c r="AC165" s="295">
        <f t="shared" si="98"/>
        <v>0</v>
      </c>
    </row>
    <row r="166" spans="1:29" x14ac:dyDescent="0.3">
      <c r="A166" s="7">
        <v>0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13" t="s">
        <v>220</v>
      </c>
      <c r="N166" s="7">
        <f t="shared" si="103"/>
        <v>0</v>
      </c>
      <c r="O166" s="7">
        <f t="shared" si="90"/>
        <v>0</v>
      </c>
      <c r="P166" s="7">
        <f t="shared" si="96"/>
        <v>0</v>
      </c>
      <c r="Q166" s="7">
        <v>0</v>
      </c>
      <c r="R166" s="7">
        <f t="shared" si="104"/>
        <v>0</v>
      </c>
      <c r="S166" s="7">
        <v>2819000</v>
      </c>
      <c r="T166" s="7">
        <f>CEO!T166+CS!T166+CFO!T166+LLA!T166+'C&amp;E'!T166+CES!T166+LLT!T166+GB!T166</f>
        <v>0</v>
      </c>
      <c r="U166" s="7">
        <f t="shared" si="93"/>
        <v>2819000</v>
      </c>
      <c r="V166" s="7">
        <f t="shared" si="97"/>
        <v>2819000</v>
      </c>
      <c r="W166" s="7"/>
      <c r="X166" s="7"/>
      <c r="Y166" s="7"/>
      <c r="Z166" s="7">
        <v>0</v>
      </c>
      <c r="AA166" s="7">
        <v>0</v>
      </c>
      <c r="AC166" s="295">
        <f t="shared" si="98"/>
        <v>0</v>
      </c>
    </row>
    <row r="167" spans="1:29" x14ac:dyDescent="0.3">
      <c r="A167" s="7">
        <v>0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13" t="s">
        <v>221</v>
      </c>
      <c r="N167" s="7">
        <f t="shared" si="103"/>
        <v>0</v>
      </c>
      <c r="O167" s="7">
        <f t="shared" si="90"/>
        <v>0</v>
      </c>
      <c r="P167" s="7">
        <f t="shared" si="96"/>
        <v>0</v>
      </c>
      <c r="Q167" s="7">
        <v>0</v>
      </c>
      <c r="R167" s="7">
        <f t="shared" si="104"/>
        <v>0</v>
      </c>
      <c r="S167" s="7">
        <f>3528000</f>
        <v>3528000</v>
      </c>
      <c r="T167" s="7">
        <f>CEO!T167+CS!T167+CFO!T167+LLA!T167+'C&amp;E'!T167+CES!T167+LLT!T167+GB!T167</f>
        <v>0</v>
      </c>
      <c r="U167" s="7">
        <f t="shared" si="93"/>
        <v>3528000</v>
      </c>
      <c r="V167" s="7">
        <f t="shared" si="97"/>
        <v>3528000</v>
      </c>
      <c r="W167" s="7"/>
      <c r="X167" s="7"/>
      <c r="Y167" s="7"/>
      <c r="Z167" s="7">
        <v>0</v>
      </c>
      <c r="AA167" s="7">
        <v>0</v>
      </c>
      <c r="AC167" s="295">
        <f t="shared" si="98"/>
        <v>0</v>
      </c>
    </row>
    <row r="168" spans="1:29" x14ac:dyDescent="0.3">
      <c r="A168" s="11">
        <v>0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390" t="s">
        <v>222</v>
      </c>
      <c r="N168" s="11">
        <f t="shared" si="103"/>
        <v>0</v>
      </c>
      <c r="O168" s="11">
        <f t="shared" si="90"/>
        <v>0</v>
      </c>
      <c r="P168" s="11">
        <f t="shared" si="96"/>
        <v>0</v>
      </c>
      <c r="Q168" s="11"/>
      <c r="R168" s="11">
        <f t="shared" si="104"/>
        <v>0</v>
      </c>
      <c r="S168" s="11">
        <f>CEO!S168+CS!S168+CFO!S168+LLA!S168+'C&amp;E'!S168+CES!S168+LLT!S168+GB!S168</f>
        <v>0</v>
      </c>
      <c r="T168" s="11">
        <f>CEO!T168+CS!T168+CFO!T168+LLA!T168+'C&amp;E'!T168+CES!T168+LLT!T168+GB!T168</f>
        <v>0</v>
      </c>
      <c r="U168" s="11">
        <f t="shared" si="93"/>
        <v>0</v>
      </c>
      <c r="V168" s="11">
        <f t="shared" si="97"/>
        <v>0</v>
      </c>
      <c r="W168" s="11"/>
      <c r="X168" s="11"/>
      <c r="Y168" s="11"/>
      <c r="Z168" s="11"/>
      <c r="AA168" s="11"/>
      <c r="AC168" s="295">
        <f t="shared" si="98"/>
        <v>0</v>
      </c>
    </row>
    <row r="169" spans="1:29" ht="4.2" customHeight="1" x14ac:dyDescent="0.3">
      <c r="A169" s="81"/>
      <c r="B169" s="81"/>
      <c r="C169" s="81"/>
      <c r="D169" s="82"/>
      <c r="E169" s="97"/>
      <c r="F169" s="96"/>
      <c r="G169" s="96"/>
      <c r="H169" s="96"/>
      <c r="I169" s="96"/>
      <c r="J169" s="96"/>
      <c r="K169" s="96"/>
      <c r="L169" s="96"/>
      <c r="M169" s="13"/>
      <c r="N169" s="96">
        <f t="shared" si="95"/>
        <v>0</v>
      </c>
      <c r="O169" s="96">
        <f t="shared" si="90"/>
        <v>0</v>
      </c>
      <c r="P169" s="96">
        <f t="shared" si="96"/>
        <v>0</v>
      </c>
      <c r="Q169" s="96"/>
      <c r="R169" s="96">
        <f t="shared" si="99"/>
        <v>0</v>
      </c>
      <c r="S169" s="96">
        <f>CEO!S169+CS!S169+CFO!S169+LLA!S169+'C&amp;E'!S169+CES!S169+LLT!S169+GB!S169</f>
        <v>0</v>
      </c>
      <c r="T169" s="96">
        <f>CEO!T169+CS!T169+CFO!T169+LLA!T169+'C&amp;E'!T169+CES!T169+LLT!T169+GB!T169</f>
        <v>0</v>
      </c>
      <c r="U169" s="96">
        <f t="shared" si="93"/>
        <v>0</v>
      </c>
      <c r="V169" s="96">
        <f t="shared" si="97"/>
        <v>0</v>
      </c>
      <c r="W169" s="81"/>
      <c r="X169" s="96"/>
      <c r="Y169" s="96"/>
      <c r="Z169" s="96"/>
      <c r="AA169" s="96"/>
      <c r="AC169" s="295">
        <f t="shared" si="98"/>
        <v>0</v>
      </c>
    </row>
    <row r="170" spans="1:29" x14ac:dyDescent="0.3">
      <c r="A170" s="4">
        <f>A162+SUM(A164:A168)</f>
        <v>828852.37600000005</v>
      </c>
      <c r="B170" s="4">
        <f t="shared" ref="B170:O170" si="106">B162+SUM(B164:B168)</f>
        <v>1311911.8320000002</v>
      </c>
      <c r="C170" s="4">
        <f t="shared" si="106"/>
        <v>11683117.558999998</v>
      </c>
      <c r="D170" s="4">
        <f t="shared" si="106"/>
        <v>749270.48900000018</v>
      </c>
      <c r="E170" s="4">
        <f t="shared" si="106"/>
        <v>12257103.619999999</v>
      </c>
      <c r="F170" s="4">
        <f t="shared" si="106"/>
        <v>881800.30400000012</v>
      </c>
      <c r="G170" s="4">
        <f t="shared" si="106"/>
        <v>1159467.6060000001</v>
      </c>
      <c r="H170" s="4">
        <f>H162+SUM(H164:H168)</f>
        <v>12178600.106999999</v>
      </c>
      <c r="I170" s="4">
        <f t="shared" si="106"/>
        <v>1014324.344</v>
      </c>
      <c r="J170" s="4">
        <f t="shared" si="106"/>
        <v>1356209.8990000002</v>
      </c>
      <c r="K170" s="4">
        <f t="shared" si="106"/>
        <v>12404887.85</v>
      </c>
      <c r="L170" s="4">
        <f t="shared" si="106"/>
        <v>1368887.8500000003</v>
      </c>
      <c r="M170" s="13" t="s">
        <v>223</v>
      </c>
      <c r="N170" s="4">
        <f>N162+SUM(N164:N168)</f>
        <v>43420658.136</v>
      </c>
      <c r="O170" s="4">
        <f t="shared" si="106"/>
        <v>13773775.700000001</v>
      </c>
      <c r="P170" s="4">
        <f>P162+SUM(P164:P168)</f>
        <v>57194433.836000003</v>
      </c>
      <c r="Q170" s="4">
        <f>SUM(Q162:Q168)</f>
        <v>57304433.836000003</v>
      </c>
      <c r="R170" s="4">
        <f>SUM(R162:R168)</f>
        <v>109999.99999999977</v>
      </c>
      <c r="S170" s="4">
        <f>SUM(S162:S168)</f>
        <v>6868993</v>
      </c>
      <c r="T170" s="4">
        <f>CEO!T170+CS!T170+CFO!T170+LLA!T170+'C&amp;E'!T170+CES!T170+LLT!T170+GB!T170</f>
        <v>0</v>
      </c>
      <c r="U170" s="4">
        <f t="shared" si="93"/>
        <v>64173426.836000003</v>
      </c>
      <c r="V170" s="4">
        <f t="shared" si="97"/>
        <v>6978993</v>
      </c>
      <c r="W170" s="4"/>
      <c r="X170" s="4"/>
      <c r="Y170" s="4"/>
      <c r="Z170" s="4">
        <f>SUM(Z162:Z168)</f>
        <v>57304433.836000003</v>
      </c>
      <c r="AA170" s="4">
        <f>SUM(AA162:AA168)</f>
        <v>60164477.219599999</v>
      </c>
      <c r="AC170" s="295">
        <f t="shared" si="98"/>
        <v>0</v>
      </c>
    </row>
    <row r="171" spans="1:29" ht="7.95" customHeight="1" x14ac:dyDescent="0.3">
      <c r="A171" s="99"/>
      <c r="B171" s="99"/>
      <c r="C171" s="99"/>
      <c r="D171" s="100"/>
      <c r="E171" s="98"/>
      <c r="I171" s="78"/>
      <c r="K171" s="78"/>
      <c r="L171" s="78"/>
      <c r="M171" s="13"/>
      <c r="N171" s="78">
        <f t="shared" si="95"/>
        <v>0</v>
      </c>
      <c r="O171" s="78">
        <f t="shared" si="90"/>
        <v>0</v>
      </c>
      <c r="P171" s="78">
        <f t="shared" si="96"/>
        <v>0</v>
      </c>
      <c r="Q171" s="78"/>
      <c r="R171" s="78">
        <f t="shared" si="99"/>
        <v>0</v>
      </c>
      <c r="S171" s="78">
        <f>CEO!S171+CS!S171+CFO!S171+LLA!S171+'C&amp;E'!S171+CES!S171+LLT!S171+GB!S171</f>
        <v>0</v>
      </c>
      <c r="T171" s="78">
        <f>CEO!T171+CS!T171+CFO!T171+LLA!T171+'C&amp;E'!T171+CES!T171+LLT!T171+GB!T171</f>
        <v>0</v>
      </c>
      <c r="U171" s="78">
        <f t="shared" si="93"/>
        <v>0</v>
      </c>
      <c r="V171" s="78">
        <f t="shared" si="97"/>
        <v>0</v>
      </c>
      <c r="W171" s="99"/>
      <c r="X171" s="78"/>
      <c r="Y171" s="78"/>
      <c r="Z171" s="78"/>
      <c r="AA171" s="78"/>
      <c r="AC171" s="295">
        <f t="shared" si="98"/>
        <v>0</v>
      </c>
    </row>
    <row r="172" spans="1:29" x14ac:dyDescent="0.3">
      <c r="A172" s="4">
        <f>A129-A170</f>
        <v>3420533.908269166</v>
      </c>
      <c r="B172" s="4">
        <f>B129-B170</f>
        <v>3353509.0623893784</v>
      </c>
      <c r="C172" s="4">
        <f>C129-C170</f>
        <v>-6700043.9971663924</v>
      </c>
      <c r="D172" s="4">
        <f>D129-D170</f>
        <v>4431771.9757165797</v>
      </c>
      <c r="E172" s="4">
        <f>E129-E170</f>
        <v>-7547851.3724063924</v>
      </c>
      <c r="F172" s="4">
        <f t="shared" ref="F172:L172" si="107">F129-F170</f>
        <v>3910930.2335136062</v>
      </c>
      <c r="G172" s="4">
        <f>G129-G170</f>
        <v>3404951.0886365804</v>
      </c>
      <c r="H172" s="4">
        <f t="shared" si="107"/>
        <v>-6192518.3395209843</v>
      </c>
      <c r="I172" s="4">
        <f>I129-I170</f>
        <v>3475618.0002381387</v>
      </c>
      <c r="J172" s="4">
        <f t="shared" si="107"/>
        <v>3160649.2561165793</v>
      </c>
      <c r="K172" s="4">
        <f t="shared" si="107"/>
        <v>-7869195.4203844704</v>
      </c>
      <c r="L172" s="4">
        <f t="shared" si="107"/>
        <v>3292596.904631746</v>
      </c>
      <c r="M172" s="13" t="s">
        <v>224</v>
      </c>
      <c r="N172" s="4">
        <f>N129-N170</f>
        <v>-43420658.136</v>
      </c>
      <c r="O172" s="4">
        <f>O129-O170</f>
        <v>43561609.436033525</v>
      </c>
      <c r="P172" s="4">
        <f t="shared" ref="P172" si="108">P129-P170</f>
        <v>140951.30003352463</v>
      </c>
      <c r="Q172" s="4">
        <f>Q129-Q170</f>
        <v>30951.55475153029</v>
      </c>
      <c r="R172" s="4">
        <f>R129-R170</f>
        <v>-109999.74528199979</v>
      </c>
      <c r="S172" s="4">
        <f>S129-S170</f>
        <v>-0.39478858839720488</v>
      </c>
      <c r="T172" s="4">
        <f t="shared" ref="T172" si="109">T129-T170</f>
        <v>-0.39194171888175333</v>
      </c>
      <c r="U172" s="4">
        <f>U129-U170</f>
        <v>30950.768021225929</v>
      </c>
      <c r="V172" s="4">
        <f t="shared" si="97"/>
        <v>-110000.5320122987</v>
      </c>
      <c r="W172" s="4"/>
      <c r="X172" s="4"/>
      <c r="Y172" s="4"/>
      <c r="Z172" s="4">
        <f>Z129-Z170</f>
        <v>-11449.096140004694</v>
      </c>
      <c r="AA172" s="4">
        <f>AA129-AA170</f>
        <v>15530.852033413947</v>
      </c>
      <c r="AC172" s="295">
        <f t="shared" si="98"/>
        <v>42400.650891534984</v>
      </c>
    </row>
    <row r="173" spans="1:29" x14ac:dyDescent="0.3">
      <c r="A173" s="101"/>
      <c r="B173" s="101"/>
      <c r="C173" s="101"/>
      <c r="D173" s="102"/>
      <c r="E173" s="98"/>
      <c r="M173" s="123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</row>
    <row r="174" spans="1:29" x14ac:dyDescent="0.3">
      <c r="A174" s="103"/>
      <c r="B174" s="103"/>
      <c r="C174" s="103"/>
      <c r="D174" s="104"/>
      <c r="M174" s="12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</row>
    <row r="175" spans="1:29" x14ac:dyDescent="0.3">
      <c r="A175" s="103"/>
      <c r="B175" s="103"/>
      <c r="C175" s="103"/>
      <c r="D175" s="104"/>
      <c r="M175" s="12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</row>
    <row r="176" spans="1:29" x14ac:dyDescent="0.3">
      <c r="A176" s="105"/>
      <c r="B176" s="105"/>
      <c r="C176" s="105"/>
      <c r="D176" s="104"/>
      <c r="G176" s="98"/>
      <c r="L176" s="329"/>
      <c r="M176" s="123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</row>
    <row r="177" spans="1:23" x14ac:dyDescent="0.3">
      <c r="A177" s="103"/>
      <c r="B177" s="103"/>
      <c r="C177" s="103"/>
      <c r="D177" s="104"/>
      <c r="G177" s="98"/>
      <c r="L177" s="330"/>
      <c r="M177" s="12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</row>
    <row r="178" spans="1:23" x14ac:dyDescent="0.3">
      <c r="A178" s="105"/>
      <c r="B178" s="105"/>
      <c r="C178" s="105"/>
      <c r="D178" s="104"/>
      <c r="G178" s="98"/>
      <c r="L178" s="330"/>
      <c r="M178" s="123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</row>
    <row r="179" spans="1:23" x14ac:dyDescent="0.3">
      <c r="A179" s="15"/>
      <c r="B179" s="15"/>
      <c r="C179" s="15"/>
      <c r="D179" s="106"/>
      <c r="L179" s="78"/>
      <c r="M179" s="123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:23" x14ac:dyDescent="0.3">
      <c r="A180" s="15"/>
      <c r="B180" s="15"/>
      <c r="C180" s="15"/>
      <c r="D180" s="106"/>
      <c r="L180" s="78"/>
      <c r="M180" s="123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310" spans="194:194" x14ac:dyDescent="0.3">
      <c r="GL310" s="167" t="s">
        <v>404</v>
      </c>
    </row>
  </sheetData>
  <mergeCells count="4">
    <mergeCell ref="M1:N1"/>
    <mergeCell ref="A3:L3"/>
    <mergeCell ref="N3:W3"/>
    <mergeCell ref="M4:M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GL310"/>
  <sheetViews>
    <sheetView zoomScale="63" zoomScaleNormal="63" workbookViewId="0">
      <pane xSplit="13" ySplit="6" topLeftCell="N102" activePane="bottomRight" state="frozen"/>
      <selection pane="topRight" activeCell="N1" sqref="N1"/>
      <selection pane="bottomLeft" activeCell="A7" sqref="A7"/>
      <selection pane="bottomRight" activeCell="P6" sqref="P6"/>
    </sheetView>
  </sheetViews>
  <sheetFormatPr defaultColWidth="9.109375" defaultRowHeight="14.4" x14ac:dyDescent="0.3"/>
  <cols>
    <col min="1" max="2" width="14.33203125" style="107" customWidth="1"/>
    <col min="3" max="3" width="15.88671875" style="107" bestFit="1" customWidth="1"/>
    <col min="4" max="4" width="14.33203125" style="108" customWidth="1"/>
    <col min="5" max="5" width="15.88671875" style="78" bestFit="1" customWidth="1"/>
    <col min="6" max="7" width="14.33203125" style="78" customWidth="1"/>
    <col min="8" max="8" width="15.44140625" style="78" bestFit="1" customWidth="1"/>
    <col min="9" max="9" width="14.33203125" style="77" customWidth="1"/>
    <col min="10" max="10" width="14.33203125" style="78" customWidth="1"/>
    <col min="11" max="11" width="15.88671875" style="79" bestFit="1" customWidth="1"/>
    <col min="12" max="12" width="14.33203125" style="79" customWidth="1"/>
    <col min="13" max="13" width="64.5546875" style="121" customWidth="1"/>
    <col min="14" max="14" width="17" style="107" customWidth="1"/>
    <col min="15" max="15" width="15.5546875" style="107" customWidth="1"/>
    <col min="16" max="16" width="16" style="107" customWidth="1"/>
    <col min="17" max="17" width="16.6640625" style="107" customWidth="1"/>
    <col min="18" max="18" width="15.109375" style="107" hidden="1" customWidth="1"/>
    <col min="19" max="19" width="15.33203125" style="107" hidden="1" customWidth="1"/>
    <col min="20" max="20" width="13.44140625" style="107" hidden="1" customWidth="1"/>
    <col min="21" max="21" width="16.88671875" style="107" hidden="1" customWidth="1"/>
    <col min="22" max="22" width="15.109375" style="107" hidden="1" customWidth="1"/>
    <col min="23" max="23" width="20.33203125" style="107" hidden="1" customWidth="1"/>
    <col min="24" max="24" width="20.109375" style="167" hidden="1" customWidth="1"/>
    <col min="25" max="25" width="18" style="167" hidden="1" customWidth="1"/>
    <col min="26" max="26" width="17" style="167" customWidth="1"/>
    <col min="27" max="27" width="16.33203125" style="167" customWidth="1"/>
    <col min="28" max="28" width="12.109375" style="167" bestFit="1" customWidth="1"/>
    <col min="29" max="29" width="16.33203125" style="167" customWidth="1"/>
    <col min="30" max="30" width="15.33203125" style="167" customWidth="1"/>
    <col min="31" max="31" width="9.6640625" style="167" customWidth="1"/>
    <col min="32" max="32" width="11.6640625" style="167" bestFit="1" customWidth="1"/>
    <col min="33" max="33" width="11.44140625" style="167" bestFit="1" customWidth="1"/>
    <col min="34" max="16384" width="9.109375" style="167"/>
  </cols>
  <sheetData>
    <row r="1" spans="1:33" ht="17.399999999999999" x14ac:dyDescent="0.3">
      <c r="A1" s="167"/>
      <c r="B1" s="167"/>
      <c r="C1" s="167"/>
      <c r="D1" s="167">
        <v>1.1000000000000001</v>
      </c>
      <c r="E1" s="167"/>
      <c r="F1" s="167"/>
      <c r="G1" s="167"/>
      <c r="H1" s="167"/>
      <c r="I1" s="167"/>
      <c r="J1" s="167"/>
      <c r="K1" s="167">
        <f>110/100</f>
        <v>1.1000000000000001</v>
      </c>
      <c r="L1" s="166">
        <v>1.0999999999999999E-2</v>
      </c>
      <c r="M1" s="407" t="s">
        <v>410</v>
      </c>
      <c r="N1" s="407"/>
      <c r="O1" s="387"/>
      <c r="P1" s="387"/>
      <c r="Q1" s="387"/>
      <c r="R1" s="387"/>
      <c r="S1" s="387"/>
      <c r="T1" s="387"/>
      <c r="U1" s="387"/>
      <c r="V1" s="387"/>
      <c r="W1" s="387"/>
    </row>
    <row r="2" spans="1:33" ht="24.6" hidden="1" customHeight="1" x14ac:dyDescent="0.4">
      <c r="A2" s="75"/>
      <c r="B2" s="75"/>
      <c r="C2" s="75"/>
      <c r="D2" s="76"/>
      <c r="E2" s="75"/>
      <c r="F2" s="75"/>
      <c r="G2" s="75"/>
      <c r="H2" s="75"/>
      <c r="M2" s="120" t="s">
        <v>68</v>
      </c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3" ht="17.399999999999999" customHeight="1" x14ac:dyDescent="0.3">
      <c r="A3" s="408" t="s">
        <v>231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14" t="s">
        <v>69</v>
      </c>
      <c r="N3" s="424" t="s">
        <v>226</v>
      </c>
      <c r="O3" s="425"/>
      <c r="P3" s="425"/>
      <c r="Q3" s="425"/>
      <c r="R3" s="425"/>
      <c r="S3" s="425"/>
      <c r="T3" s="425"/>
      <c r="U3" s="425"/>
      <c r="V3" s="425"/>
      <c r="W3" s="425"/>
      <c r="Z3" s="382">
        <v>4.8000000000000001E-2</v>
      </c>
      <c r="AA3" s="382">
        <v>4.7E-2</v>
      </c>
    </row>
    <row r="4" spans="1:33" ht="77.25" customHeight="1" x14ac:dyDescent="0.3">
      <c r="A4" s="125">
        <v>44287</v>
      </c>
      <c r="B4" s="125">
        <v>44317</v>
      </c>
      <c r="C4" s="125">
        <v>44348</v>
      </c>
      <c r="D4" s="125">
        <v>44378</v>
      </c>
      <c r="E4" s="125">
        <v>44409</v>
      </c>
      <c r="F4" s="125">
        <v>44440</v>
      </c>
      <c r="G4" s="125">
        <v>44470</v>
      </c>
      <c r="H4" s="125">
        <v>44501</v>
      </c>
      <c r="I4" s="125">
        <v>44531</v>
      </c>
      <c r="J4" s="125">
        <v>44562</v>
      </c>
      <c r="K4" s="125">
        <v>44593</v>
      </c>
      <c r="L4" s="125">
        <v>44621</v>
      </c>
      <c r="M4" s="395" t="s">
        <v>230</v>
      </c>
      <c r="N4" s="243" t="s">
        <v>411</v>
      </c>
      <c r="O4" s="243" t="s">
        <v>413</v>
      </c>
      <c r="P4" s="243" t="s">
        <v>18</v>
      </c>
      <c r="Q4" s="243" t="s">
        <v>235</v>
      </c>
      <c r="R4" s="243" t="s">
        <v>228</v>
      </c>
      <c r="S4" s="243" t="s">
        <v>378</v>
      </c>
      <c r="T4" s="243" t="s">
        <v>294</v>
      </c>
      <c r="U4" s="243" t="s">
        <v>74</v>
      </c>
      <c r="V4" s="243" t="s">
        <v>295</v>
      </c>
      <c r="W4" s="243" t="s">
        <v>229</v>
      </c>
      <c r="X4" s="243" t="s">
        <v>402</v>
      </c>
      <c r="Y4" s="243" t="s">
        <v>403</v>
      </c>
      <c r="Z4" s="243" t="s">
        <v>407</v>
      </c>
      <c r="AA4" s="243" t="s">
        <v>408</v>
      </c>
    </row>
    <row r="5" spans="1:33" ht="42" customHeight="1" x14ac:dyDescent="0.3">
      <c r="A5" s="10" t="s">
        <v>1</v>
      </c>
      <c r="B5" s="10" t="s">
        <v>1</v>
      </c>
      <c r="C5" s="10" t="s">
        <v>1</v>
      </c>
      <c r="D5" s="10" t="s">
        <v>1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396"/>
      <c r="N5" s="201" t="s">
        <v>2</v>
      </c>
      <c r="O5" s="10" t="s">
        <v>1</v>
      </c>
      <c r="P5" s="289" t="s">
        <v>502</v>
      </c>
      <c r="Q5" s="289" t="s">
        <v>241</v>
      </c>
      <c r="R5" s="10" t="s">
        <v>399</v>
      </c>
      <c r="S5" s="289" t="s">
        <v>235</v>
      </c>
      <c r="T5" s="289" t="s">
        <v>235</v>
      </c>
      <c r="U5" s="289" t="s">
        <v>235</v>
      </c>
      <c r="V5" s="10" t="s">
        <v>399</v>
      </c>
      <c r="W5" s="10" t="s">
        <v>400</v>
      </c>
      <c r="X5" s="289" t="s">
        <v>235</v>
      </c>
      <c r="Y5" s="289" t="s">
        <v>401</v>
      </c>
      <c r="Z5" s="289" t="s">
        <v>409</v>
      </c>
      <c r="AA5" s="289" t="s">
        <v>409</v>
      </c>
    </row>
    <row r="6" spans="1:33" ht="3" customHeight="1" x14ac:dyDescent="0.3">
      <c r="A6" s="1"/>
      <c r="B6" s="1"/>
      <c r="C6" s="1"/>
      <c r="D6" s="1"/>
      <c r="E6" s="1"/>
      <c r="F6" s="1"/>
      <c r="G6" s="1"/>
      <c r="H6" s="1"/>
      <c r="I6" s="5"/>
      <c r="J6" s="1"/>
      <c r="K6" s="1"/>
      <c r="L6" s="1"/>
      <c r="M6" s="12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33" x14ac:dyDescent="0.3">
      <c r="A7" s="8">
        <f>CEO!A7+CS!A7+CFO!A7+LLA!A7+'C&amp;E'!A7+CES!A7+LLT!A7+GB!A7</f>
        <v>0</v>
      </c>
      <c r="B7" s="8">
        <f>CEO!B7+CS!B7+CFO!B7+LLA!B7+'C&amp;E'!B7+CES!B7+LLT!B7+GB!B7</f>
        <v>60109.515933333336</v>
      </c>
      <c r="C7" s="8">
        <f>CEO!C7+CS!C7+CFO!C7+LLA!C7+'C&amp;E'!C7+CES!C7+LLT!C7+GB!C7</f>
        <v>0</v>
      </c>
      <c r="D7" s="8">
        <f>CEO!D7+CS!D7+CFO!D7+LLA!D7+'C&amp;E'!D7+CES!D7+LLT!D7+GB!D7</f>
        <v>60109.515933333336</v>
      </c>
      <c r="E7" s="8">
        <f>CEO!E7+CS!E7+CFO!E7+LLA!E7+'C&amp;E'!E7+CES!E7+LLT!E7+GB!E7</f>
        <v>0</v>
      </c>
      <c r="F7" s="8">
        <f>CEO!F7+CS!F7+CFO!F7+LLA!F7+'C&amp;E'!F7+CES!F7+LLT!F7+GB!F7</f>
        <v>0</v>
      </c>
      <c r="G7" s="8">
        <f>CEO!G7+CS!G7+CFO!G7+LLA!G7+'C&amp;E'!G7+CES!G7+LLT!G7+GB!G7</f>
        <v>60109.515933333336</v>
      </c>
      <c r="H7" s="8">
        <f>CEO!H7+CS!H7+CFO!H7+LLA!H7+'C&amp;E'!H7+CES!H7+LLT!H7+GB!H7</f>
        <v>60109.515933333336</v>
      </c>
      <c r="I7" s="8">
        <f>CEO!I7+CS!I7+CFO!I7+LLA!I7+'C&amp;E'!I7+CES!I7+LLT!I7+GB!I7</f>
        <v>0</v>
      </c>
      <c r="J7" s="8">
        <f>CEO!J7+CS!J7+CFO!J7+LLA!J7+'C&amp;E'!J7+CES!J7+LLT!J7+GB!J7</f>
        <v>60109.515933333336</v>
      </c>
      <c r="K7" s="8">
        <f>CEO!K7+CS!K7+CFO!K7+LLA!K7+'C&amp;E'!K7+CES!K7+LLT!K7+GB!K7</f>
        <v>0</v>
      </c>
      <c r="L7" s="8">
        <f>CEO!L7+CS!L7+CFO!L7+LLA!L7+'C&amp;E'!L7+CES!L7+LLT!L7+GB!L7</f>
        <v>60109.515933333336</v>
      </c>
      <c r="M7" s="388" t="s">
        <v>414</v>
      </c>
      <c r="N7" s="8">
        <f>SUM(0)</f>
        <v>0</v>
      </c>
      <c r="O7" s="8">
        <f>SUM(A7:L7)</f>
        <v>360657.0956</v>
      </c>
      <c r="P7" s="8">
        <f>SUM(N7:O7)</f>
        <v>360657.0956</v>
      </c>
      <c r="Q7" s="8">
        <v>360657.0956</v>
      </c>
      <c r="R7" s="8">
        <f>Q7-P7</f>
        <v>0</v>
      </c>
      <c r="S7" s="8">
        <v>0</v>
      </c>
      <c r="T7" s="8">
        <f>CEO!T7+CS!T7+CFO!T7+LLA!T7+'C&amp;E'!T7+CES!T7+LLT!T7+GB!T7</f>
        <v>-5163.7524699999485</v>
      </c>
      <c r="U7" s="8">
        <f>CEO!U7+CS!U7+CFO!U7+LLA!U7+'C&amp;E'!U7+CES!U7+LLT!U7+GB!U7</f>
        <v>355493.34313000005</v>
      </c>
      <c r="V7" s="8">
        <f>U7-P7</f>
        <v>-5163.7524699999485</v>
      </c>
      <c r="W7" s="8"/>
      <c r="X7" s="8">
        <f>CEO!Q7+CS!Q7+CFO!Q7+LLA!Q7+'C&amp;E'!Q7+CES!Q7+LLT!Q7+GB!Q7</f>
        <v>360657.0956</v>
      </c>
      <c r="Y7" s="8">
        <f>X7-Q7</f>
        <v>0</v>
      </c>
      <c r="Z7" s="8">
        <v>360657.0956</v>
      </c>
      <c r="AA7" s="8">
        <f t="shared" ref="AA7:AA16" si="0">Z7*(1+AA$3)</f>
        <v>377607.9790932</v>
      </c>
      <c r="AC7" s="295">
        <f t="shared" ref="AC7:AC18" si="1">Q7-Z7</f>
        <v>0</v>
      </c>
    </row>
    <row r="8" spans="1:33" x14ac:dyDescent="0.3">
      <c r="A8" s="7">
        <f>CEO!A8+CS!A8+CFO!A8+LLA!A8+'C&amp;E'!A8+CES!A8+LLT!A8+GB!A8</f>
        <v>2610331.1068600002</v>
      </c>
      <c r="B8" s="7">
        <f>CEO!B8+CS!B8+CFO!B8+LLA!B8+'C&amp;E'!B8+CES!B8+LLT!B8+GB!B8</f>
        <v>2655397.64817724</v>
      </c>
      <c r="C8" s="7">
        <f>CEO!C8+CS!C8+CFO!C8+LLA!C8+'C&amp;E'!C8+CES!C8+LLT!C8+GB!C8</f>
        <v>2791140.8284950005</v>
      </c>
      <c r="D8" s="7">
        <f>CEO!D8+CS!D8+CFO!D8+LLA!D8+'C&amp;E'!D8+CES!D8+LLT!D8+GB!D8</f>
        <v>2791140.8284950005</v>
      </c>
      <c r="E8" s="7">
        <f>CEO!E8+CS!E8+CFO!E8+LLA!E8+'C&amp;E'!E8+CES!E8+LLT!E8+GB!E8</f>
        <v>2791140.8284950005</v>
      </c>
      <c r="F8" s="7">
        <f>CEO!F8+CS!F8+CFO!F8+LLA!F8+'C&amp;E'!F8+CES!F8+LLT!F8+GB!F8</f>
        <v>2791140.8284950005</v>
      </c>
      <c r="G8" s="7">
        <f>CEO!G8+CS!G8+CFO!G8+LLA!G8+'C&amp;E'!G8+CES!G8+LLT!G8+GB!G8</f>
        <v>2791140.8284950005</v>
      </c>
      <c r="H8" s="7">
        <f>CEO!H8+CS!H8+CFO!H8+LLA!H8+'C&amp;E'!H8+CES!H8+LLT!H8+GB!H8</f>
        <v>2791140.8284950005</v>
      </c>
      <c r="I8" s="7">
        <f>CEO!I8+CS!I8+CFO!I8+LLA!I8+'C&amp;E'!I8+CES!I8+LLT!I8+GB!I8</f>
        <v>2791140.8284950005</v>
      </c>
      <c r="J8" s="7">
        <f>CEO!J8+CS!J8+CFO!J8+LLA!J8+'C&amp;E'!J8+CES!J8+LLT!J8+GB!J8</f>
        <v>2791140.8284950005</v>
      </c>
      <c r="K8" s="7">
        <f>CEO!K8+CS!K8+CFO!K8+LLA!K8+'C&amp;E'!K8+CES!K8+LLT!K8+GB!K8</f>
        <v>2791140.8284950005</v>
      </c>
      <c r="L8" s="7">
        <f>CEO!L8+CS!L8+CFO!L8+LLA!L8+'C&amp;E'!L8+CES!L8+LLT!L8+GB!L8</f>
        <v>2638715.7084950004</v>
      </c>
      <c r="M8" s="13" t="s">
        <v>415</v>
      </c>
      <c r="N8" s="7">
        <f t="shared" ref="N8:N16" si="2">SUM(0)</f>
        <v>0</v>
      </c>
      <c r="O8" s="7">
        <f t="shared" ref="O8:O16" si="3">SUM(A8:L8)</f>
        <v>33024711.919987239</v>
      </c>
      <c r="P8" s="7">
        <f t="shared" ref="P8:P71" si="4">SUM(N8:O8)</f>
        <v>33024711.919987239</v>
      </c>
      <c r="Q8" s="7">
        <v>33024711.919987243</v>
      </c>
      <c r="R8" s="7">
        <f t="shared" ref="R8:R16" si="5">Q8-P8</f>
        <v>0</v>
      </c>
      <c r="S8" s="202">
        <v>1869274</v>
      </c>
      <c r="T8" s="7">
        <f>CEO!T8+CS!T8+CFO!T8+LLA!T8+'C&amp;E'!T8+CES!T8+LLT!T8+GB!T8</f>
        <v>-1186874.3599999999</v>
      </c>
      <c r="U8" s="7">
        <f>S8+Q8+T8</f>
        <v>33707111.559987247</v>
      </c>
      <c r="V8" s="7">
        <f t="shared" ref="V8:V71" si="6">U8-P8</f>
        <v>682399.64000000805</v>
      </c>
      <c r="W8" s="7"/>
      <c r="X8" s="7">
        <f>CEO!Q8+CS!Q8+CFO!Q8+LLA!Q8+'C&amp;E'!Q8+CES!Q8+LLT!Q8+GB!Q8</f>
        <v>33024711.919987243</v>
      </c>
      <c r="Y8" s="202">
        <f>(X8-Q8)+2033523</f>
        <v>2033523</v>
      </c>
      <c r="Z8" s="7">
        <v>33024711.5972354</v>
      </c>
      <c r="AA8" s="7">
        <f t="shared" si="0"/>
        <v>34576873.042305462</v>
      </c>
      <c r="AC8" s="295">
        <f t="shared" si="1"/>
        <v>0.32275184243917465</v>
      </c>
      <c r="AD8" s="182">
        <f>AC8/12</f>
        <v>2.6895986869931221E-2</v>
      </c>
      <c r="AE8" s="295"/>
      <c r="AG8" s="295"/>
    </row>
    <row r="9" spans="1:33" x14ac:dyDescent="0.3">
      <c r="A9" s="7">
        <f>CEO!A9+CS!A9+CFO!A9+LLA!A9+'C&amp;E'!A9+CES!A9+LLT!A9+GB!A9</f>
        <v>0</v>
      </c>
      <c r="B9" s="7">
        <f>CEO!B9+CS!B9+CFO!B9+LLA!B9+'C&amp;E'!B9+CES!B9+LLT!B9+GB!B9</f>
        <v>0</v>
      </c>
      <c r="C9" s="7">
        <f>CEO!C9+CS!C9+CFO!C9+LLA!C9+'C&amp;E'!C9+CES!C9+LLT!C9+GB!C9</f>
        <v>0</v>
      </c>
      <c r="D9" s="7">
        <f>CEO!D9+CS!D9+CFO!D9+LLA!D9+'C&amp;E'!D9+CES!D9+LLT!D9+GB!D9</f>
        <v>0</v>
      </c>
      <c r="E9" s="7">
        <f>CEO!E9+CS!E9+CFO!E9+LLA!E9+'C&amp;E'!E9+CES!E9+LLT!E9+GB!E9</f>
        <v>0</v>
      </c>
      <c r="F9" s="7">
        <f>CEO!F9+CS!F9+CFO!F9+LLA!F9+'C&amp;E'!F9+CES!F9+LLT!F9+GB!F9</f>
        <v>0</v>
      </c>
      <c r="G9" s="7">
        <f>CEO!G9+CS!G9+CFO!G9+LLA!G9+'C&amp;E'!G9+CES!G9+LLT!G9+GB!G9</f>
        <v>0</v>
      </c>
      <c r="H9" s="7">
        <f>CEO!H9+CS!H9+CFO!H9+LLA!H9+'C&amp;E'!H9+CES!H9+LLT!H9+GB!H9</f>
        <v>0</v>
      </c>
      <c r="I9" s="7">
        <f>CEO!I9+CS!I9+CFO!I9+LLA!I9+'C&amp;E'!I9+CES!I9+LLT!I9+GB!I9</f>
        <v>0</v>
      </c>
      <c r="J9" s="7">
        <f>CEO!J9+CS!J9+CFO!J9+LLA!J9+'C&amp;E'!J9+CES!J9+LLT!J9+GB!J9</f>
        <v>0</v>
      </c>
      <c r="K9" s="7">
        <f>CEO!K9+CS!K9+CFO!K9+LLA!K9+'C&amp;E'!K9+CES!K9+LLT!K9+GB!K9</f>
        <v>0</v>
      </c>
      <c r="L9" s="7">
        <f>CEO!L9+CS!L9+CFO!L9+LLA!L9+'C&amp;E'!L9+CES!L9+LLT!L9+GB!L9</f>
        <v>43789.632000000005</v>
      </c>
      <c r="M9" s="13" t="s">
        <v>416</v>
      </c>
      <c r="N9" s="7">
        <f t="shared" si="2"/>
        <v>0</v>
      </c>
      <c r="O9" s="7">
        <f t="shared" si="3"/>
        <v>43789.632000000005</v>
      </c>
      <c r="P9" s="7">
        <f t="shared" si="4"/>
        <v>43789.632000000005</v>
      </c>
      <c r="Q9" s="7">
        <v>43789.632000000005</v>
      </c>
      <c r="R9" s="7">
        <f t="shared" si="5"/>
        <v>0</v>
      </c>
      <c r="S9" s="7">
        <v>0.12305581101099961</v>
      </c>
      <c r="T9" s="7">
        <f>CEO!T9+CS!T9+CFO!T9+LLA!T9+'C&amp;E'!T9+CES!T9+LLT!T9+GB!T9</f>
        <v>0</v>
      </c>
      <c r="U9" s="7">
        <f t="shared" ref="U9:U72" si="7">S9+Q9+T9</f>
        <v>43789.755055811016</v>
      </c>
      <c r="V9" s="7">
        <f t="shared" si="6"/>
        <v>0.12305581101099961</v>
      </c>
      <c r="W9" s="7"/>
      <c r="X9" s="7">
        <f>CEO!Q9+CS!Q9+CFO!Q9+LLA!Q9+'C&amp;E'!Q9+CES!Q9+LLT!Q9+GB!Q9</f>
        <v>43789.632000000005</v>
      </c>
      <c r="Y9" s="7">
        <f t="shared" ref="Y9:Y16" si="8">X9-Q9</f>
        <v>0</v>
      </c>
      <c r="Z9" s="7">
        <v>43789.632000000005</v>
      </c>
      <c r="AA9" s="7">
        <f t="shared" si="0"/>
        <v>45847.744704000004</v>
      </c>
      <c r="AC9" s="295">
        <f t="shared" si="1"/>
        <v>0</v>
      </c>
    </row>
    <row r="10" spans="1:33" x14ac:dyDescent="0.3">
      <c r="A10" s="7">
        <f>CEO!A10+CS!A10+CFO!A10+LLA!A10+'C&amp;E'!A10+CES!A10+LLT!A10+GB!A10</f>
        <v>0</v>
      </c>
      <c r="B10" s="7">
        <f>CEO!B10+CS!B10+CFO!B10+LLA!B10+'C&amp;E'!B10+CES!B10+LLT!B10+GB!B10</f>
        <v>9432.509909639999</v>
      </c>
      <c r="C10" s="7">
        <f>CEO!C10+CS!C10+CFO!C10+LLA!C10+'C&amp;E'!C10+CES!C10+LLT!C10+GB!C10</f>
        <v>0</v>
      </c>
      <c r="D10" s="7">
        <f>CEO!D10+CS!D10+CFO!D10+LLA!D10+'C&amp;E'!D10+CES!D10+LLT!D10+GB!D10</f>
        <v>9432.509909639999</v>
      </c>
      <c r="E10" s="7">
        <f>CEO!E10+CS!E10+CFO!E10+LLA!E10+'C&amp;E'!E10+CES!E10+LLT!E10+GB!E10</f>
        <v>0</v>
      </c>
      <c r="F10" s="7">
        <f>CEO!F10+CS!F10+CFO!F10+LLA!F10+'C&amp;E'!F10+CES!F10+LLT!F10+GB!F10</f>
        <v>0</v>
      </c>
      <c r="G10" s="7">
        <f>CEO!G10+CS!G10+CFO!G10+LLA!G10+'C&amp;E'!G10+CES!G10+LLT!G10+GB!G10</f>
        <v>9432.509909639999</v>
      </c>
      <c r="H10" s="7">
        <f>CEO!H10+CS!H10+CFO!H10+LLA!H10+'C&amp;E'!H10+CES!H10+LLT!H10+GB!H10</f>
        <v>9432.509909639999</v>
      </c>
      <c r="I10" s="7">
        <f>CEO!I10+CS!I10+CFO!I10+LLA!I10+'C&amp;E'!I10+CES!I10+LLT!I10+GB!I10</f>
        <v>0</v>
      </c>
      <c r="J10" s="7">
        <f>CEO!J10+CS!J10+CFO!J10+LLA!J10+'C&amp;E'!J10+CES!J10+LLT!J10+GB!J10</f>
        <v>9432.509909639999</v>
      </c>
      <c r="K10" s="7">
        <f>CEO!K10+CS!K10+CFO!K10+LLA!K10+'C&amp;E'!K10+CES!K10+LLT!K10+GB!K10</f>
        <v>0</v>
      </c>
      <c r="L10" s="7">
        <f>CEO!L10+CS!L10+CFO!L10+LLA!L10+'C&amp;E'!L10+CES!L10+LLT!L10+GB!L10</f>
        <v>9432.509909639999</v>
      </c>
      <c r="M10" s="13" t="s">
        <v>417</v>
      </c>
      <c r="N10" s="7">
        <f t="shared" si="2"/>
        <v>0</v>
      </c>
      <c r="O10" s="7">
        <f t="shared" si="3"/>
        <v>56595.059457839998</v>
      </c>
      <c r="P10" s="7">
        <f t="shared" si="4"/>
        <v>56595.059457839998</v>
      </c>
      <c r="Q10" s="7">
        <v>56595.059457839998</v>
      </c>
      <c r="R10" s="7">
        <f t="shared" si="5"/>
        <v>0</v>
      </c>
      <c r="S10" s="7">
        <v>711</v>
      </c>
      <c r="T10" s="7">
        <f>CEO!T10+CS!T10+CFO!T10+LLA!T10+'C&amp;E'!T10+CES!T10+LLT!T10+GB!T10</f>
        <v>0</v>
      </c>
      <c r="U10" s="7">
        <f t="shared" si="7"/>
        <v>57306.059457839998</v>
      </c>
      <c r="V10" s="7">
        <f t="shared" si="6"/>
        <v>711</v>
      </c>
      <c r="W10" s="7"/>
      <c r="X10" s="7">
        <f>CEO!Q10+CS!Q10+CFO!Q10+LLA!Q10+'C&amp;E'!Q10+CES!Q10+LLT!Q10+GB!Q10</f>
        <v>56595.059457839998</v>
      </c>
      <c r="Y10" s="7">
        <f t="shared" si="8"/>
        <v>0</v>
      </c>
      <c r="Z10" s="7">
        <v>56595.059457839998</v>
      </c>
      <c r="AA10" s="7">
        <f t="shared" si="0"/>
        <v>59255.027252358472</v>
      </c>
      <c r="AC10" s="295">
        <f t="shared" si="1"/>
        <v>0</v>
      </c>
      <c r="AD10" s="167">
        <v>34859.71</v>
      </c>
    </row>
    <row r="11" spans="1:33" x14ac:dyDescent="0.3">
      <c r="A11" s="7">
        <f>CEO!A11+CS!A11+CFO!A11+LLA!A11+'C&amp;E'!A11+CES!A11+LLT!A11+GB!A11</f>
        <v>0</v>
      </c>
      <c r="B11" s="7">
        <f>CEO!B11+CS!B11+CFO!B11+LLA!B11+'C&amp;E'!B11+CES!B11+LLT!B11+GB!B11</f>
        <v>0</v>
      </c>
      <c r="C11" s="7">
        <f>CEO!C11+CS!C11+CFO!C11+LLA!C11+'C&amp;E'!C11+CES!C11+LLT!C11+GB!C11</f>
        <v>0</v>
      </c>
      <c r="D11" s="7">
        <f>CEO!D11+CS!D11+CFO!D11+LLA!D11+'C&amp;E'!D11+CES!D11+LLT!D11+GB!D11</f>
        <v>0</v>
      </c>
      <c r="E11" s="7">
        <f>CEO!E11+CS!E11+CFO!E11+LLA!E11+'C&amp;E'!E11+CES!E11+LLT!E11+GB!E11</f>
        <v>0</v>
      </c>
      <c r="F11" s="7">
        <f>CEO!F11+CS!F11+CFO!F11+LLA!F11+'C&amp;E'!F11+CES!F11+LLT!F11+GB!F11</f>
        <v>0</v>
      </c>
      <c r="G11" s="7">
        <f>CEO!G11+CS!G11+CFO!G11+LLA!G11+'C&amp;E'!G11+CES!G11+LLT!G11+GB!G11</f>
        <v>0</v>
      </c>
      <c r="H11" s="7">
        <f>CEO!H11+CS!H11+CFO!H11+LLA!H11+'C&amp;E'!H11+CES!H11+LLT!H11+GB!H11</f>
        <v>0</v>
      </c>
      <c r="I11" s="7">
        <f>CEO!I11+CS!I11+CFO!I11+LLA!I11+'C&amp;E'!I11+CES!I11+LLT!I11+GB!I11</f>
        <v>0</v>
      </c>
      <c r="J11" s="7">
        <f>CEO!J11+CS!J11+CFO!J11+LLA!J11+'C&amp;E'!J11+CES!J11+LLT!J11+GB!J11</f>
        <v>0</v>
      </c>
      <c r="K11" s="7">
        <f>CEO!K11+CS!K11+CFO!K11+LLA!K11+'C&amp;E'!K11+CES!K11+LLT!K11+GB!K11</f>
        <v>0</v>
      </c>
      <c r="L11" s="7">
        <f>CEO!L11+CS!L11+CFO!L11+LLA!L11+'C&amp;E'!L11+CES!L11+LLT!L11+GB!L11</f>
        <v>0</v>
      </c>
      <c r="M11" s="13" t="s">
        <v>418</v>
      </c>
      <c r="N11" s="7">
        <f t="shared" si="2"/>
        <v>0</v>
      </c>
      <c r="O11" s="7">
        <f t="shared" si="3"/>
        <v>0</v>
      </c>
      <c r="P11" s="7">
        <f t="shared" si="4"/>
        <v>0</v>
      </c>
      <c r="Q11" s="7">
        <v>0</v>
      </c>
      <c r="R11" s="7">
        <f t="shared" si="5"/>
        <v>0</v>
      </c>
      <c r="S11" s="7">
        <v>-710.55892440000014</v>
      </c>
      <c r="T11" s="7">
        <f>CEO!T11+CS!T11+CFO!T11+LLA!T11+'C&amp;E'!T11+CES!T11+LLT!T11+GB!T11</f>
        <v>0</v>
      </c>
      <c r="U11" s="7">
        <f t="shared" si="7"/>
        <v>-710.55892440000014</v>
      </c>
      <c r="V11" s="7">
        <f t="shared" si="6"/>
        <v>-710.55892440000014</v>
      </c>
      <c r="W11" s="7"/>
      <c r="X11" s="7">
        <f>CEO!Q11+CS!Q11+CFO!Q11+LLA!Q11+'C&amp;E'!Q11+CES!Q11+LLT!Q11+GB!Q11</f>
        <v>0</v>
      </c>
      <c r="Y11" s="7">
        <f t="shared" si="8"/>
        <v>0</v>
      </c>
      <c r="Z11" s="7">
        <v>0</v>
      </c>
      <c r="AA11" s="7">
        <f t="shared" si="0"/>
        <v>0</v>
      </c>
      <c r="AC11" s="295">
        <f t="shared" si="1"/>
        <v>0</v>
      </c>
    </row>
    <row r="12" spans="1:33" x14ac:dyDescent="0.3">
      <c r="A12" s="7">
        <f>CEO!A12+CS!A12+CFO!A12+LLA!A12+'C&amp;E'!A12+CES!A12+LLT!A12+GB!A12</f>
        <v>24881.540460159998</v>
      </c>
      <c r="B12" s="7">
        <f>CEO!B12+CS!B12+CFO!B12+LLA!B12+'C&amp;E'!B12+CES!B12+LLT!B12+GB!B12</f>
        <v>24881.540460159998</v>
      </c>
      <c r="C12" s="7">
        <f>CEO!C12+CS!C12+CFO!C12+LLA!C12+'C&amp;E'!C12+CES!C12+LLT!C12+GB!C12</f>
        <v>25910.2360696</v>
      </c>
      <c r="D12" s="7">
        <f>CEO!D12+CS!D12+CFO!D12+LLA!D12+'C&amp;E'!D12+CES!D12+LLT!D12+GB!D12</f>
        <v>25910.2360696</v>
      </c>
      <c r="E12" s="7">
        <f>CEO!E12+CS!E12+CFO!E12+LLA!E12+'C&amp;E'!E12+CES!E12+LLT!E12+GB!E12</f>
        <v>25910.2360696</v>
      </c>
      <c r="F12" s="7">
        <f>CEO!F12+CS!F12+CFO!F12+LLA!F12+'C&amp;E'!F12+CES!F12+LLT!F12+GB!F12</f>
        <v>25910.2360696</v>
      </c>
      <c r="G12" s="7">
        <f>CEO!G12+CS!G12+CFO!G12+LLA!G12+'C&amp;E'!G12+CES!G12+LLT!G12+GB!G12</f>
        <v>25910.2360696</v>
      </c>
      <c r="H12" s="7">
        <f>CEO!H12+CS!H12+CFO!H12+LLA!H12+'C&amp;E'!H12+CES!H12+LLT!H12+GB!H12</f>
        <v>25910.2360696</v>
      </c>
      <c r="I12" s="7">
        <f>CEO!I12+CS!I12+CFO!I12+LLA!I12+'C&amp;E'!I12+CES!I12+LLT!I12+GB!I12</f>
        <v>25910.2360696</v>
      </c>
      <c r="J12" s="7">
        <f>CEO!J12+CS!J12+CFO!J12+LLA!J12+'C&amp;E'!J12+CES!J12+LLT!J12+GB!J12</f>
        <v>25910.2360696</v>
      </c>
      <c r="K12" s="7">
        <f>CEO!K12+CS!K12+CFO!K12+LLA!K12+'C&amp;E'!K12+CES!K12+LLT!K12+GB!K12</f>
        <v>25910.2360696</v>
      </c>
      <c r="L12" s="7">
        <f>CEO!L12+CS!L12+CFO!L12+LLA!L12+'C&amp;E'!L12+CES!L12+LLT!L12+GB!L12</f>
        <v>25910.2360696</v>
      </c>
      <c r="M12" s="13" t="s">
        <v>419</v>
      </c>
      <c r="N12" s="7">
        <f t="shared" si="2"/>
        <v>0</v>
      </c>
      <c r="O12" s="7">
        <f t="shared" si="3"/>
        <v>308865.44161631999</v>
      </c>
      <c r="P12" s="7">
        <f t="shared" si="4"/>
        <v>308865.44161631999</v>
      </c>
      <c r="Q12" s="7">
        <v>308865.44161632005</v>
      </c>
      <c r="R12" s="7">
        <f t="shared" si="5"/>
        <v>0</v>
      </c>
      <c r="S12" s="7">
        <v>299.99608000001172</v>
      </c>
      <c r="T12" s="7">
        <f>CEO!T12+CS!T12+CFO!T12+LLA!T12+'C&amp;E'!T12+CES!T12+LLT!T12+GB!T12</f>
        <v>5316</v>
      </c>
      <c r="U12" s="7">
        <f t="shared" si="7"/>
        <v>314481.43769632006</v>
      </c>
      <c r="V12" s="7">
        <f t="shared" si="6"/>
        <v>5615.9960800000699</v>
      </c>
      <c r="W12" s="7"/>
      <c r="X12" s="7">
        <f>CEO!Q12+CS!Q12+CFO!Q12+LLA!Q12+'C&amp;E'!Q12+CES!Q12+LLT!Q12+GB!Q12</f>
        <v>308865.44161632005</v>
      </c>
      <c r="Y12" s="7">
        <f t="shared" si="8"/>
        <v>0</v>
      </c>
      <c r="Z12" s="7">
        <v>308865.50994591997</v>
      </c>
      <c r="AA12" s="7">
        <f t="shared" si="0"/>
        <v>323382.18891337817</v>
      </c>
      <c r="AC12" s="295">
        <f t="shared" si="1"/>
        <v>-6.8329599918797612E-2</v>
      </c>
    </row>
    <row r="13" spans="1:33" x14ac:dyDescent="0.3">
      <c r="A13" s="7">
        <f>CEO!A13+CS!A13+CFO!A13+LLA!A13+'C&amp;E'!A13+CES!A13+LLT!A13+GB!A13</f>
        <v>5735.0437600000005</v>
      </c>
      <c r="B13" s="7">
        <f>CEO!B13+CS!B13+CFO!B13+LLA!B13+'C&amp;E'!B13+CES!B13+LLT!B13+GB!B13</f>
        <v>4372.7590399999999</v>
      </c>
      <c r="C13" s="7">
        <f>CEO!C13+CS!C13+CFO!C13+LLA!C13+'C&amp;E'!C13+CES!C13+LLT!C13+GB!C13</f>
        <v>28424.652480000001</v>
      </c>
      <c r="D13" s="7">
        <f>CEO!D13+CS!D13+CFO!D13+LLA!D13+'C&amp;E'!D13+CES!D13+LLT!D13+GB!D13</f>
        <v>17272.37096</v>
      </c>
      <c r="E13" s="7">
        <f>CEO!E13+CS!E13+CFO!E13+LLA!E13+'C&amp;E'!E13+CES!E13+LLT!E13+GB!E13</f>
        <v>12462.333920000001</v>
      </c>
      <c r="F13" s="7">
        <f>CEO!F13+CS!F13+CFO!F13+LLA!F13+'C&amp;E'!F13+CES!F13+LLT!F13+GB!F13</f>
        <v>9073.4477600000009</v>
      </c>
      <c r="G13" s="7">
        <f>CEO!G13+CS!G13+CFO!G13+LLA!G13+'C&amp;E'!G13+CES!G13+LLT!G13+GB!G13</f>
        <v>8417.5569600000017</v>
      </c>
      <c r="H13" s="7">
        <f>CEO!H13+CS!H13+CFO!H13+LLA!H13+'C&amp;E'!H13+CES!H13+LLT!H13+GB!H13</f>
        <v>0</v>
      </c>
      <c r="I13" s="7">
        <f>CEO!I13+CS!I13+CFO!I13+LLA!I13+'C&amp;E'!I13+CES!I13+LLT!I13+GB!I13</f>
        <v>20169.315439999998</v>
      </c>
      <c r="J13" s="7">
        <f>CEO!J13+CS!J13+CFO!J13+LLA!J13+'C&amp;E'!J13+CES!J13+LLT!J13+GB!J13</f>
        <v>24104.775520000003</v>
      </c>
      <c r="K13" s="7">
        <f>CEO!K13+CS!K13+CFO!K13+LLA!K13+'C&amp;E'!K13+CES!K13+LLT!K13+GB!K13</f>
        <v>24104</v>
      </c>
      <c r="L13" s="7">
        <f>CEO!L13+CS!L13+CFO!L13+LLA!L13+'C&amp;E'!L13+CES!L13+LLT!L13+GB!L13</f>
        <v>24647.974880000002</v>
      </c>
      <c r="M13" s="13" t="s">
        <v>420</v>
      </c>
      <c r="N13" s="7">
        <f>SUM(0)</f>
        <v>0</v>
      </c>
      <c r="O13" s="7">
        <f t="shared" si="3"/>
        <v>178784.23071999999</v>
      </c>
      <c r="P13" s="7">
        <f t="shared" si="4"/>
        <v>178784.23071999999</v>
      </c>
      <c r="Q13" s="7">
        <v>178784.23071999999</v>
      </c>
      <c r="R13" s="7">
        <f t="shared" si="5"/>
        <v>0</v>
      </c>
      <c r="S13" s="7">
        <v>108472</v>
      </c>
      <c r="T13" s="341">
        <f>CEO!T13+CS!T13+CFO!T13+LLA!T13+'C&amp;E'!T13+CES!T13+LLT!T13+GB!T13</f>
        <v>12124</v>
      </c>
      <c r="U13" s="341">
        <f t="shared" si="7"/>
        <v>299380.23071999999</v>
      </c>
      <c r="V13" s="341">
        <f t="shared" si="6"/>
        <v>120596</v>
      </c>
      <c r="W13" s="7"/>
      <c r="X13" s="7">
        <f>CEO!Q13+CS!Q13+CFO!Q13+LLA!Q13+'C&amp;E'!Q13+CES!Q13+LLT!Q13+GB!Q13</f>
        <v>178784.23072000002</v>
      </c>
      <c r="Y13" s="7">
        <f t="shared" si="8"/>
        <v>0</v>
      </c>
      <c r="Z13" s="7">
        <v>178784.23072000002</v>
      </c>
      <c r="AA13" s="7">
        <f t="shared" si="0"/>
        <v>187187.08956384001</v>
      </c>
      <c r="AC13" s="295">
        <f t="shared" si="1"/>
        <v>0</v>
      </c>
    </row>
    <row r="14" spans="1:33" x14ac:dyDescent="0.3">
      <c r="A14" s="7">
        <f>CEO!A14+CS!A14+CFO!A14+LLA!A14+'C&amp;E'!A14+CES!A14+LLT!A14+GB!A14</f>
        <v>0</v>
      </c>
      <c r="B14" s="7">
        <f>CEO!B14+CS!B14+CFO!B14+LLA!B14+'C&amp;E'!B14+CES!B14+LLT!B14+GB!B14</f>
        <v>0</v>
      </c>
      <c r="C14" s="7">
        <f>CEO!C14+CS!C14+CFO!C14+LLA!C14+'C&amp;E'!C14+CES!C14+LLT!C14+GB!C14</f>
        <v>0</v>
      </c>
      <c r="D14" s="7">
        <f>CEO!D14+CS!D14+CFO!D14+LLA!D14+'C&amp;E'!D14+CES!D14+LLT!D14+GB!D14</f>
        <v>0</v>
      </c>
      <c r="E14" s="7">
        <f>CEO!E14+CS!E14+CFO!E14+LLA!E14+'C&amp;E'!E14+CES!E14+LLT!E14+GB!E14</f>
        <v>0</v>
      </c>
      <c r="F14" s="7">
        <f>CEO!F14+CS!F14+CFO!F14+LLA!F14+'C&amp;E'!F14+CES!F14+LLT!F14+GB!F14</f>
        <v>0</v>
      </c>
      <c r="G14" s="7">
        <f>CEO!G14+CS!G14+CFO!G14+LLA!G14+'C&amp;E'!G14+CES!G14+LLT!G14+GB!G14</f>
        <v>0</v>
      </c>
      <c r="H14" s="7">
        <f>CEO!H14+CS!H14+CFO!H14+LLA!H14+'C&amp;E'!H14+CES!H14+LLT!H14+GB!H14</f>
        <v>1483339.5318824349</v>
      </c>
      <c r="I14" s="7">
        <f>CEO!I14+CS!I14+CFO!I14+LLA!I14+'C&amp;E'!I14+CES!I14+LLT!I14+GB!I14</f>
        <v>0</v>
      </c>
      <c r="J14" s="7">
        <f>CEO!J14+CS!J14+CFO!J14+LLA!J14+'C&amp;E'!J14+CES!J14+LLT!J14+GB!J14</f>
        <v>0</v>
      </c>
      <c r="K14" s="7">
        <f>CEO!K14+CS!K14+CFO!K14+LLA!K14+'C&amp;E'!K14+CES!K14+LLT!K14+GB!K14</f>
        <v>0</v>
      </c>
      <c r="L14" s="7">
        <f>CEO!L14+CS!L14+CFO!L14+LLA!L14+'C&amp;E'!L14+CES!L14+LLT!L14+GB!L14</f>
        <v>0</v>
      </c>
      <c r="M14" s="13" t="s">
        <v>421</v>
      </c>
      <c r="N14" s="7">
        <f t="shared" si="2"/>
        <v>0</v>
      </c>
      <c r="O14" s="7">
        <f t="shared" si="3"/>
        <v>1483339.5318824349</v>
      </c>
      <c r="P14" s="7">
        <f t="shared" si="4"/>
        <v>1483339.5318824349</v>
      </c>
      <c r="Q14" s="7">
        <v>1483339.5318824349</v>
      </c>
      <c r="R14" s="7">
        <f t="shared" si="5"/>
        <v>0</v>
      </c>
      <c r="S14" s="7">
        <v>-103000.00000000023</v>
      </c>
      <c r="T14" s="7">
        <f>CEO!T14+CS!T14+CFO!T14+LLA!T14+'C&amp;E'!T14+CES!T14+LLT!T14+GB!T14</f>
        <v>-311963</v>
      </c>
      <c r="U14" s="7">
        <f t="shared" si="7"/>
        <v>1068376.5318824346</v>
      </c>
      <c r="V14" s="7">
        <f t="shared" si="6"/>
        <v>-414963.00000000023</v>
      </c>
      <c r="W14" s="7"/>
      <c r="X14" s="7">
        <f>CEO!Q14+CS!Q14+CFO!Q14+LLA!Q14+'C&amp;E'!Q14+CES!Q14+LLT!Q14+GB!Q14</f>
        <v>1483339.5318824349</v>
      </c>
      <c r="Y14" s="7">
        <f t="shared" si="8"/>
        <v>0</v>
      </c>
      <c r="Z14" s="7">
        <v>1440938.7427047917</v>
      </c>
      <c r="AA14" s="7">
        <f t="shared" si="0"/>
        <v>1508662.8636119168</v>
      </c>
      <c r="AC14" s="295">
        <f t="shared" si="1"/>
        <v>42400.789177643135</v>
      </c>
    </row>
    <row r="15" spans="1:33" x14ac:dyDescent="0.3">
      <c r="A15" s="7">
        <f>CEO!A15+CS!A15+CFO!A15+LLA!A15+'C&amp;E'!A15+CES!A15+LLT!A15+GB!A15</f>
        <v>0</v>
      </c>
      <c r="B15" s="7">
        <f>CEO!B15+CS!B15+CFO!B15+LLA!B15+'C&amp;E'!B15+CES!B15+LLT!B15+GB!B15</f>
        <v>6288</v>
      </c>
      <c r="C15" s="7">
        <f>CEO!C15+CS!C15+CFO!C15+LLA!C15+'C&amp;E'!C15+CES!C15+LLT!C15+GB!C15</f>
        <v>0</v>
      </c>
      <c r="D15" s="7">
        <f>CEO!D15+CS!D15+CFO!D15+LLA!D15+'C&amp;E'!D15+CES!D15+LLT!D15+GB!D15</f>
        <v>3144</v>
      </c>
      <c r="E15" s="7">
        <f>CEO!E15+CS!E15+CFO!E15+LLA!E15+'C&amp;E'!E15+CES!E15+LLT!E15+GB!E15</f>
        <v>9432</v>
      </c>
      <c r="F15" s="7">
        <f>CEO!F15+CS!F15+CFO!F15+LLA!F15+'C&amp;E'!F15+CES!F15+LLT!F15+GB!F15</f>
        <v>0</v>
      </c>
      <c r="G15" s="7">
        <f>CEO!G15+CS!G15+CFO!G15+LLA!G15+'C&amp;E'!G15+CES!G15+LLT!G15+GB!G15</f>
        <v>0</v>
      </c>
      <c r="H15" s="7">
        <f>CEO!H15+CS!H15+CFO!H15+LLA!H15+'C&amp;E'!H15+CES!H15+LLT!H15+GB!H15</f>
        <v>3144</v>
      </c>
      <c r="I15" s="7">
        <f>CEO!I15+CS!I15+CFO!I15+LLA!I15+'C&amp;E'!I15+CES!I15+LLT!I15+GB!I15</f>
        <v>0</v>
      </c>
      <c r="J15" s="7">
        <f>CEO!J15+CS!J15+CFO!J15+LLA!J15+'C&amp;E'!J15+CES!J15+LLT!J15+GB!J15</f>
        <v>0</v>
      </c>
      <c r="K15" s="7">
        <f>CEO!K15+CS!K15+CFO!K15+LLA!K15+'C&amp;E'!K15+CES!K15+LLT!K15+GB!K15</f>
        <v>0</v>
      </c>
      <c r="L15" s="7">
        <f>CEO!L15+CS!L15+CFO!L15+LLA!L15+'C&amp;E'!L15+CES!L15+LLT!L15+GB!L15</f>
        <v>6288</v>
      </c>
      <c r="M15" s="13" t="s">
        <v>422</v>
      </c>
      <c r="N15" s="7">
        <f t="shared" si="2"/>
        <v>0</v>
      </c>
      <c r="O15" s="7">
        <f t="shared" si="3"/>
        <v>28296</v>
      </c>
      <c r="P15" s="7">
        <f t="shared" si="4"/>
        <v>28296</v>
      </c>
      <c r="Q15" s="7">
        <v>28296</v>
      </c>
      <c r="R15" s="7">
        <f t="shared" si="5"/>
        <v>0</v>
      </c>
      <c r="S15" s="7">
        <v>0</v>
      </c>
      <c r="T15" s="7">
        <f>CEO!T15+CS!T15+CFO!T15+LLA!T15+'C&amp;E'!T15+CES!T15+LLT!T15+GB!T15</f>
        <v>-26478.395</v>
      </c>
      <c r="U15" s="7">
        <f t="shared" si="7"/>
        <v>1817.6049999999996</v>
      </c>
      <c r="V15" s="7">
        <f t="shared" si="6"/>
        <v>-26478.395</v>
      </c>
      <c r="W15" s="7"/>
      <c r="X15" s="7">
        <f>CEO!Q15+CS!Q15+CFO!Q15+LLA!Q15+'C&amp;E'!Q15+CES!Q15+LLT!Q15+GB!Q15</f>
        <v>28296</v>
      </c>
      <c r="Y15" s="7">
        <f t="shared" si="8"/>
        <v>0</v>
      </c>
      <c r="Z15" s="7">
        <v>28296</v>
      </c>
      <c r="AA15" s="7">
        <f t="shared" si="0"/>
        <v>29625.911999999997</v>
      </c>
      <c r="AC15" s="295">
        <f t="shared" si="1"/>
        <v>0</v>
      </c>
    </row>
    <row r="16" spans="1:33" x14ac:dyDescent="0.3">
      <c r="A16" s="11"/>
      <c r="B16" s="11"/>
      <c r="C16" s="11"/>
      <c r="D16" s="11"/>
      <c r="E16" s="11">
        <v>0</v>
      </c>
      <c r="F16" s="11"/>
      <c r="G16" s="11"/>
      <c r="H16" s="11"/>
      <c r="I16" s="11">
        <f>CEO!I16+CS!I16+CFO!I16+LLA!I16+'C&amp;E'!I16+CES!I16+LLT!I16+GB!I16</f>
        <v>0</v>
      </c>
      <c r="J16" s="11"/>
      <c r="K16" s="11"/>
      <c r="L16" s="11"/>
      <c r="M16" s="13" t="s">
        <v>423</v>
      </c>
      <c r="N16" s="11">
        <f t="shared" si="2"/>
        <v>0</v>
      </c>
      <c r="O16" s="11">
        <f t="shared" si="3"/>
        <v>0</v>
      </c>
      <c r="P16" s="11">
        <f t="shared" si="4"/>
        <v>0</v>
      </c>
      <c r="Q16" s="11">
        <v>0</v>
      </c>
      <c r="R16" s="11">
        <f t="shared" si="5"/>
        <v>0</v>
      </c>
      <c r="S16" s="11">
        <v>0</v>
      </c>
      <c r="T16" s="11">
        <f>CEO!T16+CS!T16+CFO!T16+LLA!T16+'C&amp;E'!T16+CES!T16+LLT!T16+GB!T16</f>
        <v>0</v>
      </c>
      <c r="U16" s="11">
        <f t="shared" si="7"/>
        <v>0</v>
      </c>
      <c r="V16" s="11">
        <f t="shared" si="6"/>
        <v>0</v>
      </c>
      <c r="W16" s="11"/>
      <c r="X16" s="11">
        <f>CEO!Q16+CS!Q16+CFO!Q16+LLA!Q16+'C&amp;E'!Q16+CES!Q16+LLT!Q16+GB!Q16</f>
        <v>0</v>
      </c>
      <c r="Y16" s="11">
        <f t="shared" si="8"/>
        <v>0</v>
      </c>
      <c r="Z16" s="11">
        <v>0</v>
      </c>
      <c r="AA16" s="11">
        <f t="shared" si="0"/>
        <v>0</v>
      </c>
      <c r="AC16" s="295">
        <f t="shared" si="1"/>
        <v>0</v>
      </c>
    </row>
    <row r="17" spans="1:33" ht="5.4" customHeight="1" x14ac:dyDescent="0.3">
      <c r="A17" s="81"/>
      <c r="B17" s="81"/>
      <c r="C17" s="81"/>
      <c r="D17" s="85"/>
      <c r="E17" s="83"/>
      <c r="F17" s="83"/>
      <c r="G17" s="83"/>
      <c r="H17" s="83"/>
      <c r="I17" s="83"/>
      <c r="J17" s="83"/>
      <c r="K17" s="83"/>
      <c r="L17" s="83"/>
      <c r="M17" s="13"/>
      <c r="N17" s="83">
        <f t="shared" ref="N17:N66" si="9">SUM(A17:J17)</f>
        <v>0</v>
      </c>
      <c r="O17" s="83">
        <f t="shared" ref="O17:O66" si="10">SUM(K17:L17)</f>
        <v>0</v>
      </c>
      <c r="P17" s="83">
        <f t="shared" si="4"/>
        <v>0</v>
      </c>
      <c r="Q17" s="83"/>
      <c r="R17" s="83">
        <f t="shared" ref="R17:R66" si="11">P17-Q17</f>
        <v>0</v>
      </c>
      <c r="S17" s="83">
        <v>0</v>
      </c>
      <c r="T17" s="81">
        <f>CEO!T17+CS!T17+CFO!T17+LLA!T17+'C&amp;E'!T17+CES!T17+LLT!T17+GB!T17</f>
        <v>0</v>
      </c>
      <c r="U17" s="81">
        <f t="shared" si="7"/>
        <v>0</v>
      </c>
      <c r="V17" s="81">
        <f t="shared" si="6"/>
        <v>0</v>
      </c>
      <c r="W17" s="81"/>
      <c r="X17" s="83">
        <f>CEO!Q17+CS!Q17+CFO!Q17+LLA!Q17+'C&amp;E'!Q17+CES!Q17+LLT!Q17+GB!Q17</f>
        <v>0</v>
      </c>
      <c r="Y17" s="83">
        <f t="shared" ref="Y17:Y66" si="12">Q17-X17</f>
        <v>0</v>
      </c>
      <c r="Z17" s="83"/>
      <c r="AA17" s="83"/>
      <c r="AC17" s="295">
        <f t="shared" si="1"/>
        <v>0</v>
      </c>
    </row>
    <row r="18" spans="1:33" x14ac:dyDescent="0.3">
      <c r="A18" s="4">
        <f>SUM(A7:A16)</f>
        <v>2640947.69108016</v>
      </c>
      <c r="B18" s="4">
        <f>SUM(B7:B16)</f>
        <v>2760481.9735203735</v>
      </c>
      <c r="C18" s="4">
        <f t="shared" ref="C18:L18" si="13">SUM(C7:C16)</f>
        <v>2845475.7170446008</v>
      </c>
      <c r="D18" s="4">
        <f>SUM(D7:D16)</f>
        <v>2907009.4613675741</v>
      </c>
      <c r="E18" s="4">
        <f t="shared" si="13"/>
        <v>2838945.3984846007</v>
      </c>
      <c r="F18" s="4">
        <f t="shared" si="13"/>
        <v>2826124.5123246005</v>
      </c>
      <c r="G18" s="4">
        <f t="shared" si="13"/>
        <v>2895010.6473675743</v>
      </c>
      <c r="H18" s="4">
        <f t="shared" si="13"/>
        <v>4373076.6222900087</v>
      </c>
      <c r="I18" s="4">
        <f t="shared" si="13"/>
        <v>2837220.3800046006</v>
      </c>
      <c r="J18" s="4">
        <f t="shared" si="13"/>
        <v>2910697.8659275742</v>
      </c>
      <c r="K18" s="4">
        <f t="shared" si="13"/>
        <v>2841155.0645646006</v>
      </c>
      <c r="L18" s="4">
        <f t="shared" si="13"/>
        <v>2808893.5772875743</v>
      </c>
      <c r="M18" s="13" t="s">
        <v>89</v>
      </c>
      <c r="N18" s="4">
        <f t="shared" ref="N18:O18" si="14">SUM(N7:N17)</f>
        <v>0</v>
      </c>
      <c r="O18" s="4">
        <f t="shared" si="14"/>
        <v>35485038.911263831</v>
      </c>
      <c r="P18" s="4">
        <f t="shared" ref="P18" si="15">SUM(P7:P17)</f>
        <v>35485038.911263831</v>
      </c>
      <c r="Q18" s="4">
        <f>SUM(Q7:Q17)</f>
        <v>35485038.911263838</v>
      </c>
      <c r="R18" s="4">
        <f t="shared" ref="R18:S18" si="16">SUM(R7:R17)</f>
        <v>0</v>
      </c>
      <c r="S18" s="4">
        <f t="shared" si="16"/>
        <v>1875046.5602114107</v>
      </c>
      <c r="T18" s="4">
        <f>CEO!T18+CS!T18+CFO!T18+LLA!T18+'C&amp;E'!T18+CES!T18+LLT!T18+GB!T18</f>
        <v>-1514082.5063470432</v>
      </c>
      <c r="U18" s="4">
        <f t="shared" si="7"/>
        <v>35846002.965128206</v>
      </c>
      <c r="V18" s="4">
        <f t="shared" si="6"/>
        <v>360964.05386437476</v>
      </c>
      <c r="W18" s="4"/>
      <c r="X18" s="4">
        <f>CEO!Q18+CS!Q18+CFO!Q18+LLA!Q18+'C&amp;E'!Q18+CES!Q18+LLT!Q18+GB!Q18</f>
        <v>35485038.911263838</v>
      </c>
      <c r="Y18" s="4">
        <f t="shared" si="12"/>
        <v>0</v>
      </c>
      <c r="Z18" s="4">
        <f>SUM(Z7:Z17)</f>
        <v>35442637.86766395</v>
      </c>
      <c r="AA18" s="4">
        <f>SUM(AA7:AA17)</f>
        <v>37108441.847444154</v>
      </c>
      <c r="AC18" s="295">
        <f t="shared" si="1"/>
        <v>42401.043599888682</v>
      </c>
      <c r="AG18" s="295"/>
    </row>
    <row r="19" spans="1:33" ht="5.4" customHeight="1" x14ac:dyDescent="0.3">
      <c r="A19" s="81"/>
      <c r="B19" s="81"/>
      <c r="C19" s="81"/>
      <c r="D19" s="82"/>
      <c r="E19" s="86"/>
      <c r="F19" s="86"/>
      <c r="G19" s="86"/>
      <c r="H19" s="86"/>
      <c r="I19" s="86"/>
      <c r="J19" s="86"/>
      <c r="K19" s="86"/>
      <c r="L19" s="86"/>
      <c r="M19" s="122"/>
      <c r="N19" s="86">
        <f t="shared" si="9"/>
        <v>0</v>
      </c>
      <c r="O19" s="86">
        <f t="shared" si="10"/>
        <v>0</v>
      </c>
      <c r="P19" s="86">
        <f t="shared" si="4"/>
        <v>0</v>
      </c>
      <c r="Q19" s="86"/>
      <c r="R19" s="86">
        <f t="shared" si="11"/>
        <v>0</v>
      </c>
      <c r="S19" s="86">
        <v>0</v>
      </c>
      <c r="T19" s="81">
        <f>CEO!T19+CS!T19+CFO!T19+LLA!T19+'C&amp;E'!T19+CES!T19+LLT!T19+GB!T19</f>
        <v>0</v>
      </c>
      <c r="U19" s="81">
        <f t="shared" si="7"/>
        <v>0</v>
      </c>
      <c r="V19" s="81">
        <f t="shared" si="6"/>
        <v>0</v>
      </c>
      <c r="W19" s="81"/>
      <c r="X19" s="86"/>
      <c r="Y19" s="86">
        <f t="shared" si="12"/>
        <v>0</v>
      </c>
      <c r="Z19" s="86"/>
      <c r="AA19" s="86"/>
    </row>
    <row r="20" spans="1:33" x14ac:dyDescent="0.3">
      <c r="A20" s="7">
        <f>CEO!A20+CS!A20+CFO!A20+LLA!A20+'C&amp;E'!A20+CES!A20+LLT!A20+GB!A20</f>
        <v>10825.84</v>
      </c>
      <c r="B20" s="7">
        <f>CEO!B20+CS!B20+CFO!B20+LLA!B20+'C&amp;E'!B20+CES!B20+LLT!B20+GB!B20</f>
        <v>10825.84</v>
      </c>
      <c r="C20" s="7">
        <f>CEO!C20+CS!C20+CFO!C20+LLA!C20+'C&amp;E'!C20+CES!C20+LLT!C20+GB!C20</f>
        <v>10825.84</v>
      </c>
      <c r="D20" s="7">
        <f>CEO!D20+CS!D20+CFO!D20+LLA!D20+'C&amp;E'!D20+CES!D20+LLT!D20+GB!D20</f>
        <v>10825.84</v>
      </c>
      <c r="E20" s="7">
        <f>CEO!E20+CS!E20+CFO!E20+LLA!E20+'C&amp;E'!E20+CES!E20+LLT!E20+GB!E20</f>
        <v>10825.84</v>
      </c>
      <c r="F20" s="7">
        <f>CEO!F20+CS!F20+CFO!F20+LLA!F20+'C&amp;E'!F20+CES!F20+LLT!F20+GB!F20</f>
        <v>10825.84</v>
      </c>
      <c r="G20" s="7">
        <f>CEO!G20+CS!G20+CFO!G20+LLA!G20+'C&amp;E'!G20+CES!G20+LLT!G20+GB!G20</f>
        <v>10825.84</v>
      </c>
      <c r="H20" s="7">
        <f>CEO!H20+CS!H20+CFO!H20+LLA!H20+'C&amp;E'!H20+CES!H20+LLT!H20+GB!H20</f>
        <v>10825.84</v>
      </c>
      <c r="I20" s="7">
        <f>CEO!I20+CS!I20+CFO!I20+LLA!I20+'C&amp;E'!I20+CES!I20+LLT!I20+GB!I20</f>
        <v>10825.84</v>
      </c>
      <c r="J20" s="7">
        <f>CEO!J20+CS!J20+CFO!J20+LLA!J20+'C&amp;E'!J20+CES!J20+LLT!J20+GB!J20</f>
        <v>10825.84</v>
      </c>
      <c r="K20" s="7">
        <f>CEO!K20+CS!K20+CFO!K20+LLA!K20+'C&amp;E'!K20+CES!K20+LLT!K20+GB!K20</f>
        <v>10825.84</v>
      </c>
      <c r="L20" s="7">
        <f>CEO!L20+CS!L20+CFO!L20+LLA!L20+'C&amp;E'!L20+CES!L20+LLT!L20+GB!L20</f>
        <v>10825.84</v>
      </c>
      <c r="M20" s="388" t="s">
        <v>424</v>
      </c>
      <c r="N20" s="8">
        <f t="shared" ref="N20:N26" si="17">SUM(0)</f>
        <v>0</v>
      </c>
      <c r="O20" s="8">
        <f t="shared" ref="O20:O26" si="18">SUM(A20:L20)</f>
        <v>129910.07999999997</v>
      </c>
      <c r="P20" s="8">
        <f t="shared" si="4"/>
        <v>129910.07999999997</v>
      </c>
      <c r="Q20" s="8">
        <f>CEO!Q20+CS!Q20+CFO!Q20+LLA!Q20+'C&amp;E'!Q20+CES!Q20+LLT!Q20+GB!Q20</f>
        <v>129910.07999999997</v>
      </c>
      <c r="R20" s="8">
        <f t="shared" ref="R20:R26" si="19">Q20-P20</f>
        <v>0</v>
      </c>
      <c r="S20" s="210">
        <v>70000</v>
      </c>
      <c r="T20" s="8">
        <f>CEO!T20+CS!T20+CFO!T20+LLA!T20+'C&amp;E'!T20+CES!T20+LLT!T20+GB!T20</f>
        <v>0</v>
      </c>
      <c r="U20" s="8">
        <f t="shared" si="7"/>
        <v>199910.07999999996</v>
      </c>
      <c r="V20" s="8">
        <f t="shared" si="6"/>
        <v>69999.999999999985</v>
      </c>
      <c r="W20" s="8"/>
      <c r="X20" s="8">
        <f>CEO!Q20+CS!Q20+CFO!Q20+LLA!Q20+'C&amp;E'!Q20+CES!Q20+LLT!Q20+GB!Q20</f>
        <v>129910.07999999997</v>
      </c>
      <c r="Y20" s="210">
        <v>70000</v>
      </c>
      <c r="Z20" s="8">
        <v>129910.28435999999</v>
      </c>
      <c r="AA20" s="8">
        <f t="shared" ref="AA20:AA26" si="20">Z20*(1+AA$3)</f>
        <v>136016.06772491999</v>
      </c>
      <c r="AB20" s="182"/>
      <c r="AC20" s="295">
        <f>Q20-Z20</f>
        <v>-0.20436000001791399</v>
      </c>
    </row>
    <row r="21" spans="1:33" x14ac:dyDescent="0.3">
      <c r="A21" s="7">
        <f>CEO!A21+CS!A21+CFO!A21+LLA!A21+'C&amp;E'!A21+CES!A21+LLT!A21+GB!A21</f>
        <v>142166.44</v>
      </c>
      <c r="B21" s="7">
        <f>CEO!B21+CS!B21+CFO!B21+LLA!B21+'C&amp;E'!B21+CES!B21+LLT!B21+GB!B21</f>
        <v>142166.44</v>
      </c>
      <c r="C21" s="7">
        <f>CEO!C21+CS!C21+CFO!C21+LLA!C21+'C&amp;E'!C21+CES!C21+LLT!C21+GB!C21</f>
        <v>142166.44</v>
      </c>
      <c r="D21" s="7">
        <f>CEO!D21+CS!D21+CFO!D21+LLA!D21+'C&amp;E'!D21+CES!D21+LLT!D21+GB!D21</f>
        <v>142166.44</v>
      </c>
      <c r="E21" s="7">
        <f>CEO!E21+CS!E21+CFO!E21+LLA!E21+'C&amp;E'!E21+CES!E21+LLT!E21+GB!E21</f>
        <v>142166.44</v>
      </c>
      <c r="F21" s="7">
        <f>CEO!F21+CS!F21+CFO!F21+LLA!F21+'C&amp;E'!F21+CES!F21+LLT!F21+GB!F21</f>
        <v>142166.44</v>
      </c>
      <c r="G21" s="7">
        <f>CEO!G21+CS!G21+CFO!G21+LLA!G21+'C&amp;E'!G21+CES!G21+LLT!G21+GB!G21</f>
        <v>142166.44</v>
      </c>
      <c r="H21" s="7">
        <f>CEO!H21+CS!H21+CFO!H21+LLA!H21+'C&amp;E'!H21+CES!H21+LLT!H21+GB!H21</f>
        <v>142166.44</v>
      </c>
      <c r="I21" s="7">
        <f>CEO!I21+CS!I21+CFO!I21+LLA!I21+'C&amp;E'!I21+CES!I21+LLT!I21+GB!I21</f>
        <v>142166.44</v>
      </c>
      <c r="J21" s="7">
        <f>CEO!J21+CS!J21+CFO!J21+LLA!J21+'C&amp;E'!J21+CES!J21+LLT!J21+GB!J21</f>
        <v>142166.44</v>
      </c>
      <c r="K21" s="7">
        <f>CEO!K21+CS!K21+CFO!K21+LLA!K21+'C&amp;E'!K21+CES!K21+LLT!K21+GB!K21</f>
        <v>142166.44</v>
      </c>
      <c r="L21" s="7">
        <f>CEO!L21+CS!L21+CFO!L21+LLA!L21+'C&amp;E'!L21+CES!L21+LLT!L21+GB!L21</f>
        <v>152930</v>
      </c>
      <c r="M21" s="13" t="s">
        <v>425</v>
      </c>
      <c r="N21" s="7">
        <f t="shared" si="17"/>
        <v>0</v>
      </c>
      <c r="O21" s="7">
        <f t="shared" si="18"/>
        <v>1716760.8399999996</v>
      </c>
      <c r="P21" s="7">
        <f t="shared" si="4"/>
        <v>1716760.8399999996</v>
      </c>
      <c r="Q21" s="7">
        <f>CEO!Q21+CS!Q21+CFO!Q21+LLA!Q21+'C&amp;E'!Q21+CES!Q21+LLT!Q21+GB!Q21</f>
        <v>1716760.8399999996</v>
      </c>
      <c r="R21" s="7">
        <f t="shared" si="19"/>
        <v>0</v>
      </c>
      <c r="S21" s="202">
        <v>4059000</v>
      </c>
      <c r="T21" s="7">
        <f>CEO!T21+CS!T21+CFO!T21+LLA!T21+'C&amp;E'!T21+CES!T21+LLT!T21+GB!T21</f>
        <v>-715404</v>
      </c>
      <c r="U21" s="7">
        <f t="shared" si="7"/>
        <v>5060356.84</v>
      </c>
      <c r="V21" s="7">
        <f t="shared" si="6"/>
        <v>3343596</v>
      </c>
      <c r="W21" s="7"/>
      <c r="X21" s="7">
        <f>CEO!Q21+CS!Q21+CFO!Q21+LLA!Q21+'C&amp;E'!Q21+CES!Q21+LLT!Q21+GB!Q21</f>
        <v>1716760.8399999996</v>
      </c>
      <c r="Y21" s="202">
        <v>4059000</v>
      </c>
      <c r="Z21" s="7">
        <v>1716760.7818472679</v>
      </c>
      <c r="AA21" s="7">
        <f>Z21*(1+AA$3)+114694</f>
        <v>1912142.5385940894</v>
      </c>
      <c r="AC21" s="295">
        <f t="shared" ref="AC21:AC28" si="21">Q21-Z21</f>
        <v>5.815273174084723E-2</v>
      </c>
    </row>
    <row r="22" spans="1:33" x14ac:dyDescent="0.3">
      <c r="A22" s="7">
        <f>CEO!A22+CS!A22+CFO!A22+LLA!A22+'C&amp;E'!A22+CES!A22+LLT!A22+GB!A22</f>
        <v>13768.624</v>
      </c>
      <c r="B22" s="7">
        <f>CEO!B22+CS!B22+CFO!B22+LLA!B22+'C&amp;E'!B22+CES!B22+LLT!B22+GB!B22</f>
        <v>13768.624</v>
      </c>
      <c r="C22" s="7">
        <f>CEO!C22+CS!C22+CFO!C22+LLA!C22+'C&amp;E'!C22+CES!C22+LLT!C22+GB!C22</f>
        <v>13768.624</v>
      </c>
      <c r="D22" s="7">
        <f>CEO!D22+CS!D22+CFO!D22+LLA!D22+'C&amp;E'!D22+CES!D22+LLT!D22+GB!D22</f>
        <v>13768.624</v>
      </c>
      <c r="E22" s="7">
        <f>CEO!E22+CS!E22+CFO!E22+LLA!E22+'C&amp;E'!E22+CES!E22+LLT!E22+GB!E22</f>
        <v>13768.624</v>
      </c>
      <c r="F22" s="7">
        <f>CEO!F22+CS!F22+CFO!F22+LLA!F22+'C&amp;E'!F22+CES!F22+LLT!F22+GB!F22</f>
        <v>13768.624</v>
      </c>
      <c r="G22" s="7">
        <f>CEO!G22+CS!G22+CFO!G22+LLA!G22+'C&amp;E'!G22+CES!G22+LLT!G22+GB!G22</f>
        <v>13768.624</v>
      </c>
      <c r="H22" s="7">
        <f>CEO!H22+CS!H22+CFO!H22+LLA!H22+'C&amp;E'!H22+CES!H22+LLT!H22+GB!H22</f>
        <v>13768.624</v>
      </c>
      <c r="I22" s="7">
        <f>CEO!I22+CS!I22+CFO!I22+LLA!I22+'C&amp;E'!I22+CES!I22+LLT!I22+GB!I22</f>
        <v>13768.624</v>
      </c>
      <c r="J22" s="7">
        <f>CEO!J22+CS!J22+CFO!J22+LLA!J22+'C&amp;E'!J22+CES!J22+LLT!J22+GB!J22</f>
        <v>13768.624</v>
      </c>
      <c r="K22" s="7">
        <f>CEO!K22+CS!K22+CFO!K22+LLA!K22+'C&amp;E'!K22+CES!K22+LLT!K22+GB!K22</f>
        <v>13768.624</v>
      </c>
      <c r="L22" s="7">
        <f>CEO!L22+CS!L22+CFO!L22+LLA!L22+'C&amp;E'!L22+CES!L22+LLT!L22+GB!L22</f>
        <v>13762.624</v>
      </c>
      <c r="M22" s="13" t="s">
        <v>426</v>
      </c>
      <c r="N22" s="7">
        <f t="shared" si="17"/>
        <v>0</v>
      </c>
      <c r="O22" s="7">
        <f t="shared" si="18"/>
        <v>165217.48800000001</v>
      </c>
      <c r="P22" s="7">
        <f t="shared" si="4"/>
        <v>165217.48800000001</v>
      </c>
      <c r="Q22" s="7">
        <f>CEO!Q22+CS!Q22+CFO!Q22+LLA!Q22+'C&amp;E'!Q22+CES!Q22+LLT!Q22+GB!Q22</f>
        <v>165217.48800000001</v>
      </c>
      <c r="R22" s="7">
        <f t="shared" si="19"/>
        <v>0</v>
      </c>
      <c r="S22" s="202">
        <v>400000</v>
      </c>
      <c r="T22" s="7">
        <f>CEO!T22+CS!T22+CFO!T22+LLA!T22+'C&amp;E'!T22+CES!T22+LLT!T22+GB!T22</f>
        <v>0</v>
      </c>
      <c r="U22" s="7">
        <f t="shared" si="7"/>
        <v>565217.48800000001</v>
      </c>
      <c r="V22" s="7">
        <f t="shared" si="6"/>
        <v>400000</v>
      </c>
      <c r="W22" s="7"/>
      <c r="X22" s="7">
        <f>CEO!Q22+CS!Q22+CFO!Q22+LLA!Q22+'C&amp;E'!Q22+CES!Q22+LLT!Q22+GB!Q22</f>
        <v>165217.48800000001</v>
      </c>
      <c r="Y22" s="202">
        <v>400000</v>
      </c>
      <c r="Z22" s="7">
        <v>165217.20000000001</v>
      </c>
      <c r="AA22" s="7">
        <f t="shared" si="20"/>
        <v>172982.40840000001</v>
      </c>
      <c r="AC22" s="295">
        <f t="shared" si="21"/>
        <v>0.28800000000046566</v>
      </c>
    </row>
    <row r="23" spans="1:33" x14ac:dyDescent="0.3">
      <c r="A23" s="7">
        <f>CEO!A23+CS!A23+CFO!A23+LLA!A23+'C&amp;E'!A23+CES!A23+LLT!A23+GB!A23</f>
        <v>0</v>
      </c>
      <c r="B23" s="7">
        <f>CEO!B23+CS!B23+CFO!B23+LLA!B23+'C&amp;E'!B23+CES!B23+LLT!B23+GB!B23</f>
        <v>0</v>
      </c>
      <c r="C23" s="7">
        <f>CEO!C23+CS!C23+CFO!C23+LLA!C23+'C&amp;E'!C23+CES!C23+LLT!C23+GB!C23</f>
        <v>0</v>
      </c>
      <c r="D23" s="7">
        <f>CEO!D23+CS!D23+CFO!D23+LLA!D23+'C&amp;E'!D23+CES!D23+LLT!D23+GB!D23</f>
        <v>0</v>
      </c>
      <c r="E23" s="7">
        <f>CEO!E23+CS!E23+CFO!E23+LLA!E23+'C&amp;E'!E23+CES!E23+LLT!E23+GB!E23</f>
        <v>0</v>
      </c>
      <c r="F23" s="7">
        <f>CEO!F23+CS!F23+CFO!F23+LLA!F23+'C&amp;E'!F23+CES!F23+LLT!F23+GB!F23</f>
        <v>0</v>
      </c>
      <c r="G23" s="7">
        <f>CEO!G23+CS!G23+CFO!G23+LLA!G23+'C&amp;E'!G23+CES!G23+LLT!G23+GB!G23</f>
        <v>0</v>
      </c>
      <c r="H23" s="7">
        <f>CEO!H23+CS!H23+CFO!H23+LLA!H23+'C&amp;E'!H23+CES!H23+LLT!H23+GB!H23</f>
        <v>0</v>
      </c>
      <c r="I23" s="7">
        <f>CEO!I23+CS!I23+CFO!I23+LLA!I23+'C&amp;E'!I23+CES!I23+LLT!I23+GB!I23</f>
        <v>0</v>
      </c>
      <c r="J23" s="7">
        <f>CEO!J23+CS!J23+CFO!J23+LLA!J23+'C&amp;E'!J23+CES!J23+LLT!J23+GB!J23</f>
        <v>0</v>
      </c>
      <c r="K23" s="7">
        <f>CEO!K23+CS!K23+CFO!K23+LLA!K23+'C&amp;E'!K23+CES!K23+LLT!K23+GB!K23</f>
        <v>0</v>
      </c>
      <c r="L23" s="7">
        <f>CEO!L23+CS!L23+CFO!L23+LLA!L23+'C&amp;E'!L23+CES!L23+LLT!L23+GB!L23</f>
        <v>0</v>
      </c>
      <c r="M23" s="125" t="s">
        <v>427</v>
      </c>
      <c r="N23" s="7">
        <f t="shared" si="17"/>
        <v>0</v>
      </c>
      <c r="O23" s="7">
        <f t="shared" si="18"/>
        <v>0</v>
      </c>
      <c r="P23" s="7">
        <f t="shared" si="4"/>
        <v>0</v>
      </c>
      <c r="Q23" s="7">
        <f>CEO!Q23+CS!Q23+CFO!Q23+LLA!Q23+'C&amp;E'!Q23+CES!Q23+LLT!Q23+GB!Q23</f>
        <v>0</v>
      </c>
      <c r="R23" s="7">
        <f t="shared" si="19"/>
        <v>0</v>
      </c>
      <c r="S23" s="7">
        <v>0</v>
      </c>
      <c r="T23" s="7">
        <f>CEO!T23+CS!T23+CFO!T23+LLA!T23+'C&amp;E'!T23+CES!T23+LLT!T23+GB!T23</f>
        <v>0</v>
      </c>
      <c r="U23" s="7">
        <f t="shared" si="7"/>
        <v>0</v>
      </c>
      <c r="V23" s="7">
        <f t="shared" si="6"/>
        <v>0</v>
      </c>
      <c r="W23" s="7"/>
      <c r="X23" s="7">
        <f>CEO!Q23+CS!Q23+CFO!Q23+LLA!Q23+'C&amp;E'!Q23+CES!Q23+LLT!Q23+GB!Q23</f>
        <v>0</v>
      </c>
      <c r="Y23" s="7">
        <f t="shared" ref="Y23:Y26" si="22">X23-Q23</f>
        <v>0</v>
      </c>
      <c r="Z23" s="7">
        <v>0</v>
      </c>
      <c r="AA23" s="7">
        <f t="shared" si="20"/>
        <v>0</v>
      </c>
      <c r="AC23" s="295">
        <f t="shared" si="21"/>
        <v>0</v>
      </c>
    </row>
    <row r="24" spans="1:33" x14ac:dyDescent="0.3">
      <c r="A24" s="7">
        <f>CEO!A24+CS!A24+CFO!A24+LLA!A24+'C&amp;E'!A24+CES!A24+LLT!A24+GB!A24</f>
        <v>23328.48</v>
      </c>
      <c r="B24" s="7">
        <f>CEO!B24+CS!B24+CFO!B24+LLA!B24+'C&amp;E'!B24+CES!B24+LLT!B24+GB!B24</f>
        <v>23328.48</v>
      </c>
      <c r="C24" s="7">
        <f>CEO!C24+CS!C24+CFO!C24+LLA!C24+'C&amp;E'!C24+CES!C24+LLT!C24+GB!C24</f>
        <v>23328.48</v>
      </c>
      <c r="D24" s="7">
        <f>CEO!D24+CS!D24+CFO!D24+LLA!D24+'C&amp;E'!D24+CES!D24+LLT!D24+GB!D24</f>
        <v>23328.48</v>
      </c>
      <c r="E24" s="7">
        <f>CEO!E24+CS!E24+CFO!E24+LLA!E24+'C&amp;E'!E24+CES!E24+LLT!E24+GB!E24</f>
        <v>23328.48</v>
      </c>
      <c r="F24" s="7">
        <f>CEO!F24+CS!F24+CFO!F24+LLA!F24+'C&amp;E'!F24+CES!F24+LLT!F24+GB!F24</f>
        <v>23328.48</v>
      </c>
      <c r="G24" s="7">
        <f>CEO!G24+CS!G24+CFO!G24+LLA!G24+'C&amp;E'!G24+CES!G24+LLT!G24+GB!G24</f>
        <v>23328.48</v>
      </c>
      <c r="H24" s="7">
        <f>CEO!H24+CS!H24+CFO!H24+LLA!H24+'C&amp;E'!H24+CES!H24+LLT!H24+GB!H24</f>
        <v>23328.48</v>
      </c>
      <c r="I24" s="7">
        <f>CEO!I24+CS!I24+CFO!I24+LLA!I24+'C&amp;E'!I24+CES!I24+LLT!I24+GB!I24</f>
        <v>23328.48</v>
      </c>
      <c r="J24" s="7">
        <f>CEO!J24+CS!J24+CFO!J24+LLA!J24+'C&amp;E'!J24+CES!J24+LLT!J24+GB!J24</f>
        <v>23328.48</v>
      </c>
      <c r="K24" s="7">
        <f>CEO!K24+CS!K24+CFO!K24+LLA!K24+'C&amp;E'!K24+CES!K24+LLT!K24+GB!K24</f>
        <v>23328.48</v>
      </c>
      <c r="L24" s="7">
        <f>CEO!L24+CS!L24+CFO!L24+LLA!L24+'C&amp;E'!L24+CES!L24+LLT!L24+GB!L24</f>
        <v>23333.48</v>
      </c>
      <c r="M24" s="125" t="s">
        <v>428</v>
      </c>
      <c r="N24" s="7">
        <f t="shared" si="17"/>
        <v>0</v>
      </c>
      <c r="O24" s="7">
        <f t="shared" si="18"/>
        <v>279946.76000000007</v>
      </c>
      <c r="P24" s="7">
        <f t="shared" si="4"/>
        <v>279946.76000000007</v>
      </c>
      <c r="Q24" s="7">
        <f>CEO!Q24+CS!Q24+CFO!Q24+LLA!Q24+'C&amp;E'!Q24+CES!Q24+LLT!Q24+GB!Q24</f>
        <v>279946.76000000007</v>
      </c>
      <c r="R24" s="7">
        <f t="shared" si="19"/>
        <v>0</v>
      </c>
      <c r="S24" s="7">
        <v>0</v>
      </c>
      <c r="T24" s="7">
        <f>CEO!T24+CS!T24+CFO!T24+LLA!T24+'C&amp;E'!T24+CES!T24+LLT!T24+GB!T24</f>
        <v>0</v>
      </c>
      <c r="U24" s="7">
        <f t="shared" si="7"/>
        <v>279946.76000000007</v>
      </c>
      <c r="V24" s="7">
        <f t="shared" si="6"/>
        <v>0</v>
      </c>
      <c r="W24" s="7"/>
      <c r="X24" s="7">
        <f>CEO!Q24+CS!Q24+CFO!Q24+LLA!Q24+'C&amp;E'!Q24+CES!Q24+LLT!Q24+GB!Q24</f>
        <v>279946.76000000007</v>
      </c>
      <c r="Y24" s="7">
        <f t="shared" si="22"/>
        <v>0</v>
      </c>
      <c r="Z24" s="7">
        <v>279947.04191999999</v>
      </c>
      <c r="AA24" s="7">
        <f t="shared" si="20"/>
        <v>293104.55289023998</v>
      </c>
      <c r="AC24" s="295">
        <f t="shared" si="21"/>
        <v>-0.28191999992122874</v>
      </c>
    </row>
    <row r="25" spans="1:33" x14ac:dyDescent="0.3">
      <c r="A25" s="7">
        <f>CEO!A25+CS!A25+CFO!A25+LLA!A25+'C&amp;E'!A25+CES!A25+LLT!A25+GB!A25</f>
        <v>1290.0880000000002</v>
      </c>
      <c r="B25" s="7">
        <f>CEO!B25+CS!B25+CFO!B25+LLA!B25+'C&amp;E'!B25+CES!B25+LLT!B25+GB!B25</f>
        <v>1290.0880000000002</v>
      </c>
      <c r="C25" s="7">
        <f>CEO!C25+CS!C25+CFO!C25+LLA!C25+'C&amp;E'!C25+CES!C25+LLT!C25+GB!C25</f>
        <v>1290.0880000000002</v>
      </c>
      <c r="D25" s="7">
        <f>CEO!D25+CS!D25+CFO!D25+LLA!D25+'C&amp;E'!D25+CES!D25+LLT!D25+GB!D25</f>
        <v>1290.0880000000002</v>
      </c>
      <c r="E25" s="7">
        <f>CEO!E25+CS!E25+CFO!E25+LLA!E25+'C&amp;E'!E25+CES!E25+LLT!E25+GB!E25</f>
        <v>1290.0880000000002</v>
      </c>
      <c r="F25" s="7">
        <f>CEO!F25+CS!F25+CFO!F25+LLA!F25+'C&amp;E'!F25+CES!F25+LLT!F25+GB!F25</f>
        <v>1290.0880000000002</v>
      </c>
      <c r="G25" s="7">
        <f>CEO!G25+CS!G25+CFO!G25+LLA!G25+'C&amp;E'!G25+CES!G25+LLT!G25+GB!G25</f>
        <v>1290.0880000000002</v>
      </c>
      <c r="H25" s="7">
        <f>CEO!H25+CS!H25+CFO!H25+LLA!H25+'C&amp;E'!H25+CES!H25+LLT!H25+GB!H25</f>
        <v>1290.0880000000002</v>
      </c>
      <c r="I25" s="7">
        <f>CEO!I25+CS!I25+CFO!I25+LLA!I25+'C&amp;E'!I25+CES!I25+LLT!I25+GB!I25</f>
        <v>1290.0880000000002</v>
      </c>
      <c r="J25" s="7">
        <f>CEO!J25+CS!J25+CFO!J25+LLA!J25+'C&amp;E'!J25+CES!J25+LLT!J25+GB!J25</f>
        <v>1290.0880000000002</v>
      </c>
      <c r="K25" s="7">
        <f>CEO!K25+CS!K25+CFO!K25+LLA!K25+'C&amp;E'!K25+CES!K25+LLT!K25+GB!K25</f>
        <v>1290.0880000000002</v>
      </c>
      <c r="L25" s="7">
        <f>CEO!L25+CS!L25+CFO!L25+LLA!L25+'C&amp;E'!L25+CES!L25+LLT!L25+GB!L25</f>
        <v>1298.0880000000002</v>
      </c>
      <c r="M25" s="13" t="s">
        <v>429</v>
      </c>
      <c r="N25" s="7">
        <f t="shared" si="17"/>
        <v>0</v>
      </c>
      <c r="O25" s="7">
        <f t="shared" si="18"/>
        <v>15489.055999999999</v>
      </c>
      <c r="P25" s="7">
        <f t="shared" si="4"/>
        <v>15489.055999999999</v>
      </c>
      <c r="Q25" s="7">
        <f>CEO!Q25+CS!Q25+CFO!Q25+LLA!Q25+'C&amp;E'!Q25+CES!Q25+LLT!Q25+GB!Q25</f>
        <v>15489.056000000004</v>
      </c>
      <c r="R25" s="7">
        <f t="shared" si="19"/>
        <v>0</v>
      </c>
      <c r="S25" s="7">
        <v>4780</v>
      </c>
      <c r="T25" s="7">
        <f>CEO!T25+CS!T25+CFO!T25+LLA!T25+'C&amp;E'!T25+CES!T25+LLT!T25+GB!T25</f>
        <v>8301</v>
      </c>
      <c r="U25" s="7">
        <f t="shared" si="7"/>
        <v>28570.056000000004</v>
      </c>
      <c r="V25" s="7">
        <f t="shared" si="6"/>
        <v>13081.000000000005</v>
      </c>
      <c r="W25" s="7"/>
      <c r="X25" s="7">
        <f>CEO!Q25+CS!Q25+CFO!Q25+LLA!Q25+'C&amp;E'!Q25+CES!Q25+LLT!Q25+GB!Q25</f>
        <v>15489.056000000004</v>
      </c>
      <c r="Y25" s="7">
        <f t="shared" si="22"/>
        <v>0</v>
      </c>
      <c r="Z25" s="7">
        <v>15489.44</v>
      </c>
      <c r="AA25" s="7">
        <f t="shared" si="20"/>
        <v>16217.44368</v>
      </c>
      <c r="AC25" s="295">
        <f t="shared" si="21"/>
        <v>-0.38399999999637657</v>
      </c>
    </row>
    <row r="26" spans="1:33" x14ac:dyDescent="0.3">
      <c r="A26" s="7">
        <f>CEO!A26+CS!A26+CFO!A26+LLA!A26+'C&amp;E'!A26+CES!A26+LLT!A26+GB!A26</f>
        <v>0</v>
      </c>
      <c r="B26" s="7">
        <f>CEO!B26+CS!B26+CFO!B26+LLA!B26+'C&amp;E'!B26+CES!B26+LLT!B26+GB!B26</f>
        <v>0</v>
      </c>
      <c r="C26" s="7">
        <f>CEO!C26+CS!C26+CFO!C26+LLA!C26+'C&amp;E'!C26+CES!C26+LLT!C26+GB!C26</f>
        <v>0</v>
      </c>
      <c r="D26" s="7">
        <f>CEO!D26+CS!D26+CFO!D26+LLA!D26+'C&amp;E'!D26+CES!D26+LLT!D26+GB!D26</f>
        <v>0</v>
      </c>
      <c r="E26" s="7">
        <f>CEO!E26+CS!E26+CFO!E26+LLA!E26+'C&amp;E'!E26+CES!E26+LLT!E26+GB!E26</f>
        <v>0</v>
      </c>
      <c r="F26" s="7">
        <f>CEO!F26+CS!F26+CFO!F26+LLA!F26+'C&amp;E'!F26+CES!F26+LLT!F26+GB!F26</f>
        <v>0</v>
      </c>
      <c r="G26" s="7">
        <f>CEO!G26+CS!G26+CFO!G26+LLA!G26+'C&amp;E'!G26+CES!G26+LLT!G26+GB!G26</f>
        <v>0</v>
      </c>
      <c r="H26" s="7">
        <f>CEO!H26+CS!H26+CFO!H26+LLA!H26+'C&amp;E'!H26+CES!H26+LLT!H26+GB!H26</f>
        <v>0</v>
      </c>
      <c r="I26" s="11">
        <f>CEO!I26+CS!I26+CFO!I26+LLA!I26+'C&amp;E'!I26+CES!I26+LLT!I26+GB!I26</f>
        <v>0</v>
      </c>
      <c r="J26" s="11">
        <f>CEO!J26+CS!J26+CFO!J26+LLA!J26+'C&amp;E'!J26+CES!J26+LLT!J26+GB!J26</f>
        <v>0</v>
      </c>
      <c r="K26" s="11">
        <f>CEO!K26+CS!K26+CFO!K26+LLA!K26+'C&amp;E'!K26+CES!K26+LLT!K26+GB!K26</f>
        <v>0</v>
      </c>
      <c r="L26" s="11">
        <f>CEO!L26+CS!L26+CFO!L26+LLA!L26+'C&amp;E'!L26+CES!L26+LLT!L26+GB!L26</f>
        <v>0</v>
      </c>
      <c r="M26" s="13" t="s">
        <v>430</v>
      </c>
      <c r="N26" s="11">
        <f t="shared" si="17"/>
        <v>0</v>
      </c>
      <c r="O26" s="11">
        <f t="shared" si="18"/>
        <v>0</v>
      </c>
      <c r="P26" s="11">
        <f t="shared" si="4"/>
        <v>0</v>
      </c>
      <c r="Q26" s="11">
        <f>CEO!Q26+CS!Q26+CFO!Q26+LLA!Q26+'C&amp;E'!Q26+CES!Q26+LLT!Q26+GB!Q26</f>
        <v>0</v>
      </c>
      <c r="R26" s="11">
        <f t="shared" si="19"/>
        <v>0</v>
      </c>
      <c r="S26" s="11">
        <v>0</v>
      </c>
      <c r="T26" s="11">
        <f>CEO!T26+CS!T26+CFO!T26+LLA!T26+'C&amp;E'!T26+CES!T26+LLT!T26+GB!T26</f>
        <v>0</v>
      </c>
      <c r="U26" s="11">
        <f t="shared" si="7"/>
        <v>0</v>
      </c>
      <c r="V26" s="11">
        <f t="shared" si="6"/>
        <v>0</v>
      </c>
      <c r="W26" s="11"/>
      <c r="X26" s="11">
        <f>CEO!Q26+CS!Q26+CFO!Q26+LLA!Q26+'C&amp;E'!Q26+CES!Q26+LLT!Q26+GB!Q26</f>
        <v>0</v>
      </c>
      <c r="Y26" s="11">
        <f t="shared" si="22"/>
        <v>0</v>
      </c>
      <c r="Z26" s="11">
        <v>0</v>
      </c>
      <c r="AA26" s="11">
        <f t="shared" si="20"/>
        <v>0</v>
      </c>
      <c r="AC26" s="295">
        <f t="shared" si="21"/>
        <v>0</v>
      </c>
    </row>
    <row r="27" spans="1:33" ht="5.4" customHeight="1" x14ac:dyDescent="0.3">
      <c r="A27" s="81"/>
      <c r="B27" s="81"/>
      <c r="C27" s="81"/>
      <c r="D27" s="85"/>
      <c r="E27" s="83"/>
      <c r="F27" s="83"/>
      <c r="G27" s="83"/>
      <c r="H27" s="83"/>
      <c r="I27" s="83"/>
      <c r="J27" s="83"/>
      <c r="K27" s="83"/>
      <c r="L27" s="83"/>
      <c r="M27" s="13"/>
      <c r="N27" s="83">
        <f t="shared" si="9"/>
        <v>0</v>
      </c>
      <c r="O27" s="83">
        <f t="shared" si="10"/>
        <v>0</v>
      </c>
      <c r="P27" s="83">
        <f t="shared" si="4"/>
        <v>0</v>
      </c>
      <c r="Q27" s="83"/>
      <c r="R27" s="83">
        <f t="shared" si="11"/>
        <v>0</v>
      </c>
      <c r="S27" s="83">
        <v>0</v>
      </c>
      <c r="T27" s="81">
        <f>CEO!T27+CS!T27+CFO!T27+LLA!T27+'C&amp;E'!T27+CES!T27+LLT!T27+GB!T27</f>
        <v>0</v>
      </c>
      <c r="U27" s="81">
        <f t="shared" si="7"/>
        <v>0</v>
      </c>
      <c r="V27" s="81">
        <f t="shared" si="6"/>
        <v>0</v>
      </c>
      <c r="W27" s="81"/>
      <c r="X27" s="83">
        <f>CEO!Q27+CS!Q27+CFO!Q27+LLA!Q27+'C&amp;E'!Q27+CES!Q27+LLT!Q27+GB!Q27</f>
        <v>0</v>
      </c>
      <c r="Y27" s="83">
        <f t="shared" si="12"/>
        <v>0</v>
      </c>
      <c r="Z27" s="83"/>
      <c r="AA27" s="83"/>
      <c r="AC27" s="295">
        <f t="shared" si="21"/>
        <v>0</v>
      </c>
    </row>
    <row r="28" spans="1:33" x14ac:dyDescent="0.3">
      <c r="A28" s="4">
        <f>SUM(A20:A26)</f>
        <v>191379.47200000001</v>
      </c>
      <c r="B28" s="4">
        <f>SUM(B20:B26)</f>
        <v>191379.47200000001</v>
      </c>
      <c r="C28" s="4">
        <f t="shared" ref="C28:L28" si="23">SUM(C20:C26)</f>
        <v>191379.47200000001</v>
      </c>
      <c r="D28" s="4">
        <f t="shared" si="23"/>
        <v>191379.47200000001</v>
      </c>
      <c r="E28" s="4">
        <f t="shared" si="23"/>
        <v>191379.47200000001</v>
      </c>
      <c r="F28" s="4">
        <f t="shared" si="23"/>
        <v>191379.47200000001</v>
      </c>
      <c r="G28" s="4">
        <f t="shared" si="23"/>
        <v>191379.47200000001</v>
      </c>
      <c r="H28" s="4">
        <f t="shared" si="23"/>
        <v>191379.47200000001</v>
      </c>
      <c r="I28" s="4">
        <f t="shared" si="23"/>
        <v>191379.47200000001</v>
      </c>
      <c r="J28" s="4">
        <f t="shared" si="23"/>
        <v>191379.47200000001</v>
      </c>
      <c r="K28" s="4">
        <f t="shared" si="23"/>
        <v>191379.47200000001</v>
      </c>
      <c r="L28" s="4">
        <f t="shared" si="23"/>
        <v>202150.03200000001</v>
      </c>
      <c r="M28" s="13" t="s">
        <v>97</v>
      </c>
      <c r="N28" s="4">
        <f t="shared" ref="N28:O28" si="24">SUM(N20:N26)</f>
        <v>0</v>
      </c>
      <c r="O28" s="4">
        <f t="shared" si="24"/>
        <v>2307324.2239999999</v>
      </c>
      <c r="P28" s="4">
        <f>SUM(P20:P26)</f>
        <v>2307324.2239999999</v>
      </c>
      <c r="Q28" s="4">
        <f>SUM(Q20:Q26)</f>
        <v>2307324.2239999999</v>
      </c>
      <c r="R28" s="4">
        <f t="shared" ref="R28:S28" si="25">SUM(R20:R26)</f>
        <v>0</v>
      </c>
      <c r="S28" s="4">
        <f t="shared" si="25"/>
        <v>4533780</v>
      </c>
      <c r="T28" s="4">
        <f>CEO!T28+CS!T28+CFO!T28+LLA!T28+'C&amp;E'!T28+CES!T28+LLT!T28+GB!T28</f>
        <v>-707103</v>
      </c>
      <c r="U28" s="4">
        <f t="shared" si="7"/>
        <v>6134001.2239999995</v>
      </c>
      <c r="V28" s="4">
        <f t="shared" si="6"/>
        <v>3826676.9999999995</v>
      </c>
      <c r="W28" s="4"/>
      <c r="X28" s="4">
        <f>CEO!Q28+CS!Q28+CFO!Q28+LLA!Q28+'C&amp;E'!Q28+CES!Q28+LLT!Q28+GB!Q28</f>
        <v>2307324.2239999995</v>
      </c>
      <c r="Y28" s="4">
        <f t="shared" si="12"/>
        <v>0</v>
      </c>
      <c r="Z28" s="4">
        <f>SUM(Z20:Z26)</f>
        <v>2307324.7481272677</v>
      </c>
      <c r="AA28" s="4">
        <f>SUM(AA20:AA26)</f>
        <v>2530463.0112892496</v>
      </c>
      <c r="AC28" s="295">
        <f t="shared" si="21"/>
        <v>-0.5241272677667439</v>
      </c>
    </row>
    <row r="29" spans="1:33" ht="3.6" customHeight="1" x14ac:dyDescent="0.3">
      <c r="A29" s="81"/>
      <c r="B29" s="81"/>
      <c r="C29" s="81"/>
      <c r="D29" s="82"/>
      <c r="E29" s="86"/>
      <c r="F29" s="86"/>
      <c r="G29" s="86"/>
      <c r="H29" s="86"/>
      <c r="I29" s="86"/>
      <c r="J29" s="86"/>
      <c r="K29" s="86"/>
      <c r="L29" s="86"/>
      <c r="M29" s="80"/>
      <c r="N29" s="86">
        <f t="shared" si="9"/>
        <v>0</v>
      </c>
      <c r="O29" s="86">
        <f t="shared" si="10"/>
        <v>0</v>
      </c>
      <c r="P29" s="86">
        <f t="shared" si="4"/>
        <v>0</v>
      </c>
      <c r="Q29" s="86"/>
      <c r="R29" s="86">
        <f t="shared" si="11"/>
        <v>0</v>
      </c>
      <c r="S29" s="86">
        <v>0</v>
      </c>
      <c r="T29" s="81">
        <f>CEO!T29+CS!T29+CFO!T29+LLA!T29+'C&amp;E'!T29+CES!T29+LLT!T29+GB!T29</f>
        <v>0</v>
      </c>
      <c r="U29" s="81">
        <f t="shared" si="7"/>
        <v>0</v>
      </c>
      <c r="V29" s="81">
        <f t="shared" si="6"/>
        <v>0</v>
      </c>
      <c r="W29" s="81"/>
      <c r="X29" s="86">
        <f>CEO!Q29+CS!Q29+CFO!Q29+LLA!Q29+'C&amp;E'!Q29+CES!Q29+LLT!Q29+GB!Q29</f>
        <v>0</v>
      </c>
      <c r="Y29" s="86">
        <f t="shared" si="12"/>
        <v>0</v>
      </c>
      <c r="Z29" s="86"/>
      <c r="AA29" s="86"/>
    </row>
    <row r="30" spans="1:33" x14ac:dyDescent="0.3">
      <c r="A30" s="8">
        <f>CEO!A30+CS!A30+CFO!A30+LLA!A30+'C&amp;E'!A30+CES!A30+LLT!A30+GB!A30</f>
        <v>0</v>
      </c>
      <c r="B30" s="8">
        <f>CEO!B30+CS!B30+CFO!B30+LLA!B30+'C&amp;E'!B30+CES!B30+LLT!B30+GB!B30</f>
        <v>295515.20767999999</v>
      </c>
      <c r="C30" s="8">
        <f>CEO!C30+CS!C30+CFO!C30+LLA!C30+'C&amp;E'!C30+CES!C30+LLT!C30+GB!C30</f>
        <v>471100.05160000001</v>
      </c>
      <c r="D30" s="8">
        <f>CEO!D30+CS!D30+CFO!D30+LLA!D30+'C&amp;E'!D30+CES!D30+LLT!D30+GB!D30</f>
        <v>667871.71416000009</v>
      </c>
      <c r="E30" s="8">
        <f>CEO!E30+CS!E30+CFO!E30+LLA!E30+'C&amp;E'!E30+CES!E30+LLT!E30+GB!E30</f>
        <v>242312.57592000006</v>
      </c>
      <c r="F30" s="8">
        <f>CEO!F30+CS!F30+CFO!F30+LLA!F30+'C&amp;E'!F30+CES!F30+LLT!F30+GB!F30</f>
        <v>0</v>
      </c>
      <c r="G30" s="8">
        <f>CEO!G30+CS!G30+CFO!G30+LLA!G30+'C&amp;E'!G30+CES!G30+LLT!G30+GB!G30</f>
        <v>0</v>
      </c>
      <c r="H30" s="8">
        <f>CEO!H30+CS!H30+CFO!H30+LLA!H30+'C&amp;E'!H30+CES!H30+LLT!H30+GB!H30</f>
        <v>0</v>
      </c>
      <c r="I30" s="8">
        <f>CEO!I30+CS!I30+CFO!I30+LLA!I30+'C&amp;E'!I30+CES!I30+LLT!I30+GB!I30</f>
        <v>0</v>
      </c>
      <c r="J30" s="8">
        <f>CEO!J30+CS!J30+CFO!J30+LLA!J30+'C&amp;E'!J30+CES!J30+LLT!J30+GB!J30</f>
        <v>0</v>
      </c>
      <c r="K30" s="8">
        <f>CEO!K30+CS!K30+CFO!K30+LLA!K30+'C&amp;E'!K30+CES!K30+LLT!K30+GB!K30</f>
        <v>0</v>
      </c>
      <c r="L30" s="8">
        <f>CEO!L30+CS!L30+CFO!L30+LLA!L30+'C&amp;E'!L30+CES!L30+LLT!L30+GB!L30</f>
        <v>0</v>
      </c>
      <c r="M30" s="388" t="s">
        <v>431</v>
      </c>
      <c r="N30" s="8">
        <f t="shared" ref="N30:N44" si="26">SUM(0)</f>
        <v>0</v>
      </c>
      <c r="O30" s="8">
        <f t="shared" ref="O30:O44" si="27">SUM(A30:L30)</f>
        <v>1676799.5493600001</v>
      </c>
      <c r="P30" s="8">
        <f t="shared" si="4"/>
        <v>1676799.5493600001</v>
      </c>
      <c r="Q30" s="8">
        <f>CEO!Q30+CS!Q30+CFO!Q30+LLA!Q30+'C&amp;E'!Q30+CES!Q30+LLT!Q30+GB!Q30</f>
        <v>1676799.5493600001</v>
      </c>
      <c r="R30" s="8">
        <f t="shared" ref="R30:R44" si="28">Q30-P30</f>
        <v>0</v>
      </c>
      <c r="S30" s="8">
        <v>0</v>
      </c>
      <c r="T30" s="8">
        <f>CEO!T30+CS!T30+CFO!T30+LLA!T30+'C&amp;E'!T30+CES!T30+LLT!T30+GB!T30</f>
        <v>683270.35999999987</v>
      </c>
      <c r="U30" s="8">
        <f t="shared" si="7"/>
        <v>2360069.9093599999</v>
      </c>
      <c r="V30" s="8">
        <f t="shared" si="6"/>
        <v>683270.35999999987</v>
      </c>
      <c r="W30" s="8"/>
      <c r="X30" s="8">
        <f>CEO!Q30+CS!Q30+CFO!Q30+LLA!Q30+'C&amp;E'!Q30+CES!Q30+LLT!Q30+GB!Q30</f>
        <v>1676799.5493600001</v>
      </c>
      <c r="Y30" s="8">
        <f t="shared" ref="Y30:Y44" si="29">X30-Q30</f>
        <v>0</v>
      </c>
      <c r="Z30" s="8">
        <v>1676800</v>
      </c>
      <c r="AA30" s="8">
        <f t="shared" ref="AA30:AA44" si="30">Z30*(1+AA$3)</f>
        <v>1755609.5999999999</v>
      </c>
      <c r="AC30" s="295">
        <f t="shared" ref="AC30:AC93" si="31">Q30-Z30</f>
        <v>-0.45063999993726611</v>
      </c>
    </row>
    <row r="31" spans="1:33" x14ac:dyDescent="0.3">
      <c r="A31" s="7">
        <f>CEO!A31+CS!A31+CFO!A31+LLA!A31+'C&amp;E'!A31+CES!A31+LLT!A31+GB!A31</f>
        <v>9215.0640000000003</v>
      </c>
      <c r="B31" s="7">
        <f>CEO!B31+CS!B31+CFO!B31+LLA!B31+'C&amp;E'!B31+CES!B31+LLT!B31+GB!B31</f>
        <v>9215.0640000000003</v>
      </c>
      <c r="C31" s="7">
        <f>CEO!C31+CS!C31+CFO!C31+LLA!C31+'C&amp;E'!C31+CES!C31+LLT!C31+GB!C31</f>
        <v>9215.0640000000003</v>
      </c>
      <c r="D31" s="7">
        <f>CEO!D31+CS!D31+CFO!D31+LLA!D31+'C&amp;E'!D31+CES!D31+LLT!D31+GB!D31</f>
        <v>9215.0640000000003</v>
      </c>
      <c r="E31" s="7">
        <f>CEO!E31+CS!E31+CFO!E31+LLA!E31+'C&amp;E'!E31+CES!E31+LLT!E31+GB!E31</f>
        <v>9215.0640000000003</v>
      </c>
      <c r="F31" s="7">
        <f>CEO!F31+CS!F31+CFO!F31+LLA!F31+'C&amp;E'!F31+CES!F31+LLT!F31+GB!F31</f>
        <v>9215.0640000000003</v>
      </c>
      <c r="G31" s="7">
        <f>CEO!G31+CS!G31+CFO!G31+LLA!G31+'C&amp;E'!G31+CES!G31+LLT!G31+GB!G31</f>
        <v>9215.0640000000003</v>
      </c>
      <c r="H31" s="7">
        <f>CEO!H31+CS!H31+CFO!H31+LLA!H31+'C&amp;E'!H31+CES!H31+LLT!H31+GB!H31</f>
        <v>9215.0640000000003</v>
      </c>
      <c r="I31" s="7">
        <f>CEO!I31+CS!I31+CFO!I31+LLA!I31+'C&amp;E'!I31+CES!I31+LLT!I31+GB!I31</f>
        <v>9215.0640000000003</v>
      </c>
      <c r="J31" s="7">
        <f>CEO!J31+CS!J31+CFO!J31+LLA!J31+'C&amp;E'!J31+CES!J31+LLT!J31+GB!J31</f>
        <v>9215.0640000000003</v>
      </c>
      <c r="K31" s="7">
        <f>CEO!K31+CS!K31+CFO!K31+LLA!K31+'C&amp;E'!K31+CES!K31+LLT!K31+GB!K31</f>
        <v>9215.0640000000003</v>
      </c>
      <c r="L31" s="7">
        <f>CEO!L31+CS!L31+CFO!L31+LLA!L31+'C&amp;E'!L31+CES!L31+LLT!L31+GB!L31</f>
        <v>9214.0640000000003</v>
      </c>
      <c r="M31" s="13" t="s">
        <v>432</v>
      </c>
      <c r="N31" s="7">
        <f t="shared" si="26"/>
        <v>0</v>
      </c>
      <c r="O31" s="7">
        <f t="shared" si="27"/>
        <v>110579.768</v>
      </c>
      <c r="P31" s="7">
        <f t="shared" si="4"/>
        <v>110579.768</v>
      </c>
      <c r="Q31" s="7">
        <f>CEO!Q31+CS!Q31+CFO!Q31+LLA!Q31+'C&amp;E'!Q31+CES!Q31+LLT!Q31+GB!Q31</f>
        <v>110579.768</v>
      </c>
      <c r="R31" s="7">
        <f t="shared" si="28"/>
        <v>0</v>
      </c>
      <c r="S31" s="7">
        <v>0</v>
      </c>
      <c r="T31" s="7">
        <f>CEO!T31+CS!T31+CFO!T31+LLA!T31+'C&amp;E'!T31+CES!T31+LLT!T31+GB!T31</f>
        <v>20432</v>
      </c>
      <c r="U31" s="7">
        <f t="shared" si="7"/>
        <v>131011.768</v>
      </c>
      <c r="V31" s="7">
        <f t="shared" si="6"/>
        <v>20432</v>
      </c>
      <c r="W31" s="7"/>
      <c r="X31" s="7">
        <f>CEO!Q31+CS!Q31+CFO!Q31+LLA!Q31+'C&amp;E'!Q31+CES!Q31+LLT!Q31+GB!Q31</f>
        <v>110579.768</v>
      </c>
      <c r="Y31" s="7">
        <f t="shared" si="29"/>
        <v>0</v>
      </c>
      <c r="Z31" s="7">
        <v>110579.34331572511</v>
      </c>
      <c r="AA31" s="7">
        <f t="shared" si="30"/>
        <v>115776.57245156419</v>
      </c>
      <c r="AC31" s="295">
        <f t="shared" si="31"/>
        <v>0.42468427488347515</v>
      </c>
    </row>
    <row r="32" spans="1:33" x14ac:dyDescent="0.3">
      <c r="A32" s="7">
        <f>CEO!A32+CS!A32+CFO!A32+LLA!A32+'C&amp;E'!A32+CES!A32+LLT!A32+GB!A32</f>
        <v>74534.808000000005</v>
      </c>
      <c r="B32" s="7">
        <f>CEO!B32+CS!B32+CFO!B32+LLA!B32+'C&amp;E'!B32+CES!B32+LLT!B32+GB!B32</f>
        <v>74534.808000000005</v>
      </c>
      <c r="C32" s="7">
        <f>CEO!C32+CS!C32+CFO!C32+LLA!C32+'C&amp;E'!C32+CES!C32+LLT!C32+GB!C32</f>
        <v>74534.808000000005</v>
      </c>
      <c r="D32" s="7">
        <f>CEO!D32+CS!D32+CFO!D32+LLA!D32+'C&amp;E'!D32+CES!D32+LLT!D32+GB!D32</f>
        <v>74534.808000000005</v>
      </c>
      <c r="E32" s="7">
        <f>CEO!E32+CS!E32+CFO!E32+LLA!E32+'C&amp;E'!E32+CES!E32+LLT!E32+GB!E32</f>
        <v>74534.808000000005</v>
      </c>
      <c r="F32" s="7">
        <f>CEO!F32+CS!F32+CFO!F32+LLA!F32+'C&amp;E'!F32+CES!F32+LLT!F32+GB!F32</f>
        <v>74534.808000000005</v>
      </c>
      <c r="G32" s="7">
        <f>CEO!G32+CS!G32+CFO!G32+LLA!G32+'C&amp;E'!G32+CES!G32+LLT!G32+GB!G32</f>
        <v>74534.808000000005</v>
      </c>
      <c r="H32" s="7">
        <f>CEO!H32+CS!H32+CFO!H32+LLA!H32+'C&amp;E'!H32+CES!H32+LLT!H32+GB!H32</f>
        <v>74534.808000000005</v>
      </c>
      <c r="I32" s="7">
        <f>CEO!I32+CS!I32+CFO!I32+LLA!I32+'C&amp;E'!I32+CES!I32+LLT!I32+GB!I32</f>
        <v>74534.808000000005</v>
      </c>
      <c r="J32" s="7">
        <f>CEO!J32+CS!J32+CFO!J32+LLA!J32+'C&amp;E'!J32+CES!J32+LLT!J32+GB!J32</f>
        <v>74534.808000000005</v>
      </c>
      <c r="K32" s="7">
        <f>CEO!K32+CS!K32+CFO!K32+LLA!K32+'C&amp;E'!K32+CES!K32+LLT!K32+GB!K32</f>
        <v>74534.808000000005</v>
      </c>
      <c r="L32" s="7">
        <f>CEO!L32+CS!L32+CFO!L32+LLA!L32+'C&amp;E'!L32+CES!L32+LLT!L32+GB!L32</f>
        <v>74535.922317440083</v>
      </c>
      <c r="M32" s="13" t="s">
        <v>433</v>
      </c>
      <c r="N32" s="7">
        <f t="shared" si="26"/>
        <v>0</v>
      </c>
      <c r="O32" s="7">
        <f t="shared" si="27"/>
        <v>894418.81031743996</v>
      </c>
      <c r="P32" s="7">
        <f t="shared" si="4"/>
        <v>894418.81031743996</v>
      </c>
      <c r="Q32" s="7">
        <f>CEO!Q32+CS!Q32+CFO!Q32+LLA!Q32+'C&amp;E'!Q32+CES!Q32+LLT!Q32+GB!Q32</f>
        <v>894418.81031743996</v>
      </c>
      <c r="R32" s="7">
        <f t="shared" si="28"/>
        <v>0</v>
      </c>
      <c r="S32" s="7">
        <v>0</v>
      </c>
      <c r="T32" s="7">
        <f>CEO!T32+CS!T32+CFO!T32+LLA!T32+'C&amp;E'!T32+CES!T32+LLT!T32+GB!T32</f>
        <v>0</v>
      </c>
      <c r="U32" s="7">
        <f t="shared" si="7"/>
        <v>894418.81031743996</v>
      </c>
      <c r="V32" s="7">
        <f t="shared" si="6"/>
        <v>0</v>
      </c>
      <c r="W32" s="7"/>
      <c r="X32" s="7">
        <f>CEO!Q32+CS!Q32+CFO!Q32+LLA!Q32+'C&amp;E'!Q32+CES!Q32+LLT!Q32+GB!Q32</f>
        <v>894418.81031743996</v>
      </c>
      <c r="Y32" s="7">
        <f t="shared" si="29"/>
        <v>0</v>
      </c>
      <c r="Z32" s="7">
        <v>894418.81031744007</v>
      </c>
      <c r="AA32" s="7">
        <f t="shared" si="30"/>
        <v>936456.49440235971</v>
      </c>
      <c r="AC32" s="295">
        <f t="shared" si="31"/>
        <v>0</v>
      </c>
    </row>
    <row r="33" spans="1:29" x14ac:dyDescent="0.3">
      <c r="A33" s="7">
        <f>CEO!A33+CS!A33+CFO!A33+LLA!A33+'C&amp;E'!A33+CES!A33+LLT!A33+GB!A33</f>
        <v>4377.4960000000001</v>
      </c>
      <c r="B33" s="7">
        <f>CEO!B33+CS!B33+CFO!B33+LLA!B33+'C&amp;E'!B33+CES!B33+LLT!B33+GB!B33</f>
        <v>4377.4960000000001</v>
      </c>
      <c r="C33" s="7">
        <f>CEO!C33+CS!C33+CFO!C33+LLA!C33+'C&amp;E'!C33+CES!C33+LLT!C33+GB!C33</f>
        <v>4377.4960000000001</v>
      </c>
      <c r="D33" s="7">
        <f>CEO!D33+CS!D33+CFO!D33+LLA!D33+'C&amp;E'!D33+CES!D33+LLT!D33+GB!D33</f>
        <v>4377.4960000000001</v>
      </c>
      <c r="E33" s="7">
        <f>CEO!E33+CS!E33+CFO!E33+LLA!E33+'C&amp;E'!E33+CES!E33+LLT!E33+GB!E33</f>
        <v>4377.4960000000001</v>
      </c>
      <c r="F33" s="7">
        <f>CEO!F33+CS!F33+CFO!F33+LLA!F33+'C&amp;E'!F33+CES!F33+LLT!F33+GB!F33</f>
        <v>4377.4960000000001</v>
      </c>
      <c r="G33" s="7">
        <f>CEO!G33+CS!G33+CFO!G33+LLA!G33+'C&amp;E'!G33+CES!G33+LLT!G33+GB!G33</f>
        <v>4377.4960000000001</v>
      </c>
      <c r="H33" s="7">
        <f>CEO!H33+CS!H33+CFO!H33+LLA!H33+'C&amp;E'!H33+CES!H33+LLT!H33+GB!H33</f>
        <v>4377.4960000000001</v>
      </c>
      <c r="I33" s="7">
        <f>CEO!I33+CS!I33+CFO!I33+LLA!I33+'C&amp;E'!I33+CES!I33+LLT!I33+GB!I33</f>
        <v>4377.4960000000001</v>
      </c>
      <c r="J33" s="7">
        <f>CEO!J33+CS!J33+CFO!J33+LLA!J33+'C&amp;E'!J33+CES!J33+LLT!J33+GB!J33</f>
        <v>4377.4960000000001</v>
      </c>
      <c r="K33" s="7">
        <f>CEO!K33+CS!K33+CFO!K33+LLA!K33+'C&amp;E'!K33+CES!K33+LLT!K33+GB!K33</f>
        <v>4377.4960000000001</v>
      </c>
      <c r="L33" s="7">
        <f>CEO!L33+CS!L33+CFO!L33+LLA!L33+'C&amp;E'!L33+CES!L33+LLT!L33+GB!L33</f>
        <v>4378.5440000000026</v>
      </c>
      <c r="M33" s="13" t="s">
        <v>434</v>
      </c>
      <c r="N33" s="7">
        <f t="shared" si="26"/>
        <v>0</v>
      </c>
      <c r="O33" s="7">
        <f t="shared" si="27"/>
        <v>52531</v>
      </c>
      <c r="P33" s="7">
        <f t="shared" si="4"/>
        <v>52531</v>
      </c>
      <c r="Q33" s="7">
        <f>CEO!Q33+CS!Q33+CFO!Q33+LLA!Q33+'C&amp;E'!Q33+CES!Q33+LLT!Q33+GB!Q33</f>
        <v>52531</v>
      </c>
      <c r="R33" s="7">
        <f t="shared" si="28"/>
        <v>0</v>
      </c>
      <c r="S33" s="7">
        <v>50125</v>
      </c>
      <c r="T33" s="7">
        <f>CEO!T33+CS!T33+CFO!T33+LLA!T33+'C&amp;E'!T33+CES!T33+LLT!T33+GB!T33</f>
        <v>0</v>
      </c>
      <c r="U33" s="7">
        <f t="shared" si="7"/>
        <v>102656</v>
      </c>
      <c r="V33" s="7">
        <f t="shared" si="6"/>
        <v>50125</v>
      </c>
      <c r="W33" s="7"/>
      <c r="X33" s="7">
        <f>CEO!Q33+CS!Q33+CFO!Q33+LLA!Q33+'C&amp;E'!Q33+CES!Q33+LLT!Q33+GB!Q33</f>
        <v>52531</v>
      </c>
      <c r="Y33" s="7">
        <f t="shared" si="29"/>
        <v>0</v>
      </c>
      <c r="Z33" s="7">
        <v>52531</v>
      </c>
      <c r="AA33" s="7">
        <f t="shared" si="30"/>
        <v>54999.956999999995</v>
      </c>
      <c r="AC33" s="295">
        <f t="shared" si="31"/>
        <v>0</v>
      </c>
    </row>
    <row r="34" spans="1:29" x14ac:dyDescent="0.3">
      <c r="A34" s="7">
        <f>CEO!A34+CS!A34+CFO!A34+LLA!A34+'C&amp;E'!A34+CES!A34+LLT!A34+GB!A34</f>
        <v>34273.792000000001</v>
      </c>
      <c r="B34" s="7">
        <f>CEO!B34+CS!B34+CFO!B34+LLA!B34+'C&amp;E'!B34+CES!B34+LLT!B34+GB!B34</f>
        <v>34273.792000000001</v>
      </c>
      <c r="C34" s="7">
        <f>CEO!C34+CS!C34+CFO!C34+LLA!C34+'C&amp;E'!C34+CES!C34+LLT!C34+GB!C34</f>
        <v>34273.792000000001</v>
      </c>
      <c r="D34" s="7">
        <f>CEO!D34+CS!D34+CFO!D34+LLA!D34+'C&amp;E'!D34+CES!D34+LLT!D34+GB!D34</f>
        <v>34273.792000000001</v>
      </c>
      <c r="E34" s="7">
        <f>CEO!E34+CS!E34+CFO!E34+LLA!E34+'C&amp;E'!E34+CES!E34+LLT!E34+GB!E34</f>
        <v>34273.792000000001</v>
      </c>
      <c r="F34" s="7">
        <f>CEO!F34+CS!F34+CFO!F34+LLA!F34+'C&amp;E'!F34+CES!F34+LLT!F34+GB!F34</f>
        <v>34273.792000000001</v>
      </c>
      <c r="G34" s="7">
        <f>CEO!G34+CS!G34+CFO!G34+LLA!G34+'C&amp;E'!G34+CES!G34+LLT!G34+GB!G34</f>
        <v>34273.792000000001</v>
      </c>
      <c r="H34" s="7">
        <f>CEO!H34+CS!H34+CFO!H34+LLA!H34+'C&amp;E'!H34+CES!H34+LLT!H34+GB!H34</f>
        <v>34273.792000000001</v>
      </c>
      <c r="I34" s="7">
        <f>CEO!I34+CS!I34+CFO!I34+LLA!I34+'C&amp;E'!I34+CES!I34+LLT!I34+GB!I34</f>
        <v>34273.792000000001</v>
      </c>
      <c r="J34" s="7">
        <f>CEO!J34+CS!J34+CFO!J34+LLA!J34+'C&amp;E'!J34+CES!J34+LLT!J34+GB!J34</f>
        <v>34273.792000000001</v>
      </c>
      <c r="K34" s="7">
        <f>CEO!K34+CS!K34+CFO!K34+LLA!K34+'C&amp;E'!K34+CES!K34+LLT!K34+GB!K34</f>
        <v>34273.792000000001</v>
      </c>
      <c r="L34" s="7">
        <f>CEO!L34+CS!L34+CFO!L34+LLA!L34+'C&amp;E'!L34+CES!L34+LLT!L34+GB!L34</f>
        <v>34268.456572264011</v>
      </c>
      <c r="M34" s="13" t="s">
        <v>435</v>
      </c>
      <c r="N34" s="7">
        <f t="shared" si="26"/>
        <v>0</v>
      </c>
      <c r="O34" s="7">
        <f t="shared" si="27"/>
        <v>411280.16857226414</v>
      </c>
      <c r="P34" s="7">
        <f t="shared" si="4"/>
        <v>411280.16857226414</v>
      </c>
      <c r="Q34" s="7">
        <f>CEO!Q34+CS!Q34+CFO!Q34+LLA!Q34+'C&amp;E'!Q34+CES!Q34+LLT!Q34+GB!Q34</f>
        <v>411280.16857226402</v>
      </c>
      <c r="R34" s="7">
        <f t="shared" si="28"/>
        <v>0</v>
      </c>
      <c r="S34" s="7">
        <v>149964</v>
      </c>
      <c r="T34" s="7">
        <f>CEO!T34+CS!T34+CFO!T34+LLA!T34+'C&amp;E'!T34+CES!T34+LLT!T34+GB!T34</f>
        <v>-390716</v>
      </c>
      <c r="U34" s="7">
        <f t="shared" si="7"/>
        <v>170528.16857226402</v>
      </c>
      <c r="V34" s="7">
        <f t="shared" si="6"/>
        <v>-240752.00000000012</v>
      </c>
      <c r="W34" s="7"/>
      <c r="X34" s="7">
        <f>CEO!Q34+CS!Q34+CFO!Q34+LLA!Q34+'C&amp;E'!Q34+CES!Q34+LLT!Q34+GB!Q34</f>
        <v>411280.16857226402</v>
      </c>
      <c r="Y34" s="7">
        <f t="shared" si="29"/>
        <v>0</v>
      </c>
      <c r="Z34" s="7">
        <v>411280.16857226402</v>
      </c>
      <c r="AA34" s="7">
        <f t="shared" si="30"/>
        <v>430610.33649516042</v>
      </c>
      <c r="AC34" s="295">
        <f t="shared" si="31"/>
        <v>0</v>
      </c>
    </row>
    <row r="35" spans="1:29" x14ac:dyDescent="0.3">
      <c r="A35" s="7">
        <f>CEO!A35+CS!A35+CFO!A35+LLA!A35+'C&amp;E'!A35+CES!A35+LLT!A35+GB!A35</f>
        <v>0</v>
      </c>
      <c r="B35" s="7">
        <f>CEO!B35+CS!B35+CFO!B35+LLA!B35+'C&amp;E'!B35+CES!B35+LLT!B35+GB!B35</f>
        <v>0</v>
      </c>
      <c r="C35" s="7">
        <f>CEO!C35+CS!C35+CFO!C35+LLA!C35+'C&amp;E'!C35+CES!C35+LLT!C35+GB!C35</f>
        <v>0</v>
      </c>
      <c r="D35" s="7">
        <f>CEO!D35+CS!D35+CFO!D35+LLA!D35+'C&amp;E'!D35+CES!D35+LLT!D35+GB!D35</f>
        <v>0</v>
      </c>
      <c r="E35" s="7">
        <f>CEO!E35+CS!E35+CFO!E35+LLA!E35+'C&amp;E'!E35+CES!E35+LLT!E35+GB!E35</f>
        <v>0</v>
      </c>
      <c r="F35" s="7">
        <f>CEO!F35+CS!F35+CFO!F35+LLA!F35+'C&amp;E'!F35+CES!F35+LLT!F35+GB!F35</f>
        <v>0</v>
      </c>
      <c r="G35" s="7">
        <f>CEO!G35+CS!G35+CFO!G35+LLA!G35+'C&amp;E'!G35+CES!G35+LLT!G35+GB!G35</f>
        <v>0</v>
      </c>
      <c r="H35" s="7">
        <f>CEO!H35+CS!H35+CFO!H35+LLA!H35+'C&amp;E'!H35+CES!H35+LLT!H35+GB!H35</f>
        <v>0</v>
      </c>
      <c r="I35" s="7">
        <f>CEO!I35+CS!I35+CFO!I35+LLA!I35+'C&amp;E'!I35+CES!I35+LLT!I35+GB!I35</f>
        <v>0</v>
      </c>
      <c r="J35" s="7">
        <f>CEO!J35+CS!J35+CFO!J35+LLA!J35+'C&amp;E'!J35+CES!J35+LLT!J35+GB!J35</f>
        <v>0</v>
      </c>
      <c r="K35" s="7">
        <f>CEO!K35+CS!K35+CFO!K35+LLA!K35+'C&amp;E'!K35+CES!K35+LLT!K35+GB!K35</f>
        <v>0</v>
      </c>
      <c r="L35" s="7">
        <f>CEO!L35+CS!L35+CFO!L35+LLA!L35+'C&amp;E'!L35+CES!L35+LLT!L35+GB!L35</f>
        <v>0</v>
      </c>
      <c r="M35" s="13" t="s">
        <v>436</v>
      </c>
      <c r="N35" s="7">
        <f t="shared" si="26"/>
        <v>0</v>
      </c>
      <c r="O35" s="7">
        <f t="shared" si="27"/>
        <v>0</v>
      </c>
      <c r="P35" s="7">
        <f t="shared" si="4"/>
        <v>0</v>
      </c>
      <c r="Q35" s="7">
        <f>CEO!Q35+CS!Q35+CFO!Q35+LLA!Q35+'C&amp;E'!Q35+CES!Q35+LLT!Q35+GB!Q35</f>
        <v>0</v>
      </c>
      <c r="R35" s="7">
        <f t="shared" si="28"/>
        <v>0</v>
      </c>
      <c r="S35" s="7">
        <v>0</v>
      </c>
      <c r="T35" s="7">
        <f>CEO!T35+CS!T35+CFO!T35+LLA!T35+'C&amp;E'!T35+CES!T35+LLT!T35+GB!T35</f>
        <v>0</v>
      </c>
      <c r="U35" s="7">
        <f t="shared" si="7"/>
        <v>0</v>
      </c>
      <c r="V35" s="7">
        <f t="shared" si="6"/>
        <v>0</v>
      </c>
      <c r="W35" s="7"/>
      <c r="X35" s="7">
        <f>CEO!Q35+CS!Q35+CFO!Q35+LLA!Q35+'C&amp;E'!Q35+CES!Q35+LLT!Q35+GB!Q35</f>
        <v>0</v>
      </c>
      <c r="Y35" s="7">
        <f t="shared" si="29"/>
        <v>0</v>
      </c>
      <c r="Z35" s="7">
        <v>0</v>
      </c>
      <c r="AA35" s="7">
        <f t="shared" si="30"/>
        <v>0</v>
      </c>
      <c r="AC35" s="295">
        <f t="shared" si="31"/>
        <v>0</v>
      </c>
    </row>
    <row r="36" spans="1:29" x14ac:dyDescent="0.3">
      <c r="A36" s="7">
        <f>CEO!A36+CS!A36+CFO!A36+LLA!A36+'C&amp;E'!A36+CES!A36+LLT!A36+GB!A36</f>
        <v>0</v>
      </c>
      <c r="B36" s="7">
        <f>CEO!B36+CS!B36+CFO!B36+LLA!B36+'C&amp;E'!B36+CES!B36+LLT!B36+GB!B36</f>
        <v>0</v>
      </c>
      <c r="C36" s="7">
        <f>CEO!C36+CS!C36+CFO!C36+LLA!C36+'C&amp;E'!C36+CES!C36+LLT!C36+GB!C36</f>
        <v>0</v>
      </c>
      <c r="D36" s="7">
        <f>CEO!D36+CS!D36+CFO!D36+LLA!D36+'C&amp;E'!D36+CES!D36+LLT!D36+GB!D36</f>
        <v>0</v>
      </c>
      <c r="E36" s="7">
        <f>CEO!E36+CS!E36+CFO!E36+LLA!E36+'C&amp;E'!E36+CES!E36+LLT!E36+GB!E36</f>
        <v>0</v>
      </c>
      <c r="F36" s="7">
        <f>CEO!F36+CS!F36+CFO!F36+LLA!F36+'C&amp;E'!F36+CES!F36+LLT!F36+GB!F36</f>
        <v>0</v>
      </c>
      <c r="G36" s="7">
        <f>CEO!G36+CS!G36+CFO!G36+LLA!G36+'C&amp;E'!G36+CES!G36+LLT!G36+GB!G36</f>
        <v>0</v>
      </c>
      <c r="H36" s="7">
        <f>CEO!H36+CS!H36+CFO!H36+LLA!H36+'C&amp;E'!H36+CES!H36+LLT!H36+GB!H36</f>
        <v>0</v>
      </c>
      <c r="I36" s="7">
        <f>CEO!I36+CS!I36+CFO!I36+LLA!I36+'C&amp;E'!I36+CES!I36+LLT!I36+GB!I36</f>
        <v>0</v>
      </c>
      <c r="J36" s="7">
        <f>CEO!J36+CS!J36+CFO!J36+LLA!J36+'C&amp;E'!J36+CES!J36+LLT!J36+GB!J36</f>
        <v>0</v>
      </c>
      <c r="K36" s="7">
        <f>CEO!K36+CS!K36+CFO!K36+LLA!K36+'C&amp;E'!K36+CES!K36+LLT!K36+GB!K36</f>
        <v>0</v>
      </c>
      <c r="L36" s="7">
        <f>CEO!L36+CS!L36+CFO!L36+LLA!L36+'C&amp;E'!L36+CES!L36+LLT!L36+GB!L36</f>
        <v>0</v>
      </c>
      <c r="M36" s="13" t="s">
        <v>437</v>
      </c>
      <c r="N36" s="7">
        <f t="shared" si="26"/>
        <v>0</v>
      </c>
      <c r="O36" s="7">
        <f t="shared" si="27"/>
        <v>0</v>
      </c>
      <c r="P36" s="7">
        <f t="shared" si="4"/>
        <v>0</v>
      </c>
      <c r="Q36" s="7">
        <f>CEO!Q36+CS!Q36+CFO!Q36+LLA!Q36+'C&amp;E'!Q36+CES!Q36+LLT!Q36+GB!Q36</f>
        <v>0</v>
      </c>
      <c r="R36" s="7">
        <f t="shared" si="28"/>
        <v>0</v>
      </c>
      <c r="S36" s="7">
        <v>29007.000000000007</v>
      </c>
      <c r="T36" s="7">
        <f>CEO!T36+CS!T36+CFO!T36+LLA!T36+'C&amp;E'!T36+CES!T36+LLT!T36+GB!T36</f>
        <v>82465</v>
      </c>
      <c r="U36" s="7">
        <f t="shared" si="7"/>
        <v>111472</v>
      </c>
      <c r="V36" s="7">
        <f t="shared" si="6"/>
        <v>111472</v>
      </c>
      <c r="W36" s="7"/>
      <c r="X36" s="7">
        <f>CEO!Q36+CS!Q36+CFO!Q36+LLA!Q36+'C&amp;E'!Q36+CES!Q36+LLT!Q36+GB!Q36</f>
        <v>0</v>
      </c>
      <c r="Y36" s="7">
        <f t="shared" si="29"/>
        <v>0</v>
      </c>
      <c r="Z36" s="7">
        <v>0</v>
      </c>
      <c r="AA36" s="7">
        <f t="shared" si="30"/>
        <v>0</v>
      </c>
      <c r="AC36" s="295">
        <f t="shared" si="31"/>
        <v>0</v>
      </c>
    </row>
    <row r="37" spans="1:29" x14ac:dyDescent="0.3">
      <c r="A37" s="7">
        <f>CEO!A37+CS!A37+CFO!A37+LLA!A37+'C&amp;E'!A37+CES!A37+LLT!A37+GB!A37</f>
        <v>23763.4</v>
      </c>
      <c r="B37" s="7">
        <f>CEO!B37+CS!B37+CFO!B37+LLA!B37+'C&amp;E'!B37+CES!B37+LLT!B37+GB!B37</f>
        <v>23763.4</v>
      </c>
      <c r="C37" s="7">
        <f>CEO!C37+CS!C37+CFO!C37+LLA!C37+'C&amp;E'!C37+CES!C37+LLT!C37+GB!C37</f>
        <v>23763.4</v>
      </c>
      <c r="D37" s="7">
        <f>CEO!D37+CS!D37+CFO!D37+LLA!D37+'C&amp;E'!D37+CES!D37+LLT!D37+GB!D37</f>
        <v>23763.4</v>
      </c>
      <c r="E37" s="7">
        <f>CEO!E37+CS!E37+CFO!E37+LLA!E37+'C&amp;E'!E37+CES!E37+LLT!E37+GB!E37</f>
        <v>23763.4</v>
      </c>
      <c r="F37" s="7">
        <f>CEO!F37+CS!F37+CFO!F37+LLA!F37+'C&amp;E'!F37+CES!F37+LLT!F37+GB!F37</f>
        <v>23763.4</v>
      </c>
      <c r="G37" s="7">
        <f>CEO!G37+CS!G37+CFO!G37+LLA!G37+'C&amp;E'!G37+CES!G37+LLT!G37+GB!G37</f>
        <v>23763.4</v>
      </c>
      <c r="H37" s="7">
        <f>CEO!H37+CS!H37+CFO!H37+LLA!H37+'C&amp;E'!H37+CES!H37+LLT!H37+GB!H37</f>
        <v>23763.4</v>
      </c>
      <c r="I37" s="7">
        <f>CEO!I37+CS!I37+CFO!I37+LLA!I37+'C&amp;E'!I37+CES!I37+LLT!I37+GB!I37</f>
        <v>23763.4</v>
      </c>
      <c r="J37" s="7">
        <f>CEO!J37+CS!J37+CFO!J37+LLA!J37+'C&amp;E'!J37+CES!J37+LLT!J37+GB!J37</f>
        <v>23763.4</v>
      </c>
      <c r="K37" s="7">
        <f>CEO!K37+CS!K37+CFO!K37+LLA!K37+'C&amp;E'!K37+CES!K37+LLT!K37+GB!K37</f>
        <v>23763.4</v>
      </c>
      <c r="L37" s="7">
        <f>CEO!L37+CS!L37+CFO!L37+LLA!L37+'C&amp;E'!L37+CES!L37+LLT!L37+GB!L37</f>
        <v>23766.400000000001</v>
      </c>
      <c r="M37" s="388" t="s">
        <v>438</v>
      </c>
      <c r="N37" s="7">
        <f t="shared" si="26"/>
        <v>0</v>
      </c>
      <c r="O37" s="7">
        <f t="shared" si="27"/>
        <v>285163.8</v>
      </c>
      <c r="P37" s="7">
        <f t="shared" si="4"/>
        <v>285163.8</v>
      </c>
      <c r="Q37" s="7">
        <f>CEO!Q37+CS!Q37+CFO!Q37+LLA!Q37+'C&amp;E'!Q37+CES!Q37+LLT!Q37+GB!Q37</f>
        <v>285163.8</v>
      </c>
      <c r="R37" s="7">
        <f t="shared" si="28"/>
        <v>0</v>
      </c>
      <c r="S37" s="7">
        <v>-59299</v>
      </c>
      <c r="T37" s="7">
        <f>CEO!T37+CS!T37+CFO!T37+LLA!T37+'C&amp;E'!T37+CES!T37+LLT!T37+GB!T37</f>
        <v>19640</v>
      </c>
      <c r="U37" s="7">
        <f t="shared" si="7"/>
        <v>245504.8</v>
      </c>
      <c r="V37" s="7">
        <f t="shared" si="6"/>
        <v>-39659</v>
      </c>
      <c r="W37" s="7"/>
      <c r="X37" s="7">
        <f>CEO!Q37+CS!Q37+CFO!Q37+LLA!Q37+'C&amp;E'!Q37+CES!Q37+LLT!Q37+GB!Q37</f>
        <v>285163.8</v>
      </c>
      <c r="Y37" s="7">
        <f t="shared" si="29"/>
        <v>0</v>
      </c>
      <c r="Z37" s="7">
        <v>285163.94817103999</v>
      </c>
      <c r="AA37" s="7">
        <f t="shared" si="30"/>
        <v>298566.65373507887</v>
      </c>
      <c r="AC37" s="295">
        <f t="shared" si="31"/>
        <v>-0.1481710399966687</v>
      </c>
    </row>
    <row r="38" spans="1:29" x14ac:dyDescent="0.3">
      <c r="A38" s="7">
        <f>CEO!A38+CS!A38+CFO!A38+LLA!A38+'C&amp;E'!A38+CES!A38+LLT!A38+GB!A38</f>
        <v>249170.38400000002</v>
      </c>
      <c r="B38" s="7">
        <f>CEO!B38+CS!B38+CFO!B38+LLA!B38+'C&amp;E'!B38+CES!B38+LLT!B38+GB!B38</f>
        <v>249170.38400000002</v>
      </c>
      <c r="C38" s="7">
        <f>CEO!C38+CS!C38+CFO!C38+LLA!C38+'C&amp;E'!C38+CES!C38+LLT!C38+GB!C38</f>
        <v>249170.38400000002</v>
      </c>
      <c r="D38" s="7">
        <f>CEO!D38+CS!D38+CFO!D38+LLA!D38+'C&amp;E'!D38+CES!D38+LLT!D38+GB!D38</f>
        <v>249170.38400000002</v>
      </c>
      <c r="E38" s="7">
        <f>CEO!E38+CS!E38+CFO!E38+LLA!E38+'C&amp;E'!E38+CES!E38+LLT!E38+GB!E38</f>
        <v>249170.38400000002</v>
      </c>
      <c r="F38" s="7">
        <f>CEO!F38+CS!F38+CFO!F38+LLA!F38+'C&amp;E'!F38+CES!F38+LLT!F38+GB!F38</f>
        <v>249170.38400000002</v>
      </c>
      <c r="G38" s="7">
        <f>CEO!G38+CS!G38+CFO!G38+LLA!G38+'C&amp;E'!G38+CES!G38+LLT!G38+GB!G38</f>
        <v>249170.38400000002</v>
      </c>
      <c r="H38" s="7">
        <f>CEO!H38+CS!H38+CFO!H38+LLA!H38+'C&amp;E'!H38+CES!H38+LLT!H38+GB!H38</f>
        <v>249170.38400000002</v>
      </c>
      <c r="I38" s="7">
        <f>CEO!I38+CS!I38+CFO!I38+LLA!I38+'C&amp;E'!I38+CES!I38+LLT!I38+GB!I38</f>
        <v>249170.38400000002</v>
      </c>
      <c r="J38" s="7">
        <f>CEO!J38+CS!J38+CFO!J38+LLA!J38+'C&amp;E'!J38+CES!J38+LLT!J38+GB!J38</f>
        <v>249170.38400000002</v>
      </c>
      <c r="K38" s="7">
        <f>CEO!K38+CS!K38+CFO!K38+LLA!K38+'C&amp;E'!K38+CES!K38+LLT!K38+GB!K38</f>
        <v>249170.38400000002</v>
      </c>
      <c r="L38" s="7">
        <f>CEO!L38+CS!L38+CFO!L38+LLA!L38+'C&amp;E'!L38+CES!L38+LLT!L38+GB!L38</f>
        <v>249175.59255999926</v>
      </c>
      <c r="M38" s="13" t="s">
        <v>439</v>
      </c>
      <c r="N38" s="7">
        <f t="shared" si="26"/>
        <v>0</v>
      </c>
      <c r="O38" s="7">
        <f t="shared" si="27"/>
        <v>2990049.8165599997</v>
      </c>
      <c r="P38" s="7">
        <f t="shared" si="4"/>
        <v>2990049.8165599997</v>
      </c>
      <c r="Q38" s="7">
        <f>CEO!Q38+CS!Q38+CFO!Q38+LLA!Q38+'C&amp;E'!Q38+CES!Q38+LLT!Q38+GB!Q38</f>
        <v>2990049.8165599997</v>
      </c>
      <c r="R38" s="7">
        <f t="shared" si="28"/>
        <v>0</v>
      </c>
      <c r="S38" s="7">
        <v>271756.81000000006</v>
      </c>
      <c r="T38" s="7">
        <f>CEO!T38+CS!T38+CFO!T38+LLA!T38+'C&amp;E'!T38+CES!T38+LLT!T38+GB!T38</f>
        <v>0</v>
      </c>
      <c r="U38" s="7">
        <f t="shared" si="7"/>
        <v>3261806.6265599998</v>
      </c>
      <c r="V38" s="7">
        <f t="shared" si="6"/>
        <v>271756.81000000006</v>
      </c>
      <c r="W38" s="7"/>
      <c r="X38" s="7">
        <f>CEO!Q38+CS!Q38+CFO!Q38+LLA!Q38+'C&amp;E'!Q38+CES!Q38+LLT!Q38+GB!Q38</f>
        <v>2990049.8165599997</v>
      </c>
      <c r="Y38" s="7">
        <f t="shared" si="29"/>
        <v>0</v>
      </c>
      <c r="Z38" s="7">
        <v>2990049.8165599997</v>
      </c>
      <c r="AA38" s="7">
        <f t="shared" si="30"/>
        <v>3130582.1579383197</v>
      </c>
      <c r="AC38" s="295">
        <f t="shared" si="31"/>
        <v>0</v>
      </c>
    </row>
    <row r="39" spans="1:29" x14ac:dyDescent="0.3">
      <c r="A39" s="7">
        <f>CEO!A39+CS!A39+CFO!A39+LLA!A39+'C&amp;E'!A39+CES!A39+LLT!A39+GB!A39</f>
        <v>60451.784</v>
      </c>
      <c r="B39" s="7">
        <f>CEO!B39+CS!B39+CFO!B39+LLA!B39+'C&amp;E'!B39+CES!B39+LLT!B39+GB!B39</f>
        <v>60451.784</v>
      </c>
      <c r="C39" s="7">
        <f>CEO!C39+CS!C39+CFO!C39+LLA!C39+'C&amp;E'!C39+CES!C39+LLT!C39+GB!C39</f>
        <v>60451.784</v>
      </c>
      <c r="D39" s="7">
        <f>CEO!D39+CS!D39+CFO!D39+LLA!D39+'C&amp;E'!D39+CES!D39+LLT!D39+GB!D39</f>
        <v>60451.784</v>
      </c>
      <c r="E39" s="7">
        <f>CEO!E39+CS!E39+CFO!E39+LLA!E39+'C&amp;E'!E39+CES!E39+LLT!E39+GB!E39</f>
        <v>60451.784</v>
      </c>
      <c r="F39" s="7">
        <f>CEO!F39+CS!F39+CFO!F39+LLA!F39+'C&amp;E'!F39+CES!F39+LLT!F39+GB!F39</f>
        <v>60451.784</v>
      </c>
      <c r="G39" s="7">
        <f>CEO!G39+CS!G39+CFO!G39+LLA!G39+'C&amp;E'!G39+CES!G39+LLT!G39+GB!G39</f>
        <v>60451.784</v>
      </c>
      <c r="H39" s="7">
        <f>CEO!H39+CS!H39+CFO!H39+LLA!H39+'C&amp;E'!H39+CES!H39+LLT!H39+GB!H39</f>
        <v>60451.784</v>
      </c>
      <c r="I39" s="7">
        <f>CEO!I39+CS!I39+CFO!I39+LLA!I39+'C&amp;E'!I39+CES!I39+LLT!I39+GB!I39</f>
        <v>60451.784</v>
      </c>
      <c r="J39" s="7">
        <f>CEO!J39+CS!J39+CFO!J39+LLA!J39+'C&amp;E'!J39+CES!J39+LLT!J39+GB!J39</f>
        <v>60451.784</v>
      </c>
      <c r="K39" s="7">
        <f>CEO!K39+CS!K39+CFO!K39+LLA!K39+'C&amp;E'!K39+CES!K39+LLT!K39+GB!K39</f>
        <v>60451.784</v>
      </c>
      <c r="L39" s="7">
        <f>CEO!L39+CS!L39+CFO!L39+LLA!L39+'C&amp;E'!L39+CES!L39+LLT!L39+GB!L39</f>
        <v>60453.259586096057</v>
      </c>
      <c r="M39" s="13" t="s">
        <v>440</v>
      </c>
      <c r="N39" s="7">
        <f t="shared" si="26"/>
        <v>0</v>
      </c>
      <c r="O39" s="7">
        <f t="shared" si="27"/>
        <v>725422.883586096</v>
      </c>
      <c r="P39" s="7">
        <f t="shared" si="4"/>
        <v>725422.883586096</v>
      </c>
      <c r="Q39" s="7">
        <f>CEO!Q39+CS!Q39+CFO!Q39+LLA!Q39+'C&amp;E'!Q39+CES!Q39+LLT!Q39+GB!Q39</f>
        <v>725422.883586096</v>
      </c>
      <c r="R39" s="7">
        <f t="shared" si="28"/>
        <v>0</v>
      </c>
      <c r="S39" s="7">
        <v>0</v>
      </c>
      <c r="T39" s="7">
        <f>CEO!T39+CS!T39+CFO!T39+LLA!T39+'C&amp;E'!T39+CES!T39+LLT!T39+GB!T39</f>
        <v>30000</v>
      </c>
      <c r="U39" s="7">
        <f t="shared" si="7"/>
        <v>755422.883586096</v>
      </c>
      <c r="V39" s="7">
        <f t="shared" si="6"/>
        <v>30000</v>
      </c>
      <c r="W39" s="7"/>
      <c r="X39" s="7">
        <f>CEO!Q39+CS!Q39+CFO!Q39+LLA!Q39+'C&amp;E'!Q39+CES!Q39+LLT!Q39+GB!Q39</f>
        <v>725422.883586096</v>
      </c>
      <c r="Y39" s="7">
        <f t="shared" si="29"/>
        <v>0</v>
      </c>
      <c r="Z39" s="7">
        <v>725422.883586096</v>
      </c>
      <c r="AA39" s="7">
        <f t="shared" si="30"/>
        <v>759517.75911464251</v>
      </c>
      <c r="AC39" s="295">
        <f t="shared" si="31"/>
        <v>0</v>
      </c>
    </row>
    <row r="40" spans="1:29" x14ac:dyDescent="0.3">
      <c r="A40" s="7">
        <f>CEO!A40+CS!A40+CFO!A40+LLA!A40+'C&amp;E'!A40+CES!A40+LLT!A40+GB!A40</f>
        <v>1180.048</v>
      </c>
      <c r="B40" s="7">
        <f>CEO!B40+CS!B40+CFO!B40+LLA!B40+'C&amp;E'!B40+CES!B40+LLT!B40+GB!B40</f>
        <v>1180.048</v>
      </c>
      <c r="C40" s="7">
        <f>CEO!C40+CS!C40+CFO!C40+LLA!C40+'C&amp;E'!C40+CES!C40+LLT!C40+GB!C40</f>
        <v>1180.048</v>
      </c>
      <c r="D40" s="7">
        <f>CEO!D40+CS!D40+CFO!D40+LLA!D40+'C&amp;E'!D40+CES!D40+LLT!D40+GB!D40</f>
        <v>1180.048</v>
      </c>
      <c r="E40" s="7">
        <f>CEO!E40+CS!E40+CFO!E40+LLA!E40+'C&amp;E'!E40+CES!E40+LLT!E40+GB!E40</f>
        <v>1180.048</v>
      </c>
      <c r="F40" s="7">
        <f>CEO!F40+CS!F40+CFO!F40+LLA!F40+'C&amp;E'!F40+CES!F40+LLT!F40+GB!F40</f>
        <v>1180.048</v>
      </c>
      <c r="G40" s="7">
        <f>CEO!G40+CS!G40+CFO!G40+LLA!G40+'C&amp;E'!G40+CES!G40+LLT!G40+GB!G40</f>
        <v>1180.048</v>
      </c>
      <c r="H40" s="7">
        <f>CEO!H40+CS!H40+CFO!H40+LLA!H40+'C&amp;E'!H40+CES!H40+LLT!H40+GB!H40</f>
        <v>1180.048</v>
      </c>
      <c r="I40" s="7">
        <f>CEO!I40+CS!I40+CFO!I40+LLA!I40+'C&amp;E'!I40+CES!I40+LLT!I40+GB!I40</f>
        <v>1180.048</v>
      </c>
      <c r="J40" s="7">
        <f>CEO!J40+CS!J40+CFO!J40+LLA!J40+'C&amp;E'!J40+CES!J40+LLT!J40+GB!J40</f>
        <v>1180.048</v>
      </c>
      <c r="K40" s="7">
        <f>CEO!K40+CS!K40+CFO!K40+LLA!K40+'C&amp;E'!K40+CES!K40+LLT!K40+GB!K40</f>
        <v>1180.048</v>
      </c>
      <c r="L40" s="7">
        <f>CEO!L40+CS!L40+CFO!L40+LLA!L40+'C&amp;E'!L40+CES!L40+LLT!L40+GB!L40</f>
        <v>1184.7884453126419</v>
      </c>
      <c r="M40" s="13" t="s">
        <v>441</v>
      </c>
      <c r="N40" s="7">
        <f t="shared" si="26"/>
        <v>0</v>
      </c>
      <c r="O40" s="7">
        <f t="shared" si="27"/>
        <v>14165.316445312645</v>
      </c>
      <c r="P40" s="7">
        <f t="shared" si="4"/>
        <v>14165.316445312645</v>
      </c>
      <c r="Q40" s="7">
        <f>CEO!Q40+CS!Q40+CFO!Q40+LLA!Q40+'C&amp;E'!Q40+CES!Q40+LLT!Q40+GB!Q40</f>
        <v>14165.316445312645</v>
      </c>
      <c r="R40" s="7">
        <f t="shared" si="28"/>
        <v>0</v>
      </c>
      <c r="S40" s="7">
        <v>-6745</v>
      </c>
      <c r="T40" s="7">
        <f>CEO!T40+CS!T40+CFO!T40+LLA!T40+'C&amp;E'!T40+CES!T40+LLT!T40+GB!T40</f>
        <v>0</v>
      </c>
      <c r="U40" s="7">
        <f t="shared" si="7"/>
        <v>7420.3164453126446</v>
      </c>
      <c r="V40" s="7">
        <f t="shared" si="6"/>
        <v>-6745</v>
      </c>
      <c r="W40" s="7"/>
      <c r="X40" s="7">
        <f>CEO!Q40+CS!Q40+CFO!Q40+LLA!Q40+'C&amp;E'!Q40+CES!Q40+LLT!Q40+GB!Q40</f>
        <v>14165.316445312645</v>
      </c>
      <c r="Y40" s="7">
        <f t="shared" si="29"/>
        <v>0</v>
      </c>
      <c r="Z40" s="7">
        <v>14165.316445312643</v>
      </c>
      <c r="AA40" s="7">
        <f t="shared" si="30"/>
        <v>14831.086318242336</v>
      </c>
      <c r="AC40" s="295">
        <f t="shared" si="31"/>
        <v>0</v>
      </c>
    </row>
    <row r="41" spans="1:29" x14ac:dyDescent="0.3">
      <c r="A41" s="7">
        <f>CEO!A41+CS!A41+CFO!A41+LLA!A41+'C&amp;E'!A41+CES!A41+LLT!A41+GB!A41</f>
        <v>19656.288</v>
      </c>
      <c r="B41" s="7">
        <f>CEO!B41+CS!B41+CFO!B41+LLA!B41+'C&amp;E'!B41+CES!B41+LLT!B41+GB!B41</f>
        <v>19656.288</v>
      </c>
      <c r="C41" s="7">
        <f>CEO!C41+CS!C41+CFO!C41+LLA!C41+'C&amp;E'!C41+CES!C41+LLT!C41+GB!C41</f>
        <v>19656.288</v>
      </c>
      <c r="D41" s="7">
        <f>CEO!D41+CS!D41+CFO!D41+LLA!D41+'C&amp;E'!D41+CES!D41+LLT!D41+GB!D41</f>
        <v>19656.288</v>
      </c>
      <c r="E41" s="7">
        <f>CEO!E41+CS!E41+CFO!E41+LLA!E41+'C&amp;E'!E41+CES!E41+LLT!E41+GB!E41</f>
        <v>19656.288</v>
      </c>
      <c r="F41" s="7">
        <f>CEO!F41+CS!F41+CFO!F41+LLA!F41+'C&amp;E'!F41+CES!F41+LLT!F41+GB!F41</f>
        <v>19656.288</v>
      </c>
      <c r="G41" s="7">
        <f>CEO!G41+CS!G41+CFO!G41+LLA!G41+'C&amp;E'!G41+CES!G41+LLT!G41+GB!G41</f>
        <v>19656.288</v>
      </c>
      <c r="H41" s="7">
        <f>CEO!H41+CS!H41+CFO!H41+LLA!H41+'C&amp;E'!H41+CES!H41+LLT!H41+GB!H41</f>
        <v>19656.288</v>
      </c>
      <c r="I41" s="7">
        <f>CEO!I41+CS!I41+CFO!I41+LLA!I41+'C&amp;E'!I41+CES!I41+LLT!I41+GB!I41</f>
        <v>19656.288</v>
      </c>
      <c r="J41" s="7">
        <f>CEO!J41+CS!J41+CFO!J41+LLA!J41+'C&amp;E'!J41+CES!J41+LLT!J41+GB!J41</f>
        <v>19656.288</v>
      </c>
      <c r="K41" s="7">
        <f>CEO!K41+CS!K41+CFO!K41+LLA!K41+'C&amp;E'!K41+CES!K41+LLT!K41+GB!K41</f>
        <v>19656.288</v>
      </c>
      <c r="L41" s="7">
        <f>CEO!L41+CS!L41+CFO!L41+LLA!L41+'C&amp;E'!L41+CES!L41+LLT!L41+GB!L41</f>
        <v>19653.382450392004</v>
      </c>
      <c r="M41" s="13" t="s">
        <v>442</v>
      </c>
      <c r="N41" s="7">
        <f t="shared" si="26"/>
        <v>0</v>
      </c>
      <c r="O41" s="7">
        <f t="shared" si="27"/>
        <v>235872.55045039201</v>
      </c>
      <c r="P41" s="7">
        <f t="shared" si="4"/>
        <v>235872.55045039201</v>
      </c>
      <c r="Q41" s="7">
        <f>CEO!Q41+CS!Q41+CFO!Q41+LLA!Q41+'C&amp;E'!Q41+CES!Q41+LLT!Q41+GB!Q41</f>
        <v>235872.55045039201</v>
      </c>
      <c r="R41" s="7">
        <f t="shared" si="28"/>
        <v>0</v>
      </c>
      <c r="S41" s="7">
        <v>2966</v>
      </c>
      <c r="T41" s="7">
        <f>CEO!T41+CS!T41+CFO!T41+LLA!T41+'C&amp;E'!T41+CES!T41+LLT!T41+GB!T41</f>
        <v>1</v>
      </c>
      <c r="U41" s="7">
        <f t="shared" si="7"/>
        <v>238839.55045039201</v>
      </c>
      <c r="V41" s="7">
        <f t="shared" si="6"/>
        <v>2967</v>
      </c>
      <c r="W41" s="7"/>
      <c r="X41" s="7">
        <f>CEO!Q41+CS!Q41+CFO!Q41+LLA!Q41+'C&amp;E'!Q41+CES!Q41+LLT!Q41+GB!Q41</f>
        <v>235872.55045039201</v>
      </c>
      <c r="Y41" s="7">
        <f t="shared" si="29"/>
        <v>0</v>
      </c>
      <c r="Z41" s="7">
        <v>235872.55045039201</v>
      </c>
      <c r="AA41" s="7">
        <f t="shared" si="30"/>
        <v>246958.56032156042</v>
      </c>
      <c r="AC41" s="295">
        <f t="shared" si="31"/>
        <v>0</v>
      </c>
    </row>
    <row r="42" spans="1:29" x14ac:dyDescent="0.3">
      <c r="A42" s="7">
        <f>CEO!A42+CS!A42+CFO!A42+LLA!A42+'C&amp;E'!A42+CES!A42+LLT!A42+GB!A42</f>
        <v>13516.056</v>
      </c>
      <c r="B42" s="7">
        <f>CEO!B42+CS!B42+CFO!B42+LLA!B42+'C&amp;E'!B42+CES!B42+LLT!B42+GB!B42</f>
        <v>13516.056</v>
      </c>
      <c r="C42" s="7">
        <f>CEO!C42+CS!C42+CFO!C42+LLA!C42+'C&amp;E'!C42+CES!C42+LLT!C42+GB!C42</f>
        <v>13516.056</v>
      </c>
      <c r="D42" s="7">
        <f>CEO!D42+CS!D42+CFO!D42+LLA!D42+'C&amp;E'!D42+CES!D42+LLT!D42+GB!D42</f>
        <v>13516.056</v>
      </c>
      <c r="E42" s="7">
        <f>CEO!E42+CS!E42+CFO!E42+LLA!E42+'C&amp;E'!E42+CES!E42+LLT!E42+GB!E42</f>
        <v>13516.056</v>
      </c>
      <c r="F42" s="7">
        <f>CEO!F42+CS!F42+CFO!F42+LLA!F42+'C&amp;E'!F42+CES!F42+LLT!F42+GB!F42</f>
        <v>13516.056</v>
      </c>
      <c r="G42" s="7">
        <f>CEO!G42+CS!G42+CFO!G42+LLA!G42+'C&amp;E'!G42+CES!G42+LLT!G42+GB!G42</f>
        <v>13516.056</v>
      </c>
      <c r="H42" s="7">
        <f>CEO!H42+CS!H42+CFO!H42+LLA!H42+'C&amp;E'!H42+CES!H42+LLT!H42+GB!H42</f>
        <v>13516.056</v>
      </c>
      <c r="I42" s="7">
        <f>CEO!I42+CS!I42+CFO!I42+LLA!I42+'C&amp;E'!I42+CES!I42+LLT!I42+GB!I42</f>
        <v>13516.056</v>
      </c>
      <c r="J42" s="7">
        <f>CEO!J42+CS!J42+CFO!J42+LLA!J42+'C&amp;E'!J42+CES!J42+LLT!J42+GB!J42</f>
        <v>13516.056</v>
      </c>
      <c r="K42" s="7">
        <f>CEO!K42+CS!K42+CFO!K42+LLA!K42+'C&amp;E'!K42+CES!K42+LLT!K42+GB!K42</f>
        <v>13516.056</v>
      </c>
      <c r="L42" s="7">
        <f>CEO!L42+CS!L42+CFO!L42+LLA!L42+'C&amp;E'!L42+CES!L42+LLT!L42+GB!L42</f>
        <v>13518.053729039984</v>
      </c>
      <c r="M42" s="13" t="s">
        <v>443</v>
      </c>
      <c r="N42" s="7">
        <f t="shared" si="26"/>
        <v>0</v>
      </c>
      <c r="O42" s="7">
        <f t="shared" si="27"/>
        <v>162194.66972904</v>
      </c>
      <c r="P42" s="7">
        <f t="shared" si="4"/>
        <v>162194.66972904</v>
      </c>
      <c r="Q42" s="7">
        <f>CEO!Q42+CS!Q42+CFO!Q42+LLA!Q42+'C&amp;E'!Q42+CES!Q42+LLT!Q42+GB!Q42</f>
        <v>162194.66972904</v>
      </c>
      <c r="R42" s="7">
        <f t="shared" si="28"/>
        <v>0</v>
      </c>
      <c r="S42" s="7">
        <v>-292461</v>
      </c>
      <c r="T42" s="7">
        <f>CEO!T42+CS!T42+CFO!T42+LLA!T42+'C&amp;E'!T42+CES!T42+LLT!T42+GB!T42</f>
        <v>0</v>
      </c>
      <c r="U42" s="7">
        <f t="shared" si="7"/>
        <v>-130266.33027096</v>
      </c>
      <c r="V42" s="7">
        <f t="shared" si="6"/>
        <v>-292461</v>
      </c>
      <c r="W42" s="7"/>
      <c r="X42" s="7">
        <f>CEO!Q42+CS!Q42+CFO!Q42+LLA!Q42+'C&amp;E'!Q42+CES!Q42+LLT!Q42+GB!Q42</f>
        <v>162194.66972904</v>
      </c>
      <c r="Y42" s="7">
        <f t="shared" si="29"/>
        <v>0</v>
      </c>
      <c r="Z42" s="7">
        <v>162194.66972903998</v>
      </c>
      <c r="AA42" s="7">
        <f t="shared" si="30"/>
        <v>169817.81920630485</v>
      </c>
      <c r="AC42" s="295">
        <f t="shared" si="31"/>
        <v>0</v>
      </c>
    </row>
    <row r="43" spans="1:29" x14ac:dyDescent="0.3">
      <c r="A43" s="7">
        <f>CEO!A43+CS!A43+CFO!A43+LLA!A43+'C&amp;E'!A43+CES!A43+LLT!A43+GB!A43</f>
        <v>12851.624</v>
      </c>
      <c r="B43" s="7">
        <f>CEO!B43+CS!B43+CFO!B43+LLA!B43+'C&amp;E'!B43+CES!B43+LLT!B43+GB!B43</f>
        <v>12851.624</v>
      </c>
      <c r="C43" s="7">
        <f>CEO!C43+CS!C43+CFO!C43+LLA!C43+'C&amp;E'!C43+CES!C43+LLT!C43+GB!C43</f>
        <v>12851.624</v>
      </c>
      <c r="D43" s="7">
        <f>CEO!D43+CS!D43+CFO!D43+LLA!D43+'C&amp;E'!D43+CES!D43+LLT!D43+GB!D43</f>
        <v>12851.624</v>
      </c>
      <c r="E43" s="7">
        <f>CEO!E43+CS!E43+CFO!E43+LLA!E43+'C&amp;E'!E43+CES!E43+LLT!E43+GB!E43</f>
        <v>12851.624</v>
      </c>
      <c r="F43" s="7">
        <f>CEO!F43+CS!F43+CFO!F43+LLA!F43+'C&amp;E'!F43+CES!F43+LLT!F43+GB!F43</f>
        <v>12851.624</v>
      </c>
      <c r="G43" s="7">
        <f>CEO!G43+CS!G43+CFO!G43+LLA!G43+'C&amp;E'!G43+CES!G43+LLT!G43+GB!G43</f>
        <v>12851.624</v>
      </c>
      <c r="H43" s="7">
        <f>CEO!H43+CS!H43+CFO!H43+LLA!H43+'C&amp;E'!H43+CES!H43+LLT!H43+GB!H43</f>
        <v>12851.624</v>
      </c>
      <c r="I43" s="7">
        <f>CEO!I43+CS!I43+CFO!I43+LLA!I43+'C&amp;E'!I43+CES!I43+LLT!I43+GB!I43</f>
        <v>12851.624</v>
      </c>
      <c r="J43" s="7">
        <f>CEO!J43+CS!J43+CFO!J43+LLA!J43+'C&amp;E'!J43+CES!J43+LLT!J43+GB!J43</f>
        <v>12851.624</v>
      </c>
      <c r="K43" s="7">
        <f>CEO!K43+CS!K43+CFO!K43+LLA!K43+'C&amp;E'!K43+CES!K43+LLT!K43+GB!K43</f>
        <v>12851.624</v>
      </c>
      <c r="L43" s="7">
        <f>CEO!L43+CS!L43+CFO!L43+LLA!L43+'C&amp;E'!L43+CES!L43+LLT!L43+GB!L43</f>
        <v>12853.283843360015</v>
      </c>
      <c r="M43" s="13" t="s">
        <v>444</v>
      </c>
      <c r="N43" s="7">
        <f t="shared" si="26"/>
        <v>0</v>
      </c>
      <c r="O43" s="7">
        <f t="shared" si="27"/>
        <v>154221.14784336</v>
      </c>
      <c r="P43" s="7">
        <f t="shared" si="4"/>
        <v>154221.14784336</v>
      </c>
      <c r="Q43" s="7">
        <f>CEO!Q43+CS!Q43+CFO!Q43+LLA!Q43+'C&amp;E'!Q43+CES!Q43+LLT!Q43+GB!Q43</f>
        <v>154221.14784336</v>
      </c>
      <c r="R43" s="7">
        <f t="shared" si="28"/>
        <v>0</v>
      </c>
      <c r="S43" s="7">
        <v>-28298</v>
      </c>
      <c r="T43" s="7">
        <f>CEO!T43+CS!T43+CFO!T43+LLA!T43+'C&amp;E'!T43+CES!T43+LLT!T43+GB!T43</f>
        <v>8135</v>
      </c>
      <c r="U43" s="7">
        <f t="shared" si="7"/>
        <v>134058.14784336</v>
      </c>
      <c r="V43" s="7">
        <f t="shared" si="6"/>
        <v>-20163</v>
      </c>
      <c r="W43" s="7"/>
      <c r="X43" s="7">
        <f>CEO!Q43+CS!Q43+CFO!Q43+LLA!Q43+'C&amp;E'!Q43+CES!Q43+LLT!Q43+GB!Q43</f>
        <v>154221.14784336</v>
      </c>
      <c r="Y43" s="7">
        <f t="shared" si="29"/>
        <v>0</v>
      </c>
      <c r="Z43" s="7">
        <v>154221.14784336</v>
      </c>
      <c r="AA43" s="7">
        <f t="shared" si="30"/>
        <v>161469.54179199791</v>
      </c>
      <c r="AC43" s="295">
        <f t="shared" si="31"/>
        <v>0</v>
      </c>
    </row>
    <row r="44" spans="1:29" x14ac:dyDescent="0.3">
      <c r="A44" s="11">
        <f>CEO!A44+CS!A44+CFO!A44+LLA!A44+'C&amp;E'!A44+CES!A44+LLT!A44+GB!A44</f>
        <v>0</v>
      </c>
      <c r="B44" s="11">
        <f>CEO!B44+CS!B44+CFO!B44+LLA!B44+'C&amp;E'!B44+CES!B44+LLT!B44+GB!B44</f>
        <v>0</v>
      </c>
      <c r="C44" s="11">
        <f>CEO!C44+CS!C44+CFO!C44+LLA!C44+'C&amp;E'!C44+CES!C44+LLT!C44+GB!C44</f>
        <v>0</v>
      </c>
      <c r="D44" s="11">
        <f>CEO!D44+CS!D44+CFO!D44+LLA!D44+'C&amp;E'!D44+CES!D44+LLT!D44+GB!D44</f>
        <v>0</v>
      </c>
      <c r="E44" s="11">
        <f>CEO!E44+CS!E44+CFO!E44+LLA!E44+'C&amp;E'!E44+CES!E44+LLT!E44+GB!E44</f>
        <v>0</v>
      </c>
      <c r="F44" s="11">
        <f>CEO!F44+CS!F44+CFO!F44+LLA!F44+'C&amp;E'!F44+CES!F44+LLT!F44+GB!F44</f>
        <v>0</v>
      </c>
      <c r="G44" s="11">
        <f>CEO!G44+CS!G44+CFO!G44+LLA!G44+'C&amp;E'!G44+CES!G44+LLT!G44+GB!G44</f>
        <v>0</v>
      </c>
      <c r="H44" s="11">
        <f>CEO!H44+CS!H44+CFO!H44+LLA!H44+'C&amp;E'!H44+CES!H44+LLT!H44+GB!H44</f>
        <v>0</v>
      </c>
      <c r="I44" s="11">
        <f>CEO!I44+CS!I44+CFO!I44+LLA!I44+'C&amp;E'!I44+CES!I44+LLT!I44+GB!I44</f>
        <v>0</v>
      </c>
      <c r="J44" s="11">
        <f>CEO!J44+CS!J44+CFO!J44+LLA!J44+'C&amp;E'!J44+CES!J44+LLT!J44+GB!J44</f>
        <v>0</v>
      </c>
      <c r="K44" s="11">
        <f>CEO!K44+CS!K44+CFO!K44+LLA!K44+'C&amp;E'!K44+CES!K44+LLT!K44+GB!K44</f>
        <v>0</v>
      </c>
      <c r="L44" s="11">
        <f>CEO!L44+CS!L44+CFO!L44+LLA!L44+'C&amp;E'!L44+CES!L44+LLT!L44+GB!L44</f>
        <v>0</v>
      </c>
      <c r="M44" s="388" t="s">
        <v>113</v>
      </c>
      <c r="N44" s="11">
        <f t="shared" si="26"/>
        <v>0</v>
      </c>
      <c r="O44" s="11">
        <f t="shared" si="27"/>
        <v>0</v>
      </c>
      <c r="P44" s="11">
        <f t="shared" si="4"/>
        <v>0</v>
      </c>
      <c r="Q44" s="11">
        <f>CEO!Q44+CS!Q44+CFO!Q44+LLA!Q44+'C&amp;E'!Q44+CES!Q44+LLT!Q44+GB!Q44</f>
        <v>0</v>
      </c>
      <c r="R44" s="11">
        <f t="shared" si="28"/>
        <v>0</v>
      </c>
      <c r="S44" s="11">
        <v>0</v>
      </c>
      <c r="T44" s="11">
        <f>CEO!T44+CS!T44+CFO!T44+LLA!T44+'C&amp;E'!T44+CES!T44+LLT!T44+GB!T44</f>
        <v>0</v>
      </c>
      <c r="U44" s="11">
        <f t="shared" si="7"/>
        <v>0</v>
      </c>
      <c r="V44" s="11">
        <f t="shared" si="6"/>
        <v>0</v>
      </c>
      <c r="W44" s="11"/>
      <c r="X44" s="11">
        <f>CEO!Q44+CS!Q44+CFO!Q44+LLA!Q44+'C&amp;E'!Q44+CES!Q44+LLT!Q44+GB!Q44</f>
        <v>0</v>
      </c>
      <c r="Y44" s="11">
        <f t="shared" si="29"/>
        <v>0</v>
      </c>
      <c r="Z44" s="11">
        <v>0</v>
      </c>
      <c r="AA44" s="11">
        <f t="shared" si="30"/>
        <v>0</v>
      </c>
      <c r="AC44" s="295">
        <f t="shared" si="31"/>
        <v>0</v>
      </c>
    </row>
    <row r="45" spans="1:29" ht="4.2" customHeight="1" x14ac:dyDescent="0.3">
      <c r="A45" s="86"/>
      <c r="B45" s="86"/>
      <c r="C45" s="86"/>
      <c r="D45" s="85"/>
      <c r="E45" s="83"/>
      <c r="F45" s="83"/>
      <c r="G45" s="83"/>
      <c r="H45" s="83"/>
      <c r="I45" s="83"/>
      <c r="J45" s="83"/>
      <c r="K45" s="83"/>
      <c r="L45" s="83"/>
      <c r="M45" s="13"/>
      <c r="N45" s="83">
        <f t="shared" si="9"/>
        <v>0</v>
      </c>
      <c r="O45" s="83">
        <f t="shared" si="10"/>
        <v>0</v>
      </c>
      <c r="P45" s="83">
        <f t="shared" si="4"/>
        <v>0</v>
      </c>
      <c r="Q45" s="83"/>
      <c r="R45" s="83">
        <f t="shared" si="11"/>
        <v>0</v>
      </c>
      <c r="S45" s="83">
        <v>0</v>
      </c>
      <c r="T45" s="86">
        <f>CEO!T45+CS!T45+CFO!T45+LLA!T45+'C&amp;E'!T45+CES!T45+LLT!T45+GB!T45</f>
        <v>0</v>
      </c>
      <c r="U45" s="86">
        <f t="shared" si="7"/>
        <v>0</v>
      </c>
      <c r="V45" s="86">
        <f t="shared" si="6"/>
        <v>0</v>
      </c>
      <c r="W45" s="86"/>
      <c r="X45" s="83">
        <f>CEO!Q45+CS!Q45+CFO!Q45+LLA!Q45+'C&amp;E'!Q45+CES!Q45+LLT!Q45+GB!Q45</f>
        <v>0</v>
      </c>
      <c r="Y45" s="83">
        <f t="shared" si="12"/>
        <v>0</v>
      </c>
      <c r="Z45" s="83"/>
      <c r="AA45" s="83"/>
      <c r="AC45" s="295">
        <f t="shared" si="31"/>
        <v>0</v>
      </c>
    </row>
    <row r="46" spans="1:29" x14ac:dyDescent="0.3">
      <c r="A46" s="4">
        <f>SUM(A30:A44)</f>
        <v>502990.74400000001</v>
      </c>
      <c r="B46" s="4">
        <f>SUM(B30:B44)</f>
        <v>798505.95167999994</v>
      </c>
      <c r="C46" s="4">
        <f>SUM(C30:C44)</f>
        <v>974090.79559999984</v>
      </c>
      <c r="D46" s="4">
        <f t="shared" ref="D46:L46" si="32">SUM(D30:D44)</f>
        <v>1170862.4581600002</v>
      </c>
      <c r="E46" s="4">
        <f t="shared" si="32"/>
        <v>745303.31991999992</v>
      </c>
      <c r="F46" s="4">
        <f t="shared" si="32"/>
        <v>502990.74400000001</v>
      </c>
      <c r="G46" s="4">
        <f t="shared" si="32"/>
        <v>502990.74400000001</v>
      </c>
      <c r="H46" s="4">
        <f t="shared" si="32"/>
        <v>502990.74400000001</v>
      </c>
      <c r="I46" s="4">
        <f t="shared" si="32"/>
        <v>502990.74400000001</v>
      </c>
      <c r="J46" s="4">
        <f t="shared" si="32"/>
        <v>502990.74400000001</v>
      </c>
      <c r="K46" s="4">
        <f t="shared" si="32"/>
        <v>502990.74400000001</v>
      </c>
      <c r="L46" s="4">
        <f t="shared" si="32"/>
        <v>503001.74750390404</v>
      </c>
      <c r="M46" s="13" t="s">
        <v>114</v>
      </c>
      <c r="N46" s="4">
        <f t="shared" ref="N46:O46" si="33">SUM(N30:N44)</f>
        <v>0</v>
      </c>
      <c r="O46" s="4">
        <f t="shared" si="33"/>
        <v>7712699.4808639036</v>
      </c>
      <c r="P46" s="4">
        <f t="shared" ref="P46" si="34">SUM(P30:P44)</f>
        <v>7712699.4808639036</v>
      </c>
      <c r="Q46" s="4">
        <f>SUM(Q30:Q44)</f>
        <v>7712699.4808639036</v>
      </c>
      <c r="R46" s="4">
        <f t="shared" ref="R46:S46" si="35">SUM(R30:R44)</f>
        <v>0</v>
      </c>
      <c r="S46" s="4">
        <f t="shared" si="35"/>
        <v>117015.81000000006</v>
      </c>
      <c r="T46" s="4">
        <f>CEO!T46+CS!T46+CFO!T46+LLA!T46+'C&amp;E'!T46+CES!T46+LLT!T46+GB!T46</f>
        <v>453227.35999999987</v>
      </c>
      <c r="U46" s="4">
        <f t="shared" si="7"/>
        <v>8282942.6508639026</v>
      </c>
      <c r="V46" s="4">
        <f t="shared" si="6"/>
        <v>570243.16999999899</v>
      </c>
      <c r="W46" s="4"/>
      <c r="X46" s="4">
        <f>CEO!Q46+CS!Q46+CFO!Q46+LLA!Q46+'C&amp;E'!Q46+CES!Q46+LLT!Q46+GB!Q46</f>
        <v>7712699.4808639046</v>
      </c>
      <c r="Y46" s="4">
        <f t="shared" si="12"/>
        <v>0</v>
      </c>
      <c r="Z46" s="4">
        <f>SUM(Z30:Z44)</f>
        <v>7712699.6549906684</v>
      </c>
      <c r="AA46" s="4">
        <f>SUM(AA30:AA44)</f>
        <v>8075196.5387752308</v>
      </c>
      <c r="AC46" s="295">
        <f t="shared" si="31"/>
        <v>-0.17412676475942135</v>
      </c>
    </row>
    <row r="47" spans="1:29" x14ac:dyDescent="0.3">
      <c r="A47" s="81"/>
      <c r="B47" s="81"/>
      <c r="C47" s="81"/>
      <c r="D47" s="82"/>
      <c r="E47" s="86"/>
      <c r="F47" s="86"/>
      <c r="G47" s="86"/>
      <c r="H47" s="86"/>
      <c r="I47" s="86"/>
      <c r="J47" s="86"/>
      <c r="K47" s="86"/>
      <c r="L47" s="86"/>
      <c r="M47" s="80"/>
      <c r="N47" s="86">
        <f t="shared" si="9"/>
        <v>0</v>
      </c>
      <c r="O47" s="86">
        <f t="shared" si="10"/>
        <v>0</v>
      </c>
      <c r="P47" s="86">
        <f t="shared" si="4"/>
        <v>0</v>
      </c>
      <c r="Q47" s="86"/>
      <c r="R47" s="86">
        <f t="shared" si="11"/>
        <v>0</v>
      </c>
      <c r="S47" s="86">
        <v>0</v>
      </c>
      <c r="T47" s="81">
        <f>CEO!T47+CS!T47+CFO!T47+LLA!T47+'C&amp;E'!T47+CES!T47+LLT!T47+GB!T47</f>
        <v>0</v>
      </c>
      <c r="U47" s="81">
        <f t="shared" si="7"/>
        <v>0</v>
      </c>
      <c r="V47" s="81">
        <f t="shared" si="6"/>
        <v>0</v>
      </c>
      <c r="W47" s="81"/>
      <c r="X47" s="86">
        <f>CEO!Q47+CS!Q47+CFO!Q47+LLA!Q47+'C&amp;E'!Q47+CES!Q47+LLT!Q47+GB!Q47</f>
        <v>0</v>
      </c>
      <c r="Y47" s="86">
        <f t="shared" si="12"/>
        <v>0</v>
      </c>
      <c r="Z47" s="86"/>
      <c r="AA47" s="86"/>
    </row>
    <row r="48" spans="1:29" x14ac:dyDescent="0.3">
      <c r="A48" s="8">
        <f>CEO!A48+CS!A48+CFO!A48+LLA!A48+'C&amp;E'!A48+CES!A48+LLT!A48+GB!A48</f>
        <v>0</v>
      </c>
      <c r="B48" s="8">
        <f>CEO!B48+CS!B48+CFO!B48+LLA!B48+'C&amp;E'!B48+CES!B48+LLT!B48+GB!B48</f>
        <v>0</v>
      </c>
      <c r="C48" s="8">
        <f>CEO!C48+CS!C48+CFO!C48+LLA!C48+'C&amp;E'!C48+CES!C48+LLT!C48+GB!C48</f>
        <v>0</v>
      </c>
      <c r="D48" s="8">
        <f>CEO!D48+CS!D48+CFO!D48+LLA!D48+'C&amp;E'!D48+CES!D48+LLT!D48+GB!D48</f>
        <v>0</v>
      </c>
      <c r="E48" s="8">
        <f>CEO!E48+CS!E48+CFO!E48+LLA!E48+'C&amp;E'!E48+CES!E48+LLT!E48+GB!E48</f>
        <v>0</v>
      </c>
      <c r="F48" s="8">
        <f>CEO!F48+CS!F48+CFO!F48+LLA!F48+'C&amp;E'!F48+CES!F48+LLT!F48+GB!F48</f>
        <v>0</v>
      </c>
      <c r="G48" s="8">
        <f>CEO!G48+CS!G48+CFO!G48+LLA!G48+'C&amp;E'!G48+CES!G48+LLT!G48+GB!G48</f>
        <v>0</v>
      </c>
      <c r="H48" s="8">
        <f>CEO!H48+CS!H48+CFO!H48+LLA!H48+'C&amp;E'!H48+CES!H48+LLT!H48+GB!H48</f>
        <v>0</v>
      </c>
      <c r="I48" s="8">
        <f>CEO!I48+CS!I48+CFO!I48+LLA!I48+'C&amp;E'!I48+CES!I48+LLT!I48+GB!I48</f>
        <v>0</v>
      </c>
      <c r="J48" s="8">
        <f>CEO!J48+CS!J48+CFO!J48+LLA!J48+'C&amp;E'!J48+CES!J48+LLT!J48+GB!J48</f>
        <v>0</v>
      </c>
      <c r="K48" s="8">
        <f>CEO!K48+CS!K48+CFO!K48+LLA!K48+'C&amp;E'!K48+CES!K48+LLT!K48+GB!K48</f>
        <v>0</v>
      </c>
      <c r="L48" s="8">
        <f>CEO!L48+CS!L48+CFO!L48+LLA!L48+'C&amp;E'!L48+CES!L48+LLT!L48+GB!L48</f>
        <v>0</v>
      </c>
      <c r="M48" s="388" t="s">
        <v>445</v>
      </c>
      <c r="N48" s="8">
        <f t="shared" ref="N48:N63" si="36">SUM(0)</f>
        <v>0</v>
      </c>
      <c r="O48" s="8">
        <f t="shared" ref="O48:O63" si="37">SUM(A48:L48)</f>
        <v>0</v>
      </c>
      <c r="P48" s="8">
        <f t="shared" si="4"/>
        <v>0</v>
      </c>
      <c r="Q48" s="8">
        <f>CEO!Q48+CS!Q48+CFO!Q48+LLA!Q48+'C&amp;E'!Q48+CES!Q48+LLT!Q48+GB!Q48</f>
        <v>0</v>
      </c>
      <c r="R48" s="8">
        <f t="shared" ref="R48:R63" si="38">Q48-P48</f>
        <v>0</v>
      </c>
      <c r="S48" s="8">
        <v>0</v>
      </c>
      <c r="T48" s="8">
        <f>CEO!T48+CS!T48+CFO!T48+LLA!T48+'C&amp;E'!T48+CES!T48+LLT!T48+GB!T48</f>
        <v>0</v>
      </c>
      <c r="U48" s="8">
        <f t="shared" si="7"/>
        <v>0</v>
      </c>
      <c r="V48" s="8">
        <f t="shared" si="6"/>
        <v>0</v>
      </c>
      <c r="W48" s="8"/>
      <c r="X48" s="8">
        <f>CEO!Q48+CS!Q48+CFO!Q48+LLA!Q48+'C&amp;E'!Q48+CES!Q48+LLT!Q48+GB!Q48</f>
        <v>0</v>
      </c>
      <c r="Y48" s="8">
        <f t="shared" ref="Y48:Y63" si="39">X48-Q48</f>
        <v>0</v>
      </c>
      <c r="Z48" s="8">
        <v>0</v>
      </c>
      <c r="AA48" s="8">
        <f t="shared" ref="AA48:AA63" si="40">Z48*(1+AA$3)</f>
        <v>0</v>
      </c>
      <c r="AC48" s="295">
        <f t="shared" si="31"/>
        <v>0</v>
      </c>
    </row>
    <row r="49" spans="1:29" x14ac:dyDescent="0.3">
      <c r="A49" s="7">
        <f>CEO!A49+CS!A49+CFO!A49+LLA!A49+'C&amp;E'!A49+CES!A49+LLT!A49+GB!A49</f>
        <v>2300.36</v>
      </c>
      <c r="B49" s="7">
        <f>CEO!B49+CS!B49+CFO!B49+LLA!B49+'C&amp;E'!B49+CES!B49+LLT!B49+GB!B49</f>
        <v>4277.9359999999997</v>
      </c>
      <c r="C49" s="7">
        <f>CEO!C49+CS!C49+CFO!C49+LLA!C49+'C&amp;E'!C49+CES!C49+LLT!C49+GB!C49</f>
        <v>3348.36</v>
      </c>
      <c r="D49" s="7">
        <f>CEO!D49+CS!D49+CFO!D49+LLA!D49+'C&amp;E'!D49+CES!D49+LLT!D49+GB!D49</f>
        <v>4277.9359999999997</v>
      </c>
      <c r="E49" s="7">
        <f>CEO!E49+CS!E49+CFO!E49+LLA!E49+'C&amp;E'!E49+CES!E49+LLT!E49+GB!E49</f>
        <v>6016.5680000000002</v>
      </c>
      <c r="F49" s="7">
        <f>CEO!F49+CS!F49+CFO!F49+LLA!F49+'C&amp;E'!F49+CES!F49+LLT!F49+GB!F49</f>
        <v>2300.36</v>
      </c>
      <c r="G49" s="7">
        <f>CEO!G49+CS!G49+CFO!G49+LLA!G49+'C&amp;E'!G49+CES!G49+LLT!G49+GB!G49</f>
        <v>5325.9359999999997</v>
      </c>
      <c r="H49" s="7">
        <f>CEO!H49+CS!H49+CFO!H49+LLA!H49+'C&amp;E'!H49+CES!H49+LLT!H49+GB!H49</f>
        <v>4277.9359999999997</v>
      </c>
      <c r="I49" s="7">
        <f>CEO!I49+CS!I49+CFO!I49+LLA!I49+'C&amp;E'!I49+CES!I49+LLT!I49+GB!I49</f>
        <v>2300.36</v>
      </c>
      <c r="J49" s="7">
        <f>CEO!J49+CS!J49+CFO!J49+LLA!J49+'C&amp;E'!J49+CES!J49+LLT!J49+GB!J49</f>
        <v>4277.9359999999997</v>
      </c>
      <c r="K49" s="7">
        <f>CEO!K49+CS!K49+CFO!K49+LLA!K49+'C&amp;E'!K49+CES!K49+LLT!K49+GB!K49</f>
        <v>2300.36</v>
      </c>
      <c r="L49" s="7">
        <f>CEO!L49+CS!L49+CFO!L49+LLA!L49+'C&amp;E'!L49+CES!L49+LLT!L49+GB!L49</f>
        <v>4759.7109833727391</v>
      </c>
      <c r="M49" s="13" t="s">
        <v>446</v>
      </c>
      <c r="N49" s="7">
        <f t="shared" si="36"/>
        <v>0</v>
      </c>
      <c r="O49" s="7">
        <f t="shared" si="37"/>
        <v>45763.75898337274</v>
      </c>
      <c r="P49" s="7">
        <f t="shared" si="4"/>
        <v>45763.75898337274</v>
      </c>
      <c r="Q49" s="7">
        <f>CEO!Q49+CS!Q49+CFO!Q49+LLA!Q49+'C&amp;E'!Q49+CES!Q49+LLT!Q49+GB!Q49</f>
        <v>45763.75898337274</v>
      </c>
      <c r="R49" s="7">
        <f t="shared" si="38"/>
        <v>0</v>
      </c>
      <c r="S49" s="7">
        <v>21118.000000000007</v>
      </c>
      <c r="T49" s="7">
        <f>CEO!T49+CS!T49+CFO!T49+LLA!T49+'C&amp;E'!T49+CES!T49+LLT!T49+GB!T49</f>
        <v>15339.752469999941</v>
      </c>
      <c r="U49" s="7">
        <f t="shared" si="7"/>
        <v>82221.511453372688</v>
      </c>
      <c r="V49" s="7">
        <f t="shared" si="6"/>
        <v>36457.752469999949</v>
      </c>
      <c r="W49" s="7"/>
      <c r="X49" s="7">
        <f>CEO!Q49+CS!Q49+CFO!Q49+LLA!Q49+'C&amp;E'!Q49+CES!Q49+LLT!Q49+GB!Q49</f>
        <v>45763.75898337274</v>
      </c>
      <c r="Y49" s="7">
        <f t="shared" si="39"/>
        <v>0</v>
      </c>
      <c r="Z49" s="7">
        <v>45763.75898337274</v>
      </c>
      <c r="AA49" s="7">
        <f t="shared" si="40"/>
        <v>47914.655655591254</v>
      </c>
      <c r="AC49" s="295">
        <f t="shared" si="31"/>
        <v>0</v>
      </c>
    </row>
    <row r="50" spans="1:29" x14ac:dyDescent="0.3">
      <c r="A50" s="7">
        <f>CEO!A50+CS!A50+CFO!A50+LLA!A50+'C&amp;E'!A50+CES!A50+LLT!A50+GB!A50</f>
        <v>4308.3280000000004</v>
      </c>
      <c r="B50" s="7">
        <f>CEO!B50+CS!B50+CFO!B50+LLA!B50+'C&amp;E'!B50+CES!B50+LLT!B50+GB!B50</f>
        <v>5474.7520000000004</v>
      </c>
      <c r="C50" s="7">
        <f>CEO!C50+CS!C50+CFO!C50+LLA!C50+'C&amp;E'!C50+CES!C50+LLT!C50+GB!C50</f>
        <v>4308.3280000000004</v>
      </c>
      <c r="D50" s="7">
        <f>CEO!D50+CS!D50+CFO!D50+LLA!D50+'C&amp;E'!D50+CES!D50+LLT!D50+GB!D50</f>
        <v>4308.3280000000004</v>
      </c>
      <c r="E50" s="7">
        <f>CEO!E50+CS!E50+CFO!E50+LLA!E50+'C&amp;E'!E50+CES!E50+LLT!E50+GB!E50</f>
        <v>4308.3280000000004</v>
      </c>
      <c r="F50" s="7">
        <f>CEO!F50+CS!F50+CFO!F50+LLA!F50+'C&amp;E'!F50+CES!F50+LLT!F50+GB!F50</f>
        <v>4532.6000000000013</v>
      </c>
      <c r="G50" s="7">
        <f>CEO!G50+CS!G50+CFO!G50+LLA!G50+'C&amp;E'!G50+CES!G50+LLT!G50+GB!G50</f>
        <v>4308.3280000000004</v>
      </c>
      <c r="H50" s="7">
        <f>CEO!H50+CS!H50+CFO!H50+LLA!H50+'C&amp;E'!H50+CES!H50+LLT!H50+GB!H50</f>
        <v>4308.3280000000004</v>
      </c>
      <c r="I50" s="7">
        <f>CEO!I50+CS!I50+CFO!I50+LLA!I50+'C&amp;E'!I50+CES!I50+LLT!I50+GB!I50</f>
        <v>4308.3280000000004</v>
      </c>
      <c r="J50" s="7">
        <f>CEO!J50+CS!J50+CFO!J50+LLA!J50+'C&amp;E'!J50+CES!J50+LLT!J50+GB!J50</f>
        <v>4308.3280000000004</v>
      </c>
      <c r="K50" s="7">
        <f>CEO!K50+CS!K50+CFO!K50+LLA!K50+'C&amp;E'!K50+CES!K50+LLT!K50+GB!K50</f>
        <v>4307.7798619228697</v>
      </c>
      <c r="L50" s="7">
        <f>CEO!L50+CS!L50+CFO!L50+LLA!L50+'C&amp;E'!L50+CES!L50+LLT!L50+GB!L50</f>
        <v>4186.76</v>
      </c>
      <c r="M50" s="13" t="s">
        <v>447</v>
      </c>
      <c r="N50" s="7">
        <f t="shared" si="36"/>
        <v>0</v>
      </c>
      <c r="O50" s="7">
        <f t="shared" si="37"/>
        <v>52968.515861922882</v>
      </c>
      <c r="P50" s="7">
        <f t="shared" si="4"/>
        <v>52968.515861922882</v>
      </c>
      <c r="Q50" s="7">
        <f>CEO!Q50+CS!Q50+CFO!Q50+LLA!Q50+'C&amp;E'!Q50+CES!Q50+LLT!Q50+GB!Q50</f>
        <v>52968.51586192286</v>
      </c>
      <c r="R50" s="7">
        <f t="shared" si="38"/>
        <v>0</v>
      </c>
      <c r="S50" s="7">
        <v>4373.0000000000073</v>
      </c>
      <c r="T50" s="7">
        <f>CEO!T50+CS!T50+CFO!T50+LLA!T50+'C&amp;E'!T50+CES!T50+LLT!T50+GB!T50</f>
        <v>-16542</v>
      </c>
      <c r="U50" s="7">
        <f t="shared" si="7"/>
        <v>40799.515861922868</v>
      </c>
      <c r="V50" s="7">
        <f t="shared" si="6"/>
        <v>-12169.000000000015</v>
      </c>
      <c r="W50" s="7"/>
      <c r="X50" s="7">
        <f>CEO!Q50+CS!Q50+CFO!Q50+LLA!Q50+'C&amp;E'!Q50+CES!Q50+LLT!Q50+GB!Q50</f>
        <v>52968.51586192286</v>
      </c>
      <c r="Y50" s="7">
        <f t="shared" si="39"/>
        <v>0</v>
      </c>
      <c r="Z50" s="7">
        <v>52968.51586192286</v>
      </c>
      <c r="AA50" s="7">
        <f t="shared" si="40"/>
        <v>55458.036107433232</v>
      </c>
      <c r="AC50" s="295">
        <f t="shared" si="31"/>
        <v>0</v>
      </c>
    </row>
    <row r="51" spans="1:29" x14ac:dyDescent="0.3">
      <c r="A51" s="7">
        <f>CEO!A51+CS!A51+CFO!A51+LLA!A51+'C&amp;E'!A51+CES!A51+LLT!A51+GB!A51</f>
        <v>0</v>
      </c>
      <c r="B51" s="7">
        <f>CEO!B51+CS!B51+CFO!B51+LLA!B51+'C&amp;E'!B51+CES!B51+LLT!B51+GB!B51</f>
        <v>0</v>
      </c>
      <c r="C51" s="7">
        <f>CEO!C51+CS!C51+CFO!C51+LLA!C51+'C&amp;E'!C51+CES!C51+LLT!C51+GB!C51</f>
        <v>0</v>
      </c>
      <c r="D51" s="7">
        <f>CEO!D51+CS!D51+CFO!D51+LLA!D51+'C&amp;E'!D51+CES!D51+LLT!D51+GB!D51</f>
        <v>0</v>
      </c>
      <c r="E51" s="7">
        <f>CEO!E51+CS!E51+CFO!E51+LLA!E51+'C&amp;E'!E51+CES!E51+LLT!E51+GB!E51</f>
        <v>0</v>
      </c>
      <c r="F51" s="7">
        <f>CEO!F51+CS!F51+CFO!F51+LLA!F51+'C&amp;E'!F51+CES!F51+LLT!F51+GB!F51</f>
        <v>0</v>
      </c>
      <c r="G51" s="7">
        <f>CEO!G51+CS!G51+CFO!G51+LLA!G51+'C&amp;E'!G51+CES!G51+LLT!G51+GB!G51</f>
        <v>0</v>
      </c>
      <c r="H51" s="7">
        <f>CEO!H51+CS!H51+CFO!H51+LLA!H51+'C&amp;E'!H51+CES!H51+LLT!H51+GB!H51</f>
        <v>0</v>
      </c>
      <c r="I51" s="7">
        <f>CEO!I51+CS!I51+CFO!I51+LLA!I51+'C&amp;E'!I51+CES!I51+LLT!I51+GB!I51</f>
        <v>0</v>
      </c>
      <c r="J51" s="7">
        <f>CEO!J51+CS!J51+CFO!J51+LLA!J51+'C&amp;E'!J51+CES!J51+LLT!J51+GB!J51</f>
        <v>0</v>
      </c>
      <c r="K51" s="7">
        <f>CEO!K51+CS!K51+CFO!K51+LLA!K51+'C&amp;E'!K51+CES!K51+LLT!K51+GB!K51</f>
        <v>0</v>
      </c>
      <c r="L51" s="7">
        <f>CEO!L51+CS!L51+CFO!L51+LLA!L51+'C&amp;E'!L51+CES!L51+LLT!L51+GB!L51</f>
        <v>0</v>
      </c>
      <c r="M51" s="13" t="s">
        <v>448</v>
      </c>
      <c r="N51" s="7">
        <f t="shared" si="36"/>
        <v>0</v>
      </c>
      <c r="O51" s="7">
        <f t="shared" si="37"/>
        <v>0</v>
      </c>
      <c r="P51" s="7">
        <f t="shared" si="4"/>
        <v>0</v>
      </c>
      <c r="Q51" s="7">
        <f>CEO!Q51+CS!Q51+CFO!Q51+LLA!Q51+'C&amp;E'!Q51+CES!Q51+LLT!Q51+GB!Q51</f>
        <v>0</v>
      </c>
      <c r="R51" s="7">
        <f t="shared" si="38"/>
        <v>0</v>
      </c>
      <c r="S51" s="7">
        <v>0</v>
      </c>
      <c r="T51" s="7">
        <f>CEO!T51+CS!T51+CFO!T51+LLA!T51+'C&amp;E'!T51+CES!T51+LLT!T51+GB!T51</f>
        <v>-2000</v>
      </c>
      <c r="U51" s="7">
        <f t="shared" si="7"/>
        <v>-2000</v>
      </c>
      <c r="V51" s="7">
        <f t="shared" si="6"/>
        <v>-2000</v>
      </c>
      <c r="W51" s="7"/>
      <c r="X51" s="7">
        <f>CEO!Q51+CS!Q51+CFO!Q51+LLA!Q51+'C&amp;E'!Q51+CES!Q51+LLT!Q51+GB!Q51</f>
        <v>0</v>
      </c>
      <c r="Y51" s="7">
        <f t="shared" si="39"/>
        <v>0</v>
      </c>
      <c r="Z51" s="7">
        <v>0</v>
      </c>
      <c r="AA51" s="7">
        <f t="shared" si="40"/>
        <v>0</v>
      </c>
      <c r="AC51" s="295">
        <f t="shared" si="31"/>
        <v>0</v>
      </c>
    </row>
    <row r="52" spans="1:29" x14ac:dyDescent="0.3">
      <c r="A52" s="7">
        <f>CEO!A52+CS!A52+CFO!A52+LLA!A52+'C&amp;E'!A52+CES!A52+LLT!A52+GB!A52</f>
        <v>1210.4400000000003</v>
      </c>
      <c r="B52" s="7">
        <f>CEO!B52+CS!B52+CFO!B52+LLA!B52+'C&amp;E'!B52+CES!B52+LLT!B52+GB!B52</f>
        <v>1210.4400000000003</v>
      </c>
      <c r="C52" s="7">
        <f>CEO!C52+CS!C52+CFO!C52+LLA!C52+'C&amp;E'!C52+CES!C52+LLT!C52+GB!C52</f>
        <v>1210.4400000000003</v>
      </c>
      <c r="D52" s="7">
        <f>CEO!D52+CS!D52+CFO!D52+LLA!D52+'C&amp;E'!D52+CES!D52+LLT!D52+GB!D52</f>
        <v>1210.4400000000003</v>
      </c>
      <c r="E52" s="7">
        <f>CEO!E52+CS!E52+CFO!E52+LLA!E52+'C&amp;E'!E52+CES!E52+LLT!E52+GB!E52</f>
        <v>1661.0800000000002</v>
      </c>
      <c r="F52" s="7">
        <f>CEO!F52+CS!F52+CFO!F52+LLA!F52+'C&amp;E'!F52+CES!F52+LLT!F52+GB!F52</f>
        <v>1210.4400000000003</v>
      </c>
      <c r="G52" s="7">
        <f>CEO!G52+CS!G52+CFO!G52+LLA!G52+'C&amp;E'!G52+CES!G52+LLT!G52+GB!G52</f>
        <v>1210.4400000000003</v>
      </c>
      <c r="H52" s="7">
        <f>CEO!H52+CS!H52+CFO!H52+LLA!H52+'C&amp;E'!H52+CES!H52+LLT!H52+GB!H52</f>
        <v>1210.4400000000003</v>
      </c>
      <c r="I52" s="7">
        <f>CEO!I52+CS!I52+CFO!I52+LLA!I52+'C&amp;E'!I52+CES!I52+LLT!I52+GB!I52</f>
        <v>1210.4400000000003</v>
      </c>
      <c r="J52" s="7">
        <f>CEO!J52+CS!J52+CFO!J52+LLA!J52+'C&amp;E'!J52+CES!J52+LLT!J52+GB!J52</f>
        <v>1210.4400000000003</v>
      </c>
      <c r="K52" s="7">
        <f>CEO!K52+CS!K52+CFO!K52+LLA!K52+'C&amp;E'!K52+CES!K52+LLT!K52+GB!K52</f>
        <v>1210.4400000000003</v>
      </c>
      <c r="L52" s="7">
        <f>CEO!L52+CS!L52+CFO!L52+LLA!L52+'C&amp;E'!L52+CES!L52+LLT!L52+GB!L52</f>
        <v>981.65768920698383</v>
      </c>
      <c r="M52" s="13" t="s">
        <v>449</v>
      </c>
      <c r="N52" s="7">
        <f t="shared" si="36"/>
        <v>0</v>
      </c>
      <c r="O52" s="7">
        <f t="shared" si="37"/>
        <v>14747.137689206987</v>
      </c>
      <c r="P52" s="7">
        <f t="shared" si="4"/>
        <v>14747.137689206987</v>
      </c>
      <c r="Q52" s="7">
        <f>CEO!Q52+CS!Q52+CFO!Q52+LLA!Q52+'C&amp;E'!Q52+CES!Q52+LLT!Q52+GB!Q52</f>
        <v>14747.137689206982</v>
      </c>
      <c r="R52" s="7">
        <f t="shared" si="38"/>
        <v>0</v>
      </c>
      <c r="S52" s="7">
        <v>10298</v>
      </c>
      <c r="T52" s="7">
        <f>CEO!T52+CS!T52+CFO!T52+LLA!T52+'C&amp;E'!T52+CES!T52+LLT!T52+GB!T52</f>
        <v>-2000</v>
      </c>
      <c r="U52" s="7">
        <f t="shared" si="7"/>
        <v>23045.137689206982</v>
      </c>
      <c r="V52" s="7">
        <f t="shared" si="6"/>
        <v>8297.9999999999945</v>
      </c>
      <c r="W52" s="7"/>
      <c r="X52" s="7">
        <f>CEO!Q52+CS!Q52+CFO!Q52+LLA!Q52+'C&amp;E'!Q52+CES!Q52+LLT!Q52+GB!Q52</f>
        <v>14747.137689206982</v>
      </c>
      <c r="Y52" s="7">
        <f t="shared" si="39"/>
        <v>0</v>
      </c>
      <c r="Z52" s="7">
        <v>14747.137689206982</v>
      </c>
      <c r="AA52" s="7">
        <f t="shared" si="40"/>
        <v>15440.253160599708</v>
      </c>
      <c r="AC52" s="295">
        <f t="shared" si="31"/>
        <v>0</v>
      </c>
    </row>
    <row r="53" spans="1:29" x14ac:dyDescent="0.3">
      <c r="A53" s="7">
        <f>CEO!A53+CS!A53+CFO!A53+LLA!A53+'C&amp;E'!A53+CES!A53+LLT!A53+GB!A53</f>
        <v>8247.6726666666709</v>
      </c>
      <c r="B53" s="7">
        <f>CEO!B53+CS!B53+CFO!B53+LLA!B53+'C&amp;E'!B53+CES!B53+LLT!B53+GB!B53</f>
        <v>10343.672666666671</v>
      </c>
      <c r="C53" s="7">
        <f>CEO!C53+CS!C53+CFO!C53+LLA!C53+'C&amp;E'!C53+CES!C53+LLT!C53+GB!C53</f>
        <v>8247.6726666666709</v>
      </c>
      <c r="D53" s="7">
        <f>CEO!D53+CS!D53+CFO!D53+LLA!D53+'C&amp;E'!D53+CES!D53+LLT!D53+GB!D53</f>
        <v>8247.6726666666709</v>
      </c>
      <c r="E53" s="7">
        <f>CEO!E53+CS!E53+CFO!E53+LLA!E53+'C&amp;E'!E53+CES!E53+LLT!E53+GB!E53</f>
        <v>10343.672666666671</v>
      </c>
      <c r="F53" s="7">
        <f>CEO!F53+CS!F53+CFO!F53+LLA!F53+'C&amp;E'!F53+CES!F53+LLT!F53+GB!F53</f>
        <v>8247.6726666666709</v>
      </c>
      <c r="G53" s="7">
        <f>CEO!G53+CS!G53+CFO!G53+LLA!G53+'C&amp;E'!G53+CES!G53+LLT!G53+GB!G53</f>
        <v>8247.6726666666709</v>
      </c>
      <c r="H53" s="7">
        <f>CEO!H53+CS!H53+CFO!H53+LLA!H53+'C&amp;E'!H53+CES!H53+LLT!H53+GB!H53</f>
        <v>10801.648666666671</v>
      </c>
      <c r="I53" s="7">
        <f>CEO!I53+CS!I53+CFO!I53+LLA!I53+'C&amp;E'!I53+CES!I53+LLT!I53+GB!I53</f>
        <v>8247.6726666666709</v>
      </c>
      <c r="J53" s="7">
        <f>CEO!J53+CS!J53+CFO!J53+LLA!J53+'C&amp;E'!J53+CES!J53+LLT!J53+GB!J53</f>
        <v>8247.6726666666709</v>
      </c>
      <c r="K53" s="7">
        <f>CEO!K53+CS!K53+CFO!K53+LLA!K53+'C&amp;E'!K53+CES!K53+LLT!K53+GB!K53</f>
        <v>8247.6726666666709</v>
      </c>
      <c r="L53" s="7">
        <f>CEO!L53+CS!L53+CFO!L53+LLA!L53+'C&amp;E'!L53+CES!L53+LLT!L53+GB!L53</f>
        <v>8256.6726666666709</v>
      </c>
      <c r="M53" s="13" t="s">
        <v>450</v>
      </c>
      <c r="N53" s="7">
        <f t="shared" si="36"/>
        <v>0</v>
      </c>
      <c r="O53" s="7">
        <f t="shared" si="37"/>
        <v>105727.04800000004</v>
      </c>
      <c r="P53" s="7">
        <f t="shared" si="4"/>
        <v>105727.04800000004</v>
      </c>
      <c r="Q53" s="7">
        <f>CEO!Q53+CS!Q53+CFO!Q53+LLA!Q53+'C&amp;E'!Q53+CES!Q53+LLT!Q53+GB!Q53</f>
        <v>105727.04800000002</v>
      </c>
      <c r="R53" s="7">
        <f t="shared" si="38"/>
        <v>0</v>
      </c>
      <c r="S53" s="7">
        <v>19661</v>
      </c>
      <c r="T53" s="7">
        <f>CEO!T53+CS!T53+CFO!T53+LLA!T53+'C&amp;E'!T53+CES!T53+LLT!T53+GB!T53</f>
        <v>12991.982240000001</v>
      </c>
      <c r="U53" s="7">
        <f t="shared" si="7"/>
        <v>138380.03024000002</v>
      </c>
      <c r="V53" s="7">
        <f t="shared" si="6"/>
        <v>32652.982239999983</v>
      </c>
      <c r="W53" s="7"/>
      <c r="X53" s="7">
        <f>CEO!Q53+CS!Q53+CFO!Q53+LLA!Q53+'C&amp;E'!Q53+CES!Q53+LLT!Q53+GB!Q53</f>
        <v>105727.04800000002</v>
      </c>
      <c r="Y53" s="7">
        <f t="shared" si="39"/>
        <v>0</v>
      </c>
      <c r="Z53" s="7">
        <v>105727.36891740274</v>
      </c>
      <c r="AA53" s="7">
        <f t="shared" si="40"/>
        <v>110696.55525652066</v>
      </c>
      <c r="AC53" s="295">
        <f t="shared" si="31"/>
        <v>-0.32091740271425806</v>
      </c>
    </row>
    <row r="54" spans="1:29" x14ac:dyDescent="0.3">
      <c r="A54" s="7">
        <f>CEO!A54+CS!A54+CFO!A54+LLA!A54+'C&amp;E'!A54+CES!A54+LLT!A54+GB!A54</f>
        <v>0</v>
      </c>
      <c r="B54" s="7">
        <f>CEO!B54+CS!B54+CFO!B54+LLA!B54+'C&amp;E'!B54+CES!B54+LLT!B54+GB!B54</f>
        <v>0</v>
      </c>
      <c r="C54" s="7">
        <f>CEO!C54+CS!C54+CFO!C54+LLA!C54+'C&amp;E'!C54+CES!C54+LLT!C54+GB!C54</f>
        <v>0</v>
      </c>
      <c r="D54" s="7">
        <f>CEO!D54+CS!D54+CFO!D54+LLA!D54+'C&amp;E'!D54+CES!D54+LLT!D54+GB!D54</f>
        <v>0</v>
      </c>
      <c r="E54" s="7">
        <f>CEO!E54+CS!E54+CFO!E54+LLA!E54+'C&amp;E'!E54+CES!E54+LLT!E54+GB!E54</f>
        <v>0</v>
      </c>
      <c r="F54" s="7">
        <f>CEO!F54+CS!F54+CFO!F54+LLA!F54+'C&amp;E'!F54+CES!F54+LLT!F54+GB!F54</f>
        <v>0</v>
      </c>
      <c r="G54" s="7">
        <f>CEO!G54+CS!G54+CFO!G54+LLA!G54+'C&amp;E'!G54+CES!G54+LLT!G54+GB!G54</f>
        <v>0</v>
      </c>
      <c r="H54" s="7">
        <f>CEO!H54+CS!H54+CFO!H54+LLA!H54+'C&amp;E'!H54+CES!H54+LLT!H54+GB!H54</f>
        <v>0</v>
      </c>
      <c r="I54" s="7">
        <f>CEO!I54+CS!I54+CFO!I54+LLA!I54+'C&amp;E'!I54+CES!I54+LLT!I54+GB!I54</f>
        <v>0</v>
      </c>
      <c r="J54" s="7">
        <f>CEO!J54+CS!J54+CFO!J54+LLA!J54+'C&amp;E'!J54+CES!J54+LLT!J54+GB!J54</f>
        <v>0</v>
      </c>
      <c r="K54" s="7">
        <f>CEO!K54+CS!K54+CFO!K54+LLA!K54+'C&amp;E'!K54+CES!K54+LLT!K54+GB!K54</f>
        <v>0</v>
      </c>
      <c r="L54" s="7">
        <f>CEO!L54+CS!L54+CFO!L54+LLA!L54+'C&amp;E'!L54+CES!L54+LLT!L54+GB!L54</f>
        <v>0</v>
      </c>
      <c r="M54" s="13" t="s">
        <v>451</v>
      </c>
      <c r="N54" s="7">
        <f t="shared" si="36"/>
        <v>0</v>
      </c>
      <c r="O54" s="7">
        <f t="shared" si="37"/>
        <v>0</v>
      </c>
      <c r="P54" s="7">
        <f t="shared" si="4"/>
        <v>0</v>
      </c>
      <c r="Q54" s="7">
        <f>CEO!Q54+CS!Q54+CFO!Q54+LLA!Q54+'C&amp;E'!Q54+CES!Q54+LLT!Q54+GB!Q54</f>
        <v>0</v>
      </c>
      <c r="R54" s="7">
        <f t="shared" si="38"/>
        <v>0</v>
      </c>
      <c r="S54" s="7">
        <v>0</v>
      </c>
      <c r="T54" s="7">
        <f>CEO!T54+CS!T54+CFO!T54+LLA!T54+'C&amp;E'!T54+CES!T54+LLT!T54+GB!T54</f>
        <v>0</v>
      </c>
      <c r="U54" s="7">
        <f t="shared" si="7"/>
        <v>0</v>
      </c>
      <c r="V54" s="7">
        <f t="shared" si="6"/>
        <v>0</v>
      </c>
      <c r="W54" s="7"/>
      <c r="X54" s="7">
        <f>CEO!Q54+CS!Q54+CFO!Q54+LLA!Q54+'C&amp;E'!Q54+CES!Q54+LLT!Q54+GB!Q54</f>
        <v>0</v>
      </c>
      <c r="Y54" s="7">
        <f t="shared" si="39"/>
        <v>0</v>
      </c>
      <c r="Z54" s="7">
        <v>0</v>
      </c>
      <c r="AA54" s="7">
        <f t="shared" si="40"/>
        <v>0</v>
      </c>
      <c r="AC54" s="295">
        <f t="shared" si="31"/>
        <v>0</v>
      </c>
    </row>
    <row r="55" spans="1:29" x14ac:dyDescent="0.3">
      <c r="A55" s="7">
        <f>CEO!A55+CS!A55+CFO!A55+LLA!A55+'C&amp;E'!A55+CES!A55+LLT!A55+GB!A55</f>
        <v>3265.1194214666671</v>
      </c>
      <c r="B55" s="7">
        <f>CEO!B55+CS!B55+CFO!B55+LLA!B55+'C&amp;E'!B55+CES!B55+LLT!B55+GB!B55</f>
        <v>3265.1194214666671</v>
      </c>
      <c r="C55" s="7">
        <f>CEO!C55+CS!C55+CFO!C55+LLA!C55+'C&amp;E'!C55+CES!C55+LLT!C55+GB!C55</f>
        <v>3265.1194214666671</v>
      </c>
      <c r="D55" s="7">
        <f>CEO!D55+CS!D55+CFO!D55+LLA!D55+'C&amp;E'!D55+CES!D55+LLT!D55+GB!D55</f>
        <v>3265.1194214666671</v>
      </c>
      <c r="E55" s="7">
        <f>CEO!E55+CS!E55+CFO!E55+LLA!E55+'C&amp;E'!E55+CES!E55+LLT!E55+GB!E55</f>
        <v>5361.1194214666666</v>
      </c>
      <c r="F55" s="7">
        <f>CEO!F55+CS!F55+CFO!F55+LLA!F55+'C&amp;E'!F55+CES!F55+LLT!F55+GB!F55</f>
        <v>3265.1194214666671</v>
      </c>
      <c r="G55" s="7">
        <f>CEO!G55+CS!G55+CFO!G55+LLA!G55+'C&amp;E'!G55+CES!G55+LLT!G55+GB!G55</f>
        <v>3265.1194214666671</v>
      </c>
      <c r="H55" s="7">
        <f>CEO!H55+CS!H55+CFO!H55+LLA!H55+'C&amp;E'!H55+CES!H55+LLT!H55+GB!H55</f>
        <v>5554.9994214666676</v>
      </c>
      <c r="I55" s="7">
        <f>CEO!I55+CS!I55+CFO!I55+LLA!I55+'C&amp;E'!I55+CES!I55+LLT!I55+GB!I55</f>
        <v>6529.0629706314776</v>
      </c>
      <c r="J55" s="7">
        <f>CEO!J55+CS!J55+CFO!J55+LLA!J55+'C&amp;E'!J55+CES!J55+LLT!J55+GB!J55</f>
        <v>3265.1194214666671</v>
      </c>
      <c r="K55" s="7">
        <f>CEO!K55+CS!K55+CFO!K55+LLA!K55+'C&amp;E'!K55+CES!K55+LLT!K55+GB!K55</f>
        <v>3265.1194214666671</v>
      </c>
      <c r="L55" s="7">
        <f>CEO!L55+CS!L55+CFO!L55+LLA!L55+'C&amp;E'!L55+CES!L55+LLT!L55+GB!L55</f>
        <v>3265.1194214666671</v>
      </c>
      <c r="M55" s="388" t="s">
        <v>452</v>
      </c>
      <c r="N55" s="7">
        <f t="shared" si="36"/>
        <v>0</v>
      </c>
      <c r="O55" s="7">
        <f t="shared" si="37"/>
        <v>46831.256606764822</v>
      </c>
      <c r="P55" s="7">
        <f t="shared" si="4"/>
        <v>46831.256606764822</v>
      </c>
      <c r="Q55" s="7">
        <f>CEO!Q55+CS!Q55+CFO!Q55+LLA!Q55+'C&amp;E'!Q55+CES!Q55+LLT!Q55+GB!Q55</f>
        <v>46831.511324764804</v>
      </c>
      <c r="R55" s="7">
        <f t="shared" si="38"/>
        <v>0.25471799998194911</v>
      </c>
      <c r="S55" s="7">
        <v>23682</v>
      </c>
      <c r="T55" s="7">
        <f>CEO!T55+CS!T55+CFO!T55+LLA!T55+'C&amp;E'!T55+CES!T55+LLT!T55+GB!T55</f>
        <v>-30829.002</v>
      </c>
      <c r="U55" s="7">
        <f t="shared" si="7"/>
        <v>39684.509324764811</v>
      </c>
      <c r="V55" s="7">
        <f t="shared" si="6"/>
        <v>-7146.7472820000112</v>
      </c>
      <c r="W55" s="7"/>
      <c r="X55" s="7">
        <f>CEO!Q55+CS!Q55+CFO!Q55+LLA!Q55+'C&amp;E'!Q55+CES!Q55+LLT!Q55+GB!Q55</f>
        <v>46831.511324764804</v>
      </c>
      <c r="Y55" s="7">
        <f t="shared" si="39"/>
        <v>0</v>
      </c>
      <c r="Z55" s="7">
        <v>46831.511324764804</v>
      </c>
      <c r="AA55" s="7">
        <f t="shared" si="40"/>
        <v>49032.592357028749</v>
      </c>
      <c r="AC55" s="295">
        <f t="shared" si="31"/>
        <v>0</v>
      </c>
    </row>
    <row r="56" spans="1:29" x14ac:dyDescent="0.3">
      <c r="A56" s="7">
        <f>CEO!A56+CS!A56+CFO!A56+LLA!A56+'C&amp;E'!A56+CES!A56+LLT!A56+GB!A56</f>
        <v>8.0111324981165429E-14</v>
      </c>
      <c r="B56" s="7">
        <f>CEO!B56+CS!B56+CFO!B56+LLA!B56+'C&amp;E'!B56+CES!B56+LLT!B56+GB!B56</f>
        <v>8.0111324981165429E-14</v>
      </c>
      <c r="C56" s="7">
        <f>CEO!C56+CS!C56+CFO!C56+LLA!C56+'C&amp;E'!C56+CES!C56+LLT!C56+GB!C56</f>
        <v>8.0111324981165429E-14</v>
      </c>
      <c r="D56" s="7">
        <f>CEO!D56+CS!D56+CFO!D56+LLA!D56+'C&amp;E'!D56+CES!D56+LLT!D56+GB!D56</f>
        <v>8.0111324981165429E-14</v>
      </c>
      <c r="E56" s="7">
        <f>CEO!E56+CS!E56+CFO!E56+LLA!E56+'C&amp;E'!E56+CES!E56+LLT!E56+GB!E56</f>
        <v>8.0111324981165429E-14</v>
      </c>
      <c r="F56" s="7">
        <f>CEO!F56+CS!F56+CFO!F56+LLA!F56+'C&amp;E'!F56+CES!F56+LLT!F56+GB!F56</f>
        <v>8.0111324981165429E-14</v>
      </c>
      <c r="G56" s="7">
        <f>CEO!G56+CS!G56+CFO!G56+LLA!G56+'C&amp;E'!G56+CES!G56+LLT!G56+GB!G56</f>
        <v>8.0111324981165429E-14</v>
      </c>
      <c r="H56" s="7">
        <f>CEO!H56+CS!H56+CFO!H56+LLA!H56+'C&amp;E'!H56+CES!H56+LLT!H56+GB!H56</f>
        <v>8.0111324981165429E-14</v>
      </c>
      <c r="I56" s="7">
        <f>CEO!I56+CS!I56+CFO!I56+LLA!I56+'C&amp;E'!I56+CES!I56+LLT!I56+GB!I56</f>
        <v>8.0111324981165429E-14</v>
      </c>
      <c r="J56" s="7">
        <f>CEO!J56+CS!J56+CFO!J56+LLA!J56+'C&amp;E'!J56+CES!J56+LLT!J56+GB!J56</f>
        <v>8.0111324981165429E-14</v>
      </c>
      <c r="K56" s="7">
        <f>CEO!K56+CS!K56+CFO!K56+LLA!K56+'C&amp;E'!K56+CES!K56+LLT!K56+GB!K56</f>
        <v>8.0111324981165429E-14</v>
      </c>
      <c r="L56" s="7">
        <f>CEO!L56+CS!L56+CFO!L56+LLA!L56+'C&amp;E'!L56+CES!L56+LLT!L56+GB!L56</f>
        <v>8.0111324981165429E-14</v>
      </c>
      <c r="M56" s="13" t="s">
        <v>453</v>
      </c>
      <c r="N56" s="7">
        <f t="shared" si="36"/>
        <v>0</v>
      </c>
      <c r="O56" s="7">
        <f t="shared" si="37"/>
        <v>9.6133589977398489E-13</v>
      </c>
      <c r="P56" s="7">
        <f t="shared" si="4"/>
        <v>9.6133589977398489E-13</v>
      </c>
      <c r="Q56" s="7">
        <f>CEO!Q56+CS!Q56+CFO!Q56+LLA!Q56+'C&amp;E'!Q56+CES!Q56+LLT!Q56+GB!Q56</f>
        <v>9.6133589977398509E-13</v>
      </c>
      <c r="R56" s="7">
        <f t="shared" si="38"/>
        <v>0</v>
      </c>
      <c r="S56" s="7">
        <v>0</v>
      </c>
      <c r="T56" s="7">
        <f>CEO!T56+CS!T56+CFO!T56+LLA!T56+'C&amp;E'!T56+CES!T56+LLT!T56+GB!T56</f>
        <v>0</v>
      </c>
      <c r="U56" s="7">
        <f t="shared" si="7"/>
        <v>9.6133589977398509E-13</v>
      </c>
      <c r="V56" s="7">
        <f t="shared" si="6"/>
        <v>0</v>
      </c>
      <c r="W56" s="7"/>
      <c r="X56" s="7">
        <f>CEO!Q56+CS!Q56+CFO!Q56+LLA!Q56+'C&amp;E'!Q56+CES!Q56+LLT!Q56+GB!Q56</f>
        <v>9.6133589977398509E-13</v>
      </c>
      <c r="Y56" s="7">
        <f t="shared" si="39"/>
        <v>0</v>
      </c>
      <c r="Z56" s="7">
        <v>1.0074800229631365E-12</v>
      </c>
      <c r="AA56" s="7">
        <f t="shared" si="40"/>
        <v>1.0548315840424038E-12</v>
      </c>
      <c r="AC56" s="295">
        <f t="shared" si="31"/>
        <v>-4.6144123189151391E-14</v>
      </c>
    </row>
    <row r="57" spans="1:29" x14ac:dyDescent="0.3">
      <c r="A57" s="7">
        <f>CEO!A57+CS!A57+CFO!A57+LLA!A57+'C&amp;E'!A57+CES!A57+LLT!A57+GB!A57</f>
        <v>8663.8160000000007</v>
      </c>
      <c r="B57" s="7">
        <f>CEO!B57+CS!B57+CFO!B57+LLA!B57+'C&amp;E'!B57+CES!B57+LLT!B57+GB!B57</f>
        <v>8663.8160000000007</v>
      </c>
      <c r="C57" s="7">
        <f>CEO!C57+CS!C57+CFO!C57+LLA!C57+'C&amp;E'!C57+CES!C57+LLT!C57+GB!C57</f>
        <v>8663.8160000000007</v>
      </c>
      <c r="D57" s="7">
        <f>CEO!D57+CS!D57+CFO!D57+LLA!D57+'C&amp;E'!D57+CES!D57+LLT!D57+GB!D57</f>
        <v>8663.8160000000007</v>
      </c>
      <c r="E57" s="7">
        <f>CEO!E57+CS!E57+CFO!E57+LLA!E57+'C&amp;E'!E57+CES!E57+LLT!E57+GB!E57</f>
        <v>8663.8160000000007</v>
      </c>
      <c r="F57" s="7">
        <f>CEO!F57+CS!F57+CFO!F57+LLA!F57+'C&amp;E'!F57+CES!F57+LLT!F57+GB!F57</f>
        <v>8663.8160000000007</v>
      </c>
      <c r="G57" s="7">
        <f>CEO!G57+CS!G57+CFO!G57+LLA!G57+'C&amp;E'!G57+CES!G57+LLT!G57+GB!G57</f>
        <v>8663.8160000000007</v>
      </c>
      <c r="H57" s="7">
        <f>CEO!H57+CS!H57+CFO!H57+LLA!H57+'C&amp;E'!H57+CES!H57+LLT!H57+GB!H57</f>
        <v>8663.8160000000007</v>
      </c>
      <c r="I57" s="7">
        <f>CEO!I57+CS!I57+CFO!I57+LLA!I57+'C&amp;E'!I57+CES!I57+LLT!I57+GB!I57</f>
        <v>8663.8160000000007</v>
      </c>
      <c r="J57" s="7">
        <f>CEO!J57+CS!J57+CFO!J57+LLA!J57+'C&amp;E'!J57+CES!J57+LLT!J57+GB!J57</f>
        <v>8663.8160000000007</v>
      </c>
      <c r="K57" s="7">
        <f>CEO!K57+CS!K57+CFO!K57+LLA!K57+'C&amp;E'!K57+CES!K57+LLT!K57+GB!K57</f>
        <v>8663.8160000000007</v>
      </c>
      <c r="L57" s="7">
        <f>CEO!L57+CS!L57+CFO!L57+LLA!L57+'C&amp;E'!L57+CES!L57+LLT!L57+GB!L57</f>
        <v>8659.8160000000007</v>
      </c>
      <c r="M57" s="13" t="s">
        <v>454</v>
      </c>
      <c r="N57" s="7">
        <f t="shared" si="36"/>
        <v>0</v>
      </c>
      <c r="O57" s="7">
        <f t="shared" si="37"/>
        <v>103961.79200000003</v>
      </c>
      <c r="P57" s="7">
        <f t="shared" si="4"/>
        <v>103961.79200000003</v>
      </c>
      <c r="Q57" s="7">
        <f>CEO!Q57+CS!Q57+CFO!Q57+LLA!Q57+'C&amp;E'!Q57+CES!Q57+LLT!Q57+GB!Q57</f>
        <v>103961.79200000003</v>
      </c>
      <c r="R57" s="7">
        <f t="shared" si="38"/>
        <v>0</v>
      </c>
      <c r="S57" s="7">
        <v>0</v>
      </c>
      <c r="T57" s="7">
        <f>CEO!T57+CS!T57+CFO!T57+LLA!T57+'C&amp;E'!T57+CES!T57+LLT!T57+GB!T57</f>
        <v>129200</v>
      </c>
      <c r="U57" s="7">
        <f t="shared" si="7"/>
        <v>233161.79200000002</v>
      </c>
      <c r="V57" s="7">
        <f t="shared" si="6"/>
        <v>129199.99999999999</v>
      </c>
      <c r="W57" s="7"/>
      <c r="X57" s="7">
        <f>CEO!Q57+CS!Q57+CFO!Q57+LLA!Q57+'C&amp;E'!Q57+CES!Q57+LLT!Q57+GB!Q57</f>
        <v>103961.79200000003</v>
      </c>
      <c r="Y57" s="7">
        <f t="shared" si="39"/>
        <v>0</v>
      </c>
      <c r="Z57" s="7">
        <v>103961.60000000001</v>
      </c>
      <c r="AA57" s="7">
        <f t="shared" si="40"/>
        <v>108847.79519999999</v>
      </c>
      <c r="AC57" s="295">
        <f t="shared" si="31"/>
        <v>0.19200000002456363</v>
      </c>
    </row>
    <row r="58" spans="1:29" x14ac:dyDescent="0.3">
      <c r="A58" s="7">
        <f>CEO!A58+CS!A58+CFO!A58+LLA!A58+'C&amp;E'!A58+CES!A58+LLT!A58+GB!A58</f>
        <v>12692.153333333334</v>
      </c>
      <c r="B58" s="7">
        <f>CEO!B58+CS!B58+CFO!B58+LLA!B58+'C&amp;E'!B58+CES!B58+LLT!B58+GB!B58</f>
        <v>12697.393333333333</v>
      </c>
      <c r="C58" s="7">
        <f>CEO!C58+CS!C58+CFO!C58+LLA!C58+'C&amp;E'!C58+CES!C58+LLT!C58+GB!C58</f>
        <v>12697.393333333333</v>
      </c>
      <c r="D58" s="7">
        <f>CEO!D58+CS!D58+CFO!D58+LLA!D58+'C&amp;E'!D58+CES!D58+LLT!D58+GB!D58</f>
        <v>12697.393333333333</v>
      </c>
      <c r="E58" s="7">
        <f>CEO!E58+CS!E58+CFO!E58+LLA!E58+'C&amp;E'!E58+CES!E58+LLT!E58+GB!E58</f>
        <v>12697.393333333333</v>
      </c>
      <c r="F58" s="7">
        <f>CEO!F58+CS!F58+CFO!F58+LLA!F58+'C&amp;E'!F58+CES!F58+LLT!F58+GB!F58</f>
        <v>12697.393333333333</v>
      </c>
      <c r="G58" s="7">
        <f>CEO!G58+CS!G58+CFO!G58+LLA!G58+'C&amp;E'!G58+CES!G58+LLT!G58+GB!G58</f>
        <v>12697.393333333333</v>
      </c>
      <c r="H58" s="7">
        <f>CEO!H58+CS!H58+CFO!H58+LLA!H58+'C&amp;E'!H58+CES!H58+LLT!H58+GB!H58</f>
        <v>14697.393333333333</v>
      </c>
      <c r="I58" s="7">
        <f>CEO!I58+CS!I58+CFO!I58+LLA!I58+'C&amp;E'!I58+CES!I58+LLT!I58+GB!I58</f>
        <v>12697.393333333333</v>
      </c>
      <c r="J58" s="7">
        <f>CEO!J58+CS!J58+CFO!J58+LLA!J58+'C&amp;E'!J58+CES!J58+LLT!J58+GB!J58</f>
        <v>12697.393333333333</v>
      </c>
      <c r="K58" s="7">
        <f>CEO!K58+CS!K58+CFO!K58+LLA!K58+'C&amp;E'!K58+CES!K58+LLT!K58+GB!K58</f>
        <v>12697.393333333333</v>
      </c>
      <c r="L58" s="7">
        <f>CEO!L58+CS!L58+CFO!L58+LLA!L58+'C&amp;E'!L58+CES!L58+LLT!L58+GB!L58</f>
        <v>12793.393333333333</v>
      </c>
      <c r="M58" s="13" t="s">
        <v>455</v>
      </c>
      <c r="N58" s="7">
        <f t="shared" si="36"/>
        <v>0</v>
      </c>
      <c r="O58" s="7">
        <f t="shared" si="37"/>
        <v>154459.48000000004</v>
      </c>
      <c r="P58" s="7">
        <f t="shared" si="4"/>
        <v>154459.48000000004</v>
      </c>
      <c r="Q58" s="7">
        <f>CEO!Q58+CS!Q58+CFO!Q58+LLA!Q58+'C&amp;E'!Q58+CES!Q58+LLT!Q58+GB!Q58</f>
        <v>154459.47999999998</v>
      </c>
      <c r="R58" s="7">
        <f t="shared" si="38"/>
        <v>0</v>
      </c>
      <c r="S58" s="7">
        <v>4612</v>
      </c>
      <c r="T58" s="7">
        <f>CEO!T58+CS!T58+CFO!T58+LLA!T58+'C&amp;E'!T58+CES!T58+LLT!T58+GB!T58</f>
        <v>41405.626695324601</v>
      </c>
      <c r="U58" s="7">
        <f t="shared" si="7"/>
        <v>200477.10669532459</v>
      </c>
      <c r="V58" s="7">
        <f t="shared" si="6"/>
        <v>46017.62669532455</v>
      </c>
      <c r="W58" s="7"/>
      <c r="X58" s="7">
        <f>CEO!Q58+CS!Q58+CFO!Q58+LLA!Q58+'C&amp;E'!Q58+CES!Q58+LLT!Q58+GB!Q58</f>
        <v>154459.47999999998</v>
      </c>
      <c r="Y58" s="7">
        <f t="shared" si="39"/>
        <v>0</v>
      </c>
      <c r="Z58" s="7">
        <v>154459.97320104929</v>
      </c>
      <c r="AA58" s="7">
        <f t="shared" si="40"/>
        <v>161719.5919414986</v>
      </c>
      <c r="AC58" s="295">
        <f>Q58-Z58</f>
        <v>-0.49320104930666275</v>
      </c>
    </row>
    <row r="59" spans="1:29" x14ac:dyDescent="0.3">
      <c r="A59" s="7">
        <f>CEO!A59+CS!A59+CFO!A59+LLA!A59+'C&amp;E'!A59+CES!A59+LLT!A59+GB!A59</f>
        <v>0</v>
      </c>
      <c r="B59" s="7">
        <f>CEO!B59+CS!B59+CFO!B59+LLA!B59+'C&amp;E'!B59+CES!B59+LLT!B59+GB!B59</f>
        <v>0</v>
      </c>
      <c r="C59" s="7">
        <f>CEO!C59+CS!C59+CFO!C59+LLA!C59+'C&amp;E'!C59+CES!C59+LLT!C59+GB!C59</f>
        <v>0</v>
      </c>
      <c r="D59" s="7">
        <f>CEO!D59+CS!D59+CFO!D59+LLA!D59+'C&amp;E'!D59+CES!D59+LLT!D59+GB!D59</f>
        <v>0</v>
      </c>
      <c r="E59" s="7">
        <f>CEO!E59+CS!E59+CFO!E59+LLA!E59+'C&amp;E'!E59+CES!E59+LLT!E59+GB!E59</f>
        <v>0</v>
      </c>
      <c r="F59" s="7">
        <f>CEO!F59+CS!F59+CFO!F59+LLA!F59+'C&amp;E'!F59+CES!F59+LLT!F59+GB!F59</f>
        <v>0</v>
      </c>
      <c r="G59" s="7">
        <f>CEO!G59+CS!G59+CFO!G59+LLA!G59+'C&amp;E'!G59+CES!G59+LLT!G59+GB!G59</f>
        <v>0</v>
      </c>
      <c r="H59" s="7">
        <f>CEO!H59+CS!H59+CFO!H59+LLA!H59+'C&amp;E'!H59+CES!H59+LLT!H59+GB!H59</f>
        <v>0</v>
      </c>
      <c r="I59" s="7">
        <f>CEO!I59+CS!I59+CFO!I59+LLA!I59+'C&amp;E'!I59+CES!I59+LLT!I59+GB!I59</f>
        <v>0</v>
      </c>
      <c r="J59" s="7">
        <f>CEO!J59+CS!J59+CFO!J59+LLA!J59+'C&amp;E'!J59+CES!J59+LLT!J59+GB!J59</f>
        <v>0</v>
      </c>
      <c r="K59" s="7">
        <f>CEO!K59+CS!K59+CFO!K59+LLA!K59+'C&amp;E'!K59+CES!K59+LLT!K59+GB!K59</f>
        <v>0</v>
      </c>
      <c r="L59" s="7">
        <f>CEO!L59+CS!L59+CFO!L59+LLA!L59+'C&amp;E'!L59+CES!L59+LLT!L59+GB!L59</f>
        <v>0</v>
      </c>
      <c r="M59" s="13" t="s">
        <v>456</v>
      </c>
      <c r="N59" s="7">
        <f t="shared" si="36"/>
        <v>0</v>
      </c>
      <c r="O59" s="7">
        <f t="shared" si="37"/>
        <v>0</v>
      </c>
      <c r="P59" s="7">
        <f t="shared" si="4"/>
        <v>0</v>
      </c>
      <c r="Q59" s="7">
        <f>CEO!Q59+CS!Q59+CFO!Q59+LLA!Q59+'C&amp;E'!Q59+CES!Q59+LLT!Q59+GB!Q59</f>
        <v>0</v>
      </c>
      <c r="R59" s="7">
        <f t="shared" si="38"/>
        <v>0</v>
      </c>
      <c r="S59" s="7">
        <v>0</v>
      </c>
      <c r="T59" s="7">
        <f>CEO!T59+CS!T59+CFO!T59+LLA!T59+'C&amp;E'!T59+CES!T59+LLT!T59+GB!T59</f>
        <v>2727.395</v>
      </c>
      <c r="U59" s="7">
        <f t="shared" si="7"/>
        <v>2727.395</v>
      </c>
      <c r="V59" s="7">
        <f t="shared" si="6"/>
        <v>2727.395</v>
      </c>
      <c r="W59" s="7"/>
      <c r="X59" s="7">
        <f>CEO!Q59+CS!Q59+CFO!Q59+LLA!Q59+'C&amp;E'!Q59+CES!Q59+LLT!Q59+GB!Q59</f>
        <v>0</v>
      </c>
      <c r="Y59" s="7">
        <f t="shared" si="39"/>
        <v>0</v>
      </c>
      <c r="Z59" s="7">
        <v>0</v>
      </c>
      <c r="AA59" s="7">
        <f t="shared" si="40"/>
        <v>0</v>
      </c>
      <c r="AC59" s="295">
        <f t="shared" si="31"/>
        <v>0</v>
      </c>
    </row>
    <row r="60" spans="1:29" x14ac:dyDescent="0.3">
      <c r="A60" s="7">
        <f>CEO!A60+CS!A60+CFO!A60+LLA!A60+'C&amp;E'!A60+CES!A60+LLT!A60+GB!A60</f>
        <v>3406</v>
      </c>
      <c r="B60" s="7">
        <f>CEO!B60+CS!B60+CFO!B60+LLA!B60+'C&amp;E'!B60+CES!B60+LLT!B60+GB!B60</f>
        <v>3406</v>
      </c>
      <c r="C60" s="7">
        <f>CEO!C60+CS!C60+CFO!C60+LLA!C60+'C&amp;E'!C60+CES!C60+LLT!C60+GB!C60</f>
        <v>3406</v>
      </c>
      <c r="D60" s="7">
        <f>CEO!D60+CS!D60+CFO!D60+LLA!D60+'C&amp;E'!D60+CES!D60+LLT!D60+GB!D60</f>
        <v>3406</v>
      </c>
      <c r="E60" s="7">
        <f>CEO!E60+CS!E60+CFO!E60+LLA!E60+'C&amp;E'!E60+CES!E60+LLT!E60+GB!E60</f>
        <v>3406</v>
      </c>
      <c r="F60" s="7">
        <f>CEO!F60+CS!F60+CFO!F60+LLA!F60+'C&amp;E'!F60+CES!F60+LLT!F60+GB!F60</f>
        <v>3406</v>
      </c>
      <c r="G60" s="7">
        <f>CEO!G60+CS!G60+CFO!G60+LLA!G60+'C&amp;E'!G60+CES!G60+LLT!G60+GB!G60</f>
        <v>3406</v>
      </c>
      <c r="H60" s="7">
        <f>CEO!H60+CS!H60+CFO!H60+LLA!H60+'C&amp;E'!H60+CES!H60+LLT!H60+GB!H60</f>
        <v>3406</v>
      </c>
      <c r="I60" s="7">
        <f>CEO!I60+CS!I60+CFO!I60+LLA!I60+'C&amp;E'!I60+CES!I60+LLT!I60+GB!I60</f>
        <v>3406</v>
      </c>
      <c r="J60" s="7">
        <f>CEO!J60+CS!J60+CFO!J60+LLA!J60+'C&amp;E'!J60+CES!J60+LLT!J60+GB!J60</f>
        <v>3406</v>
      </c>
      <c r="K60" s="7">
        <f>CEO!K60+CS!K60+CFO!K60+LLA!K60+'C&amp;E'!K60+CES!K60+LLT!K60+GB!K60</f>
        <v>3406</v>
      </c>
      <c r="L60" s="7">
        <f>CEO!L60+CS!L60+CFO!L60+LLA!L60+'C&amp;E'!L60+CES!L60+LLT!L60+GB!L60</f>
        <v>3406</v>
      </c>
      <c r="M60" s="13" t="s">
        <v>457</v>
      </c>
      <c r="N60" s="7">
        <f t="shared" si="36"/>
        <v>0</v>
      </c>
      <c r="O60" s="7">
        <f t="shared" si="37"/>
        <v>40872</v>
      </c>
      <c r="P60" s="7">
        <f t="shared" si="4"/>
        <v>40872</v>
      </c>
      <c r="Q60" s="7">
        <f>CEO!Q60+CS!Q60+CFO!Q60+LLA!Q60+'C&amp;E'!Q60+CES!Q60+LLT!Q60+GB!Q60</f>
        <v>40872</v>
      </c>
      <c r="R60" s="7">
        <f t="shared" si="38"/>
        <v>0</v>
      </c>
      <c r="S60" s="7">
        <v>0</v>
      </c>
      <c r="T60" s="7">
        <f>CEO!T60+CS!T60+CFO!T60+LLA!T60+'C&amp;E'!T60+CES!T60+LLT!T60+GB!T60</f>
        <v>0</v>
      </c>
      <c r="U60" s="7">
        <f t="shared" si="7"/>
        <v>40872</v>
      </c>
      <c r="V60" s="7">
        <f t="shared" si="6"/>
        <v>0</v>
      </c>
      <c r="W60" s="7"/>
      <c r="X60" s="7">
        <f>CEO!Q60+CS!Q60+CFO!Q60+LLA!Q60+'C&amp;E'!Q60+CES!Q60+LLT!Q60+GB!Q60</f>
        <v>40872</v>
      </c>
      <c r="Y60" s="7">
        <f t="shared" si="39"/>
        <v>0</v>
      </c>
      <c r="Z60" s="7">
        <v>40872</v>
      </c>
      <c r="AA60" s="7">
        <f t="shared" si="40"/>
        <v>42792.983999999997</v>
      </c>
      <c r="AC60" s="295">
        <f t="shared" si="31"/>
        <v>0</v>
      </c>
    </row>
    <row r="61" spans="1:29" x14ac:dyDescent="0.3">
      <c r="A61" s="7">
        <f>CEO!A61+CS!A61+CFO!A61+LLA!A61+'C&amp;E'!A61+CES!A61+LLT!A61+GB!A61</f>
        <v>9720.2000000000007</v>
      </c>
      <c r="B61" s="7">
        <f>CEO!B61+CS!B61+CFO!B61+LLA!B61+'C&amp;E'!B61+CES!B61+LLT!B61+GB!B61</f>
        <v>9720.2000000000007</v>
      </c>
      <c r="C61" s="7">
        <f>CEO!C61+CS!C61+CFO!C61+LLA!C61+'C&amp;E'!C61+CES!C61+LLT!C61+GB!C61</f>
        <v>9720.2000000000007</v>
      </c>
      <c r="D61" s="7">
        <f>CEO!D61+CS!D61+CFO!D61+LLA!D61+'C&amp;E'!D61+CES!D61+LLT!D61+GB!D61</f>
        <v>9720.2000000000007</v>
      </c>
      <c r="E61" s="7">
        <f>CEO!E61+CS!E61+CFO!E61+LLA!E61+'C&amp;E'!E61+CES!E61+LLT!E61+GB!E61</f>
        <v>9720.2000000000007</v>
      </c>
      <c r="F61" s="7">
        <f>CEO!F61+CS!F61+CFO!F61+LLA!F61+'C&amp;E'!F61+CES!F61+LLT!F61+GB!F61</f>
        <v>9720.2000000000007</v>
      </c>
      <c r="G61" s="7">
        <f>CEO!G61+CS!G61+CFO!G61+LLA!G61+'C&amp;E'!G61+CES!G61+LLT!G61+GB!G61</f>
        <v>9720.2000000000007</v>
      </c>
      <c r="H61" s="7">
        <f>CEO!H61+CS!H61+CFO!H61+LLA!H61+'C&amp;E'!H61+CES!H61+LLT!H61+GB!H61</f>
        <v>9720.2000000000007</v>
      </c>
      <c r="I61" s="7">
        <f>CEO!I61+CS!I61+CFO!I61+LLA!I61+'C&amp;E'!I61+CES!I61+LLT!I61+GB!I61</f>
        <v>9720.2000000000007</v>
      </c>
      <c r="J61" s="7">
        <f>CEO!J61+CS!J61+CFO!J61+LLA!J61+'C&amp;E'!J61+CES!J61+LLT!J61+GB!J61</f>
        <v>9720.2000000000007</v>
      </c>
      <c r="K61" s="7">
        <f>CEO!K61+CS!K61+CFO!K61+LLA!K61+'C&amp;E'!K61+CES!K61+LLT!K61+GB!K61</f>
        <v>9720.2000000000007</v>
      </c>
      <c r="L61" s="7">
        <f>CEO!L61+CS!L61+CFO!L61+LLA!L61+'C&amp;E'!L61+CES!L61+LLT!L61+GB!L61</f>
        <v>9722.2000000000007</v>
      </c>
      <c r="M61" s="13" t="s">
        <v>458</v>
      </c>
      <c r="N61" s="7">
        <f t="shared" si="36"/>
        <v>0</v>
      </c>
      <c r="O61" s="7">
        <f t="shared" si="37"/>
        <v>116644.39999999998</v>
      </c>
      <c r="P61" s="7">
        <f t="shared" si="4"/>
        <v>116644.39999999998</v>
      </c>
      <c r="Q61" s="7">
        <f>CEO!Q61+CS!Q61+CFO!Q61+LLA!Q61+'C&amp;E'!Q61+CES!Q61+LLT!Q61+GB!Q61</f>
        <v>116644.39999999998</v>
      </c>
      <c r="R61" s="7">
        <f t="shared" si="38"/>
        <v>0</v>
      </c>
      <c r="S61" s="7">
        <v>0</v>
      </c>
      <c r="T61" s="7">
        <f>CEO!T61+CS!T61+CFO!T61+LLA!T61+'C&amp;E'!T61+CES!T61+LLT!T61+GB!T61</f>
        <v>0</v>
      </c>
      <c r="U61" s="7">
        <f t="shared" si="7"/>
        <v>116644.39999999998</v>
      </c>
      <c r="V61" s="7">
        <f t="shared" si="6"/>
        <v>0</v>
      </c>
      <c r="W61" s="7"/>
      <c r="X61" s="7">
        <f>CEO!Q61+CS!Q61+CFO!Q61+LLA!Q61+'C&amp;E'!Q61+CES!Q61+LLT!Q61+GB!Q61</f>
        <v>116644.39999999998</v>
      </c>
      <c r="Y61" s="7">
        <f t="shared" si="39"/>
        <v>0</v>
      </c>
      <c r="Z61" s="7">
        <v>116644.6008</v>
      </c>
      <c r="AA61" s="7">
        <f t="shared" si="40"/>
        <v>122126.89703759999</v>
      </c>
      <c r="AC61" s="295">
        <f t="shared" si="31"/>
        <v>-0.20080000002053566</v>
      </c>
    </row>
    <row r="62" spans="1:29" x14ac:dyDescent="0.3">
      <c r="A62" s="7">
        <f>CEO!A62+CS!A62+CFO!A62+LLA!A62+'C&amp;E'!A62+CES!A62+LLT!A62+GB!A62</f>
        <v>5335.4204</v>
      </c>
      <c r="B62" s="7">
        <f>CEO!B62+CS!B62+CFO!B62+LLA!B62+'C&amp;E'!B62+CES!B62+LLT!B62+GB!B62</f>
        <v>5335.4204</v>
      </c>
      <c r="C62" s="7">
        <f>CEO!C62+CS!C62+CFO!C62+LLA!C62+'C&amp;E'!C62+CES!C62+LLT!C62+GB!C62</f>
        <v>5335.4204</v>
      </c>
      <c r="D62" s="7">
        <f>CEO!D62+CS!D62+CFO!D62+LLA!D62+'C&amp;E'!D62+CES!D62+LLT!D62+GB!D62</f>
        <v>5335.4204</v>
      </c>
      <c r="E62" s="7">
        <f>CEO!E62+CS!E62+CFO!E62+LLA!E62+'C&amp;E'!E62+CES!E62+LLT!E62+GB!E62</f>
        <v>5335.4204</v>
      </c>
      <c r="F62" s="7">
        <f>CEO!F62+CS!F62+CFO!F62+LLA!F62+'C&amp;E'!F62+CES!F62+LLT!F62+GB!F62</f>
        <v>5335.4204</v>
      </c>
      <c r="G62" s="7">
        <f>CEO!G62+CS!G62+CFO!G62+LLA!G62+'C&amp;E'!G62+CES!G62+LLT!G62+GB!G62</f>
        <v>5335.4204</v>
      </c>
      <c r="H62" s="7">
        <f>CEO!H62+CS!H62+CFO!H62+LLA!H62+'C&amp;E'!H62+CES!H62+LLT!H62+GB!H62</f>
        <v>5335.4204</v>
      </c>
      <c r="I62" s="7">
        <f>CEO!I62+CS!I62+CFO!I62+LLA!I62+'C&amp;E'!I62+CES!I62+LLT!I62+GB!I62</f>
        <v>50609.727895368</v>
      </c>
      <c r="J62" s="7">
        <f>CEO!J62+CS!J62+CFO!J62+LLA!J62+'C&amp;E'!J62+CES!J62+LLT!J62+GB!J62</f>
        <v>5335.4204</v>
      </c>
      <c r="K62" s="7">
        <f>CEO!K62+CS!K62+CFO!K62+LLA!K62+'C&amp;E'!K62+CES!K62+LLT!K62+GB!K62</f>
        <v>5335.4204</v>
      </c>
      <c r="L62" s="7">
        <f>CEO!L62+CS!L62+CFO!L62+LLA!L62+'C&amp;E'!L62+CES!L62+LLT!L62+GB!L62</f>
        <v>5335.4204</v>
      </c>
      <c r="M62" s="388" t="s">
        <v>459</v>
      </c>
      <c r="N62" s="7">
        <f t="shared" si="36"/>
        <v>0</v>
      </c>
      <c r="O62" s="7">
        <f t="shared" si="37"/>
        <v>109299.35229536801</v>
      </c>
      <c r="P62" s="7">
        <f t="shared" si="4"/>
        <v>109299.35229536801</v>
      </c>
      <c r="Q62" s="7">
        <f>CEO!Q62+CS!Q62+CFO!Q62+LLA!Q62+'C&amp;E'!Q62+CES!Q62+LLT!Q62+GB!Q62</f>
        <v>109299.35229536801</v>
      </c>
      <c r="R62" s="7">
        <f t="shared" si="38"/>
        <v>0</v>
      </c>
      <c r="S62" s="7">
        <v>0</v>
      </c>
      <c r="T62" s="7">
        <f>CEO!T62+CS!T62+CFO!T62+LLA!T62+'C&amp;E'!T62+CES!T62+LLT!T62+GB!T62</f>
        <v>73200.989999999991</v>
      </c>
      <c r="U62" s="7">
        <f t="shared" si="7"/>
        <v>182500.342295368</v>
      </c>
      <c r="V62" s="7">
        <f t="shared" si="6"/>
        <v>73200.989999999991</v>
      </c>
      <c r="W62" s="7"/>
      <c r="X62" s="7">
        <f>CEO!Q62+CS!Q62+CFO!Q62+LLA!Q62+'C&amp;E'!Q62+CES!Q62+LLT!Q62+GB!Q62</f>
        <v>109299.35229536801</v>
      </c>
      <c r="Y62" s="7">
        <f t="shared" si="39"/>
        <v>0</v>
      </c>
      <c r="Z62" s="7">
        <v>109299.35229536801</v>
      </c>
      <c r="AA62" s="7">
        <f t="shared" si="40"/>
        <v>114436.4218532503</v>
      </c>
      <c r="AC62" s="295">
        <f t="shared" si="31"/>
        <v>0</v>
      </c>
    </row>
    <row r="63" spans="1:29" x14ac:dyDescent="0.3">
      <c r="A63" s="11">
        <f>CEO!A63+CS!A63+CFO!A63+LLA!A63+'C&amp;E'!A63+CES!A63+LLT!A63+GB!A63</f>
        <v>13189.08</v>
      </c>
      <c r="B63" s="11">
        <f>CEO!B63+CS!B63+CFO!B63+LLA!B63+'C&amp;E'!B63+CES!B63+LLT!B63+GB!B63</f>
        <v>13189.08</v>
      </c>
      <c r="C63" s="11">
        <f>CEO!C63+CS!C63+CFO!C63+LLA!C63+'C&amp;E'!C63+CES!C63+LLT!C63+GB!C63</f>
        <v>13189.08</v>
      </c>
      <c r="D63" s="11">
        <f>CEO!D63+CS!D63+CFO!D63+LLA!D63+'C&amp;E'!D63+CES!D63+LLT!D63+GB!D63</f>
        <v>13189.08</v>
      </c>
      <c r="E63" s="11">
        <f>CEO!E63+CS!E63+CFO!E63+LLA!E63+'C&amp;E'!E63+CES!E63+LLT!E63+GB!E63</f>
        <v>13189.08</v>
      </c>
      <c r="F63" s="11">
        <f>CEO!F63+CS!F63+CFO!F63+LLA!F63+'C&amp;E'!F63+CES!F63+LLT!F63+GB!F63</f>
        <v>13189.08</v>
      </c>
      <c r="G63" s="11">
        <f>CEO!G63+CS!G63+CFO!G63+LLA!G63+'C&amp;E'!G63+CES!G63+LLT!G63+GB!G63</f>
        <v>13189.08</v>
      </c>
      <c r="H63" s="11">
        <f>CEO!H63+CS!H63+CFO!H63+LLA!H63+'C&amp;E'!H63+CES!H63+LLT!H63+GB!H63</f>
        <v>13189.08</v>
      </c>
      <c r="I63" s="11">
        <f>CEO!I63+CS!I63+CFO!I63+LLA!I63+'C&amp;E'!I63+CES!I63+LLT!I63+GB!I63</f>
        <v>13189.08</v>
      </c>
      <c r="J63" s="11">
        <f>CEO!J63+CS!J63+CFO!J63+LLA!J63+'C&amp;E'!J63+CES!J63+LLT!J63+GB!J63</f>
        <v>13189.08</v>
      </c>
      <c r="K63" s="11">
        <f>CEO!K63+CS!K63+CFO!K63+LLA!K63+'C&amp;E'!K63+CES!K63+LLT!K63+GB!K63</f>
        <v>13189.08</v>
      </c>
      <c r="L63" s="11">
        <f>CEO!L63+CS!L63+CFO!L63+LLA!L63+'C&amp;E'!L63+CES!L63+LLT!L63+GB!L63</f>
        <v>13193.08</v>
      </c>
      <c r="M63" s="388" t="s">
        <v>460</v>
      </c>
      <c r="N63" s="11">
        <f t="shared" si="36"/>
        <v>0</v>
      </c>
      <c r="O63" s="11">
        <f t="shared" si="37"/>
        <v>158272.95999999996</v>
      </c>
      <c r="P63" s="11">
        <f t="shared" si="4"/>
        <v>158272.95999999996</v>
      </c>
      <c r="Q63" s="11">
        <f>CEO!Q63+CS!Q63+CFO!Q63+LLA!Q63+'C&amp;E'!Q63+CES!Q63+LLT!Q63+GB!Q63</f>
        <v>158272.95999999996</v>
      </c>
      <c r="R63" s="11">
        <f t="shared" si="38"/>
        <v>0</v>
      </c>
      <c r="S63" s="11">
        <v>0</v>
      </c>
      <c r="T63" s="11">
        <f>CEO!T63+CS!T63+CFO!T63+LLA!T63+'C&amp;E'!T63+CES!T63+LLT!T63+GB!T63</f>
        <v>166728</v>
      </c>
      <c r="U63" s="11">
        <f t="shared" si="7"/>
        <v>325000.95999999996</v>
      </c>
      <c r="V63" s="11">
        <f t="shared" si="6"/>
        <v>166728</v>
      </c>
      <c r="W63" s="11"/>
      <c r="X63" s="11">
        <f>CEO!Q63+CS!Q63+CFO!Q63+LLA!Q63+'C&amp;E'!Q63+CES!Q63+LLT!Q63+GB!Q63</f>
        <v>158272.95999999996</v>
      </c>
      <c r="Y63" s="11">
        <f t="shared" si="39"/>
        <v>0</v>
      </c>
      <c r="Z63" s="11">
        <v>158272.73513704003</v>
      </c>
      <c r="AA63" s="11">
        <f t="shared" si="40"/>
        <v>165711.5536884809</v>
      </c>
      <c r="AC63" s="295">
        <f t="shared" si="31"/>
        <v>0.22486295993439853</v>
      </c>
    </row>
    <row r="64" spans="1:29" ht="4.95" customHeight="1" thickBot="1" x14ac:dyDescent="0.35">
      <c r="A64" s="89"/>
      <c r="B64" s="89"/>
      <c r="C64" s="89"/>
      <c r="D64" s="90"/>
      <c r="E64" s="91"/>
      <c r="F64" s="91"/>
      <c r="G64" s="91"/>
      <c r="H64" s="91"/>
      <c r="I64" s="91"/>
      <c r="J64" s="91"/>
      <c r="K64" s="91"/>
      <c r="L64" s="91"/>
      <c r="M64" s="13"/>
      <c r="N64" s="91">
        <f t="shared" si="9"/>
        <v>0</v>
      </c>
      <c r="O64" s="91">
        <f t="shared" si="10"/>
        <v>0</v>
      </c>
      <c r="P64" s="91">
        <f t="shared" si="4"/>
        <v>0</v>
      </c>
      <c r="Q64" s="91"/>
      <c r="R64" s="91">
        <f t="shared" si="11"/>
        <v>0</v>
      </c>
      <c r="S64" s="91">
        <v>0</v>
      </c>
      <c r="T64" s="89">
        <f>CEO!T64+CS!T64+CFO!T64+LLA!T64+'C&amp;E'!T64+CES!T64+LLT!T64+GB!T64</f>
        <v>0</v>
      </c>
      <c r="U64" s="89">
        <f t="shared" si="7"/>
        <v>0</v>
      </c>
      <c r="V64" s="89">
        <f t="shared" si="6"/>
        <v>0</v>
      </c>
      <c r="W64" s="89"/>
      <c r="X64" s="91">
        <f>CEO!Q64+CS!Q64+CFO!Q64+LLA!Q64+'C&amp;E'!Q64+CES!Q64+LLT!Q64+GB!Q64</f>
        <v>0</v>
      </c>
      <c r="Y64" s="91">
        <f t="shared" si="12"/>
        <v>0</v>
      </c>
      <c r="Z64" s="91"/>
      <c r="AA64" s="91"/>
      <c r="AC64" s="295">
        <f t="shared" si="31"/>
        <v>0</v>
      </c>
    </row>
    <row r="65" spans="1:29" x14ac:dyDescent="0.3">
      <c r="A65" s="4">
        <f>SUM(A48:A63)</f>
        <v>72338.589821466681</v>
      </c>
      <c r="B65" s="4">
        <f>SUM(B48:B63)</f>
        <v>77583.829821466672</v>
      </c>
      <c r="C65" s="4">
        <f t="shared" ref="C65:L65" si="41">SUM(C48:C63)</f>
        <v>73391.829821466672</v>
      </c>
      <c r="D65" s="4">
        <f t="shared" si="41"/>
        <v>74321.405821466673</v>
      </c>
      <c r="E65" s="4">
        <f t="shared" si="41"/>
        <v>80702.67782146667</v>
      </c>
      <c r="F65" s="4">
        <f t="shared" si="41"/>
        <v>72568.101821466684</v>
      </c>
      <c r="G65" s="4">
        <f t="shared" si="41"/>
        <v>75369.405821466673</v>
      </c>
      <c r="H65" s="4">
        <f t="shared" si="41"/>
        <v>81165.261821466673</v>
      </c>
      <c r="I65" s="4">
        <f t="shared" si="41"/>
        <v>120882.08086599949</v>
      </c>
      <c r="J65" s="4">
        <f t="shared" si="41"/>
        <v>74321.405821466673</v>
      </c>
      <c r="K65" s="4">
        <f t="shared" si="41"/>
        <v>72343.281683389549</v>
      </c>
      <c r="L65" s="4">
        <f t="shared" si="41"/>
        <v>74559.8304940464</v>
      </c>
      <c r="M65" s="13" t="s">
        <v>132</v>
      </c>
      <c r="N65" s="4">
        <f t="shared" ref="N65:O65" si="42">SUM(N48:N63)</f>
        <v>0</v>
      </c>
      <c r="O65" s="4">
        <f t="shared" si="42"/>
        <v>949547.70143663546</v>
      </c>
      <c r="P65" s="4">
        <f t="shared" ref="P65" si="43">SUM(P48:P63)</f>
        <v>949547.70143663546</v>
      </c>
      <c r="Q65" s="4">
        <f>SUM(Q48:Q63)</f>
        <v>949547.95615463529</v>
      </c>
      <c r="R65" s="4">
        <f t="shared" ref="R65:S65" si="44">SUM(R48:R63)</f>
        <v>0.25471799998194911</v>
      </c>
      <c r="S65" s="4">
        <f t="shared" si="44"/>
        <v>83744.000000000015</v>
      </c>
      <c r="T65" s="4">
        <f>CEO!T65+CS!T65+CFO!T65+LLA!T65+'C&amp;E'!T65+CES!T65+LLT!T65+GB!T65</f>
        <v>390222.74440532457</v>
      </c>
      <c r="U65" s="4">
        <f t="shared" si="7"/>
        <v>1423514.7005599597</v>
      </c>
      <c r="V65" s="4">
        <f t="shared" si="6"/>
        <v>473966.99912332429</v>
      </c>
      <c r="W65" s="4"/>
      <c r="X65" s="4">
        <f>CEO!Q65+CS!Q65+CFO!Q65+LLA!Q65+'C&amp;E'!Q65+CES!Q65+LLT!Q65+GB!Q65</f>
        <v>949547.95615463541</v>
      </c>
      <c r="Y65" s="4">
        <f t="shared" si="12"/>
        <v>0</v>
      </c>
      <c r="Z65" s="4">
        <f>SUM(Z48:Z63)</f>
        <v>949548.55421012745</v>
      </c>
      <c r="AA65" s="4">
        <f>SUM(AA48:AA63)</f>
        <v>994177.33625800337</v>
      </c>
      <c r="AC65" s="295">
        <f t="shared" si="31"/>
        <v>-0.59805549215525389</v>
      </c>
    </row>
    <row r="66" spans="1:29" x14ac:dyDescent="0.3">
      <c r="A66" s="81"/>
      <c r="B66" s="81"/>
      <c r="C66" s="81"/>
      <c r="D66" s="82"/>
      <c r="E66" s="86"/>
      <c r="F66" s="86"/>
      <c r="G66" s="86"/>
      <c r="H66" s="86"/>
      <c r="I66" s="86"/>
      <c r="J66" s="86"/>
      <c r="K66" s="86"/>
      <c r="L66" s="86"/>
      <c r="M66" s="80"/>
      <c r="N66" s="86">
        <f t="shared" si="9"/>
        <v>0</v>
      </c>
      <c r="O66" s="86">
        <f t="shared" si="10"/>
        <v>0</v>
      </c>
      <c r="P66" s="86">
        <f t="shared" si="4"/>
        <v>0</v>
      </c>
      <c r="Q66" s="86"/>
      <c r="R66" s="86">
        <f t="shared" si="11"/>
        <v>0</v>
      </c>
      <c r="S66" s="86">
        <v>0</v>
      </c>
      <c r="T66" s="81">
        <f>CEO!T66+CS!T66+CFO!T66+LLA!T66+'C&amp;E'!T66+CES!T66+LLT!T66+GB!T66</f>
        <v>0</v>
      </c>
      <c r="U66" s="81">
        <f t="shared" si="7"/>
        <v>0</v>
      </c>
      <c r="V66" s="81">
        <f t="shared" si="6"/>
        <v>0</v>
      </c>
      <c r="W66" s="81"/>
      <c r="X66" s="86">
        <f>CEO!Q66+CS!Q66+CFO!Q66+LLA!Q66+'C&amp;E'!Q66+CES!Q66+LLT!Q66+GB!Q66</f>
        <v>0</v>
      </c>
      <c r="Y66" s="86">
        <f t="shared" si="12"/>
        <v>0</v>
      </c>
      <c r="Z66" s="86"/>
      <c r="AA66" s="86"/>
    </row>
    <row r="67" spans="1:29" x14ac:dyDescent="0.3">
      <c r="A67" s="8">
        <f>CEO!A67+CS!A67+CFO!A67+LLA!A67+'C&amp;E'!A67+CES!A67+LLT!A67+GB!A67</f>
        <v>0</v>
      </c>
      <c r="B67" s="8">
        <f>CEO!B67+CS!B67+CFO!B67+LLA!B67+'C&amp;E'!B67+CES!B67+LLT!B67+GB!B67</f>
        <v>0</v>
      </c>
      <c r="C67" s="8">
        <f>CEO!C67+CS!C67+CFO!C67+LLA!C67+'C&amp;E'!C67+CES!C67+LLT!C67+GB!C67</f>
        <v>57005.96</v>
      </c>
      <c r="D67" s="8">
        <f>CEO!D67+CS!D67+CFO!D67+LLA!D67+'C&amp;E'!D67+CES!D67+LLT!D67+GB!D67</f>
        <v>0</v>
      </c>
      <c r="E67" s="8">
        <f>CEO!E67+CS!E67+CFO!E67+LLA!E67+'C&amp;E'!E67+CES!E67+LLT!E67+GB!E67</f>
        <v>0</v>
      </c>
      <c r="F67" s="8">
        <f>CEO!F67+CS!F67+CFO!F67+LLA!F67+'C&amp;E'!F67+CES!F67+LLT!F67+GB!F67</f>
        <v>152594.04</v>
      </c>
      <c r="G67" s="8">
        <f>CEO!G67+CS!G67+CFO!G67+LLA!G67+'C&amp;E'!G67+CES!G67+LLT!G67+GB!G67</f>
        <v>0</v>
      </c>
      <c r="H67" s="8">
        <f>CEO!H67+CS!H67+CFO!H67+LLA!H67+'C&amp;E'!H67+CES!H67+LLT!H67+GB!H67</f>
        <v>0</v>
      </c>
      <c r="I67" s="8">
        <f>CEO!I67+CS!I67+CFO!I67+LLA!I67+'C&amp;E'!I67+CES!I67+LLT!I67+GB!I67</f>
        <v>0</v>
      </c>
      <c r="J67" s="8">
        <f>CEO!J67+CS!J67+CFO!J67+LLA!J67+'C&amp;E'!J67+CES!J67+LLT!J67+GB!J67</f>
        <v>0</v>
      </c>
      <c r="K67" s="8">
        <f>CEO!K67+CS!K67+CFO!K67+LLA!K67+'C&amp;E'!K67+CES!K67+LLT!K67+GB!K67</f>
        <v>0</v>
      </c>
      <c r="L67" s="8">
        <f>CEO!L67+CS!L67+CFO!L67+LLA!L67+'C&amp;E'!L67+CES!L67+LLT!L67+GB!L67</f>
        <v>0</v>
      </c>
      <c r="M67" s="388" t="s">
        <v>461</v>
      </c>
      <c r="N67" s="8">
        <f t="shared" ref="N67:N89" si="45">SUM(0)</f>
        <v>0</v>
      </c>
      <c r="O67" s="8">
        <f t="shared" ref="O67:O89" si="46">SUM(A67:L67)</f>
        <v>209600</v>
      </c>
      <c r="P67" s="8">
        <f t="shared" si="4"/>
        <v>209600</v>
      </c>
      <c r="Q67" s="8">
        <f>CEO!Q67+CS!Q67+CFO!Q67+LLA!Q67+'C&amp;E'!Q67+CES!Q67+LLT!Q67+GB!Q67</f>
        <v>209600</v>
      </c>
      <c r="R67" s="8">
        <f t="shared" ref="R67:R89" si="47">Q67-P67</f>
        <v>0</v>
      </c>
      <c r="S67" s="8">
        <v>0</v>
      </c>
      <c r="T67" s="8">
        <f>CEO!T67+CS!T67+CFO!T67+LLA!T67+'C&amp;E'!T67+CES!T67+LLT!T67+GB!T67</f>
        <v>0</v>
      </c>
      <c r="U67" s="8">
        <f t="shared" si="7"/>
        <v>209600</v>
      </c>
      <c r="V67" s="8">
        <f t="shared" si="6"/>
        <v>0</v>
      </c>
      <c r="W67" s="8"/>
      <c r="X67" s="8">
        <f>CEO!Q67+CS!Q67+CFO!Q67+LLA!Q67+'C&amp;E'!Q67+CES!Q67+LLT!Q67+GB!Q67</f>
        <v>209600</v>
      </c>
      <c r="Y67" s="8">
        <f t="shared" ref="Y67:Y89" si="48">X67-Q67</f>
        <v>0</v>
      </c>
      <c r="Z67" s="8">
        <v>209600</v>
      </c>
      <c r="AA67" s="8">
        <f t="shared" ref="AA67:AA89" si="49">Z67*(1+AA$3)</f>
        <v>219451.19999999998</v>
      </c>
      <c r="AC67" s="295">
        <f t="shared" si="31"/>
        <v>0</v>
      </c>
    </row>
    <row r="68" spans="1:29" x14ac:dyDescent="0.3">
      <c r="A68" s="7">
        <f>CEO!A68+CS!A68+CFO!A68+LLA!A68+'C&amp;E'!A68+CES!A68+LLT!A68+GB!A68</f>
        <v>20954.6897796333</v>
      </c>
      <c r="B68" s="7">
        <f>CEO!B68+CS!B68+CFO!B68+LLA!B68+'C&amp;E'!B68+CES!B68+LLT!B68+GB!B68</f>
        <v>20954.6897796333</v>
      </c>
      <c r="C68" s="7">
        <f>CEO!C68+CS!C68+CFO!C68+LLA!C68+'C&amp;E'!C68+CES!C68+LLT!C68+GB!C68</f>
        <v>20954.6897796333</v>
      </c>
      <c r="D68" s="7">
        <f>CEO!D68+CS!D68+CFO!D68+LLA!D68+'C&amp;E'!D68+CES!D68+LLT!D68+GB!D68</f>
        <v>20954.6897796333</v>
      </c>
      <c r="E68" s="7">
        <f>CEO!E68+CS!E68+CFO!E68+LLA!E68+'C&amp;E'!E68+CES!E68+LLT!E68+GB!E68</f>
        <v>20954.6897796333</v>
      </c>
      <c r="F68" s="7">
        <f>CEO!F68+CS!F68+CFO!F68+LLA!F68+'C&amp;E'!F68+CES!F68+LLT!F68+GB!F68</f>
        <v>20954.6897796333</v>
      </c>
      <c r="G68" s="7">
        <f>CEO!G68+CS!G68+CFO!G68+LLA!G68+'C&amp;E'!G68+CES!G68+LLT!G68+GB!G68</f>
        <v>20954.6897796333</v>
      </c>
      <c r="H68" s="7">
        <f>CEO!H68+CS!H68+CFO!H68+LLA!H68+'C&amp;E'!H68+CES!H68+LLT!H68+GB!H68</f>
        <v>20954.6897796333</v>
      </c>
      <c r="I68" s="7">
        <f>CEO!I68+CS!I68+CFO!I68+LLA!I68+'C&amp;E'!I68+CES!I68+LLT!I68+GB!I68</f>
        <v>20954.6897796333</v>
      </c>
      <c r="J68" s="7">
        <f>CEO!J68+CS!J68+CFO!J68+LLA!J68+'C&amp;E'!J68+CES!J68+LLT!J68+GB!J68</f>
        <v>20954.6897796333</v>
      </c>
      <c r="K68" s="7">
        <f>CEO!K68+CS!K68+CFO!K68+LLA!K68+'C&amp;E'!K68+CES!K68+LLT!K68+GB!K68</f>
        <v>20954.6897796333</v>
      </c>
      <c r="L68" s="7">
        <f>CEO!L68+CS!L68+CFO!L68+LLA!L68+'C&amp;E'!L68+CES!L68+LLT!L68+GB!L68</f>
        <v>20954.6897796333</v>
      </c>
      <c r="M68" s="13" t="s">
        <v>462</v>
      </c>
      <c r="N68" s="7">
        <f t="shared" si="45"/>
        <v>0</v>
      </c>
      <c r="O68" s="7">
        <f t="shared" si="46"/>
        <v>251456.27735559965</v>
      </c>
      <c r="P68" s="7">
        <f t="shared" si="4"/>
        <v>251456.27735559965</v>
      </c>
      <c r="Q68" s="7">
        <f>CEO!Q68+CS!Q68+CFO!Q68+LLA!Q68+'C&amp;E'!Q68+CES!Q68+LLT!Q68+GB!Q68</f>
        <v>251456.27735559965</v>
      </c>
      <c r="R68" s="7">
        <f t="shared" si="47"/>
        <v>0</v>
      </c>
      <c r="S68" s="7">
        <v>-30941</v>
      </c>
      <c r="T68" s="7">
        <f>CEO!T68+CS!T68+CFO!T68+LLA!T68+'C&amp;E'!T68+CES!T68+LLT!T68+GB!T68</f>
        <v>0</v>
      </c>
      <c r="U68" s="7">
        <f t="shared" si="7"/>
        <v>220515.27735559965</v>
      </c>
      <c r="V68" s="7">
        <f t="shared" si="6"/>
        <v>-30941</v>
      </c>
      <c r="W68" s="7"/>
      <c r="X68" s="7">
        <f>CEO!Q68+CS!Q68+CFO!Q68+LLA!Q68+'C&amp;E'!Q68+CES!Q68+LLT!Q68+GB!Q68</f>
        <v>251456.27735559965</v>
      </c>
      <c r="Y68" s="7">
        <f t="shared" si="48"/>
        <v>0</v>
      </c>
      <c r="Z68" s="7">
        <v>251456.27735559997</v>
      </c>
      <c r="AA68" s="7">
        <f t="shared" si="49"/>
        <v>263274.72239131317</v>
      </c>
      <c r="AC68" s="295">
        <f t="shared" si="31"/>
        <v>-3.2014213502407074E-10</v>
      </c>
    </row>
    <row r="69" spans="1:29" x14ac:dyDescent="0.3">
      <c r="A69" s="7">
        <f>CEO!A69+CS!A69+CFO!A69+LLA!A69+'C&amp;E'!A69+CES!A69+LLT!A69+GB!A69</f>
        <v>3492.9839999999999</v>
      </c>
      <c r="B69" s="7">
        <f>CEO!B69+CS!B69+CFO!B69+LLA!B69+'C&amp;E'!B69+CES!B69+LLT!B69+GB!B69</f>
        <v>3492.9839999999999</v>
      </c>
      <c r="C69" s="7">
        <f>CEO!C69+CS!C69+CFO!C69+LLA!C69+'C&amp;E'!C69+CES!C69+LLT!C69+GB!C69</f>
        <v>3492.9839999999999</v>
      </c>
      <c r="D69" s="7">
        <f>CEO!D69+CS!D69+CFO!D69+LLA!D69+'C&amp;E'!D69+CES!D69+LLT!D69+GB!D69</f>
        <v>3492.9839999999999</v>
      </c>
      <c r="E69" s="7">
        <f>CEO!E69+CS!E69+CFO!E69+LLA!E69+'C&amp;E'!E69+CES!E69+LLT!E69+GB!E69</f>
        <v>3492.9839999999999</v>
      </c>
      <c r="F69" s="7">
        <f>CEO!F69+CS!F69+CFO!F69+LLA!F69+'C&amp;E'!F69+CES!F69+LLT!F69+GB!F69</f>
        <v>213096.984</v>
      </c>
      <c r="G69" s="7">
        <f>CEO!G69+CS!G69+CFO!G69+LLA!G69+'C&amp;E'!G69+CES!G69+LLT!G69+GB!G69</f>
        <v>3492.9839999999999</v>
      </c>
      <c r="H69" s="7">
        <f>CEO!H69+CS!H69+CFO!H69+LLA!H69+'C&amp;E'!H69+CES!H69+LLT!H69+GB!H69</f>
        <v>3492.9839999999999</v>
      </c>
      <c r="I69" s="7">
        <f>CEO!I69+CS!I69+CFO!I69+LLA!I69+'C&amp;E'!I69+CES!I69+LLT!I69+GB!I69</f>
        <v>3492.9839999999999</v>
      </c>
      <c r="J69" s="7">
        <f>CEO!J69+CS!J69+CFO!J69+LLA!J69+'C&amp;E'!J69+CES!J69+LLT!J69+GB!J69</f>
        <v>3492.9839999999999</v>
      </c>
      <c r="K69" s="7">
        <f>CEO!K69+CS!K69+CFO!K69+LLA!K69+'C&amp;E'!K69+CES!K69+LLT!K69+GB!K69</f>
        <v>3492.9839999999999</v>
      </c>
      <c r="L69" s="7">
        <f>CEO!L69+CS!L69+CFO!L69+LLA!L69+'C&amp;E'!L69+CES!L69+LLT!L69+GB!L69</f>
        <v>3492.9839999999999</v>
      </c>
      <c r="M69" s="13" t="s">
        <v>463</v>
      </c>
      <c r="N69" s="7">
        <f t="shared" si="45"/>
        <v>0</v>
      </c>
      <c r="O69" s="7">
        <f t="shared" si="46"/>
        <v>251519.80799999996</v>
      </c>
      <c r="P69" s="7">
        <f t="shared" si="4"/>
        <v>251519.80799999996</v>
      </c>
      <c r="Q69" s="7">
        <f>CEO!Q69+CS!Q69+CFO!Q69+LLA!Q69+'C&amp;E'!Q69+CES!Q69+LLT!Q69+GB!Q69</f>
        <v>251519.80799999999</v>
      </c>
      <c r="R69" s="7">
        <f t="shared" si="47"/>
        <v>0</v>
      </c>
      <c r="S69" s="7">
        <v>0</v>
      </c>
      <c r="T69" s="7">
        <f>CEO!T69+CS!T69+CFO!T69+LLA!T69+'C&amp;E'!T69+CES!T69+LLT!T69+GB!T69</f>
        <v>0</v>
      </c>
      <c r="U69" s="7">
        <f t="shared" si="7"/>
        <v>251519.80799999999</v>
      </c>
      <c r="V69" s="7">
        <f t="shared" si="6"/>
        <v>0</v>
      </c>
      <c r="W69" s="7"/>
      <c r="X69" s="7">
        <f>CEO!Q69+CS!Q69+CFO!Q69+LLA!Q69+'C&amp;E'!Q69+CES!Q69+LLT!Q69+GB!Q69</f>
        <v>251519.80799999999</v>
      </c>
      <c r="Y69" s="7">
        <f t="shared" si="48"/>
        <v>0</v>
      </c>
      <c r="Z69" s="7">
        <v>251520</v>
      </c>
      <c r="AA69" s="7">
        <f t="shared" si="49"/>
        <v>263341.44</v>
      </c>
      <c r="AC69" s="295">
        <f t="shared" si="31"/>
        <v>-0.19200000001001172</v>
      </c>
    </row>
    <row r="70" spans="1:29" x14ac:dyDescent="0.3">
      <c r="A70" s="7">
        <f>CEO!A70+CS!A70+CFO!A70+LLA!A70+'C&amp;E'!A70+CES!A70+LLT!A70+GB!A70</f>
        <v>0</v>
      </c>
      <c r="B70" s="7">
        <f>CEO!B70+CS!B70+CFO!B70+LLA!B70+'C&amp;E'!B70+CES!B70+LLT!B70+GB!B70</f>
        <v>0</v>
      </c>
      <c r="C70" s="7">
        <f>CEO!C70+CS!C70+CFO!C70+LLA!C70+'C&amp;E'!C70+CES!C70+LLT!C70+GB!C70</f>
        <v>0</v>
      </c>
      <c r="D70" s="7">
        <f>CEO!D70+CS!D70+CFO!D70+LLA!D70+'C&amp;E'!D70+CES!D70+LLT!D70+GB!D70</f>
        <v>0</v>
      </c>
      <c r="E70" s="7">
        <f>CEO!E70+CS!E70+CFO!E70+LLA!E70+'C&amp;E'!E70+CES!E70+LLT!E70+GB!E70</f>
        <v>0</v>
      </c>
      <c r="F70" s="7">
        <f>CEO!F70+CS!F70+CFO!F70+LLA!F70+'C&amp;E'!F70+CES!F70+LLT!F70+GB!F70</f>
        <v>0</v>
      </c>
      <c r="G70" s="7">
        <f>CEO!G70+CS!G70+CFO!G70+LLA!G70+'C&amp;E'!G70+CES!G70+LLT!G70+GB!G70</f>
        <v>0</v>
      </c>
      <c r="H70" s="7">
        <f>CEO!H70+CS!H70+CFO!H70+LLA!H70+'C&amp;E'!H70+CES!H70+LLT!H70+GB!H70</f>
        <v>0</v>
      </c>
      <c r="I70" s="7">
        <f>CEO!I70+CS!I70+CFO!I70+LLA!I70+'C&amp;E'!I70+CES!I70+LLT!I70+GB!I70</f>
        <v>0</v>
      </c>
      <c r="J70" s="7">
        <f>CEO!J70+CS!J70+CFO!J70+LLA!J70+'C&amp;E'!J70+CES!J70+LLT!J70+GB!J70</f>
        <v>0</v>
      </c>
      <c r="K70" s="7">
        <f>CEO!K70+CS!K70+CFO!K70+LLA!K70+'C&amp;E'!K70+CES!K70+LLT!K70+GB!K70</f>
        <v>0</v>
      </c>
      <c r="L70" s="7">
        <f>CEO!L70+CS!L70+CFO!L70+LLA!L70+'C&amp;E'!L70+CES!L70+LLT!L70+GB!L70</f>
        <v>0</v>
      </c>
      <c r="M70" s="13" t="s">
        <v>464</v>
      </c>
      <c r="N70" s="7">
        <f t="shared" si="45"/>
        <v>0</v>
      </c>
      <c r="O70" s="7">
        <f t="shared" si="46"/>
        <v>0</v>
      </c>
      <c r="P70" s="7">
        <f t="shared" si="4"/>
        <v>0</v>
      </c>
      <c r="Q70" s="7">
        <f>CEO!Q70+CS!Q70+CFO!Q70+LLA!Q70+'C&amp;E'!Q70+CES!Q70+LLT!Q70+GB!Q70</f>
        <v>0</v>
      </c>
      <c r="R70" s="7">
        <f t="shared" si="47"/>
        <v>0</v>
      </c>
      <c r="S70" s="7">
        <v>0</v>
      </c>
      <c r="T70" s="7">
        <f>CEO!T70+CS!T70+CFO!T70+LLA!T70+'C&amp;E'!T70+CES!T70+LLT!T70+GB!T70</f>
        <v>0</v>
      </c>
      <c r="U70" s="7">
        <f t="shared" si="7"/>
        <v>0</v>
      </c>
      <c r="V70" s="7">
        <f t="shared" si="6"/>
        <v>0</v>
      </c>
      <c r="W70" s="7"/>
      <c r="X70" s="7">
        <f>CEO!Q70+CS!Q70+CFO!Q70+LLA!Q70+'C&amp;E'!Q70+CES!Q70+LLT!Q70+GB!Q70</f>
        <v>0</v>
      </c>
      <c r="Y70" s="7">
        <f t="shared" si="48"/>
        <v>0</v>
      </c>
      <c r="Z70" s="7">
        <v>0</v>
      </c>
      <c r="AA70" s="7">
        <f t="shared" si="49"/>
        <v>0</v>
      </c>
      <c r="AC70" s="295">
        <f t="shared" si="31"/>
        <v>0</v>
      </c>
    </row>
    <row r="71" spans="1:29" x14ac:dyDescent="0.3">
      <c r="A71" s="7">
        <f>CEO!A71+CS!A71+CFO!A71+LLA!A71+'C&amp;E'!A71+CES!A71+LLT!A71+GB!A71</f>
        <v>108537.92466666667</v>
      </c>
      <c r="B71" s="7">
        <f>CEO!B71+CS!B71+CFO!B71+LLA!B71+'C&amp;E'!B71+CES!B71+LLT!B71+GB!B71</f>
        <v>108537.92466666667</v>
      </c>
      <c r="C71" s="7">
        <f>CEO!C71+CS!C71+CFO!C71+LLA!C71+'C&amp;E'!C71+CES!C71+LLT!C71+GB!C71</f>
        <v>108537.92466666667</v>
      </c>
      <c r="D71" s="7">
        <f>CEO!D71+CS!D71+CFO!D71+LLA!D71+'C&amp;E'!D71+CES!D71+LLT!D71+GB!D71</f>
        <v>108537.92466666667</v>
      </c>
      <c r="E71" s="7">
        <f>CEO!E71+CS!E71+CFO!E71+LLA!E71+'C&amp;E'!E71+CES!E71+LLT!E71+GB!E71</f>
        <v>108537.92466666667</v>
      </c>
      <c r="F71" s="7">
        <f>CEO!F71+CS!F71+CFO!F71+LLA!F71+'C&amp;E'!F71+CES!F71+LLT!F71+GB!F71</f>
        <v>108537.92466666667</v>
      </c>
      <c r="G71" s="7">
        <f>CEO!G71+CS!G71+CFO!G71+LLA!G71+'C&amp;E'!G71+CES!G71+LLT!G71+GB!G71</f>
        <v>108537.92466666667</v>
      </c>
      <c r="H71" s="7">
        <f>CEO!H71+CS!H71+CFO!H71+LLA!H71+'C&amp;E'!H71+CES!H71+LLT!H71+GB!H71</f>
        <v>108537.92466666667</v>
      </c>
      <c r="I71" s="7">
        <f>CEO!I71+CS!I71+CFO!I71+LLA!I71+'C&amp;E'!I71+CES!I71+LLT!I71+GB!I71</f>
        <v>108537.92466666667</v>
      </c>
      <c r="J71" s="7">
        <f>CEO!J71+CS!J71+CFO!J71+LLA!J71+'C&amp;E'!J71+CES!J71+LLT!J71+GB!J71</f>
        <v>108537.92466666667</v>
      </c>
      <c r="K71" s="7">
        <f>CEO!K71+CS!K71+CFO!K71+LLA!K71+'C&amp;E'!K71+CES!K71+LLT!K71+GB!K71</f>
        <v>108537.92466666667</v>
      </c>
      <c r="L71" s="7">
        <f>CEO!L71+CS!L71+CFO!L71+LLA!L71+'C&amp;E'!L71+CES!L71+LLT!L71+GB!L71</f>
        <v>108566.92466666667</v>
      </c>
      <c r="M71" s="13" t="s">
        <v>465</v>
      </c>
      <c r="N71" s="7">
        <f t="shared" si="45"/>
        <v>0</v>
      </c>
      <c r="O71" s="7">
        <f t="shared" si="46"/>
        <v>1302484.0960000001</v>
      </c>
      <c r="P71" s="7">
        <f t="shared" si="4"/>
        <v>1302484.0960000001</v>
      </c>
      <c r="Q71" s="7">
        <f>CEO!Q71+CS!Q71+CFO!Q71+LLA!Q71+'C&amp;E'!Q71+CES!Q71+LLT!Q71+GB!Q71</f>
        <v>1302484.0959999999</v>
      </c>
      <c r="R71" s="7">
        <f t="shared" si="47"/>
        <v>0</v>
      </c>
      <c r="S71" s="7">
        <v>-4653</v>
      </c>
      <c r="T71" s="7">
        <f>CEO!T71+CS!T71+CFO!T71+LLA!T71+'C&amp;E'!T71+CES!T71+LLT!T71+GB!T71</f>
        <v>169523</v>
      </c>
      <c r="U71" s="7">
        <f t="shared" si="7"/>
        <v>1467354.0959999999</v>
      </c>
      <c r="V71" s="7">
        <f t="shared" si="6"/>
        <v>164869.99999999977</v>
      </c>
      <c r="W71" s="7"/>
      <c r="X71" s="7">
        <f>CEO!Q71+CS!Q71+CFO!Q71+LLA!Q71+'C&amp;E'!Q71+CES!Q71+LLT!Q71+GB!Q71</f>
        <v>1302484.0959999999</v>
      </c>
      <c r="Y71" s="7">
        <f t="shared" si="48"/>
        <v>0</v>
      </c>
      <c r="Z71" s="7">
        <v>1302484.5455764241</v>
      </c>
      <c r="AA71" s="7">
        <f t="shared" si="49"/>
        <v>1363701.3192185159</v>
      </c>
      <c r="AC71" s="295">
        <f t="shared" si="31"/>
        <v>-0.44957642420195043</v>
      </c>
    </row>
    <row r="72" spans="1:29" x14ac:dyDescent="0.3">
      <c r="A72" s="7">
        <f>CEO!A72+CS!A72+CFO!A72+LLA!A72+'C&amp;E'!A72+CES!A72+LLT!A72+GB!A72</f>
        <v>2380.0080000000003</v>
      </c>
      <c r="B72" s="7">
        <f>CEO!B72+CS!B72+CFO!B72+LLA!B72+'C&amp;E'!B72+CES!B72+LLT!B72+GB!B72</f>
        <v>2380.0080000000003</v>
      </c>
      <c r="C72" s="7">
        <f>CEO!C72+CS!C72+CFO!C72+LLA!C72+'C&amp;E'!C72+CES!C72+LLT!C72+GB!C72</f>
        <v>2380.0080000000003</v>
      </c>
      <c r="D72" s="7">
        <f>CEO!D72+CS!D72+CFO!D72+LLA!D72+'C&amp;E'!D72+CES!D72+LLT!D72+GB!D72</f>
        <v>2380.0080000000003</v>
      </c>
      <c r="E72" s="7">
        <f>CEO!E72+CS!E72+CFO!E72+LLA!E72+'C&amp;E'!E72+CES!E72+LLT!E72+GB!E72</f>
        <v>2380.0080000000003</v>
      </c>
      <c r="F72" s="7">
        <f>CEO!F72+CS!F72+CFO!F72+LLA!F72+'C&amp;E'!F72+CES!F72+LLT!F72+GB!F72</f>
        <v>2380.0080000000003</v>
      </c>
      <c r="G72" s="7">
        <f>CEO!G72+CS!G72+CFO!G72+LLA!G72+'C&amp;E'!G72+CES!G72+LLT!G72+GB!G72</f>
        <v>2380.0080000000003</v>
      </c>
      <c r="H72" s="7">
        <f>CEO!H72+CS!H72+CFO!H72+LLA!H72+'C&amp;E'!H72+CES!H72+LLT!H72+GB!H72</f>
        <v>2380.0080000000003</v>
      </c>
      <c r="I72" s="7">
        <f>CEO!I72+CS!I72+CFO!I72+LLA!I72+'C&amp;E'!I72+CES!I72+LLT!I72+GB!I72</f>
        <v>2380.0080000000003</v>
      </c>
      <c r="J72" s="7">
        <f>CEO!J72+CS!J72+CFO!J72+LLA!J72+'C&amp;E'!J72+CES!J72+LLT!J72+GB!J72</f>
        <v>2380.0080000000003</v>
      </c>
      <c r="K72" s="7">
        <f>CEO!K72+CS!K72+CFO!K72+LLA!K72+'C&amp;E'!K72+CES!K72+LLT!K72+GB!K72</f>
        <v>2380.0080000000003</v>
      </c>
      <c r="L72" s="7">
        <f>CEO!L72+CS!L72+CFO!L72+LLA!L72+'C&amp;E'!L72+CES!L72+LLT!L72+GB!L72</f>
        <v>2379.0080000000003</v>
      </c>
      <c r="M72" s="13" t="s">
        <v>466</v>
      </c>
      <c r="N72" s="7">
        <f t="shared" si="45"/>
        <v>0</v>
      </c>
      <c r="O72" s="7">
        <f t="shared" si="46"/>
        <v>28559.096000000009</v>
      </c>
      <c r="P72" s="7">
        <f t="shared" ref="P72:P135" si="50">SUM(N72:O72)</f>
        <v>28559.096000000009</v>
      </c>
      <c r="Q72" s="7">
        <f>CEO!Q72+CS!Q72+CFO!Q72+LLA!Q72+'C&amp;E'!Q72+CES!Q72+LLT!Q72+GB!Q72</f>
        <v>28559.096000000009</v>
      </c>
      <c r="R72" s="7">
        <f t="shared" si="47"/>
        <v>0</v>
      </c>
      <c r="S72" s="7">
        <v>27251</v>
      </c>
      <c r="T72" s="7">
        <f>CEO!T72+CS!T72+CFO!T72+LLA!T72+'C&amp;E'!T72+CES!T72+LLT!T72+GB!T72</f>
        <v>0</v>
      </c>
      <c r="U72" s="7">
        <f t="shared" si="7"/>
        <v>55810.096000000005</v>
      </c>
      <c r="V72" s="7">
        <f t="shared" ref="V72:V135" si="51">U72-P72</f>
        <v>27250.999999999996</v>
      </c>
      <c r="W72" s="7"/>
      <c r="X72" s="7">
        <f>CEO!Q72+CS!Q72+CFO!Q72+LLA!Q72+'C&amp;E'!Q72+CES!Q72+LLT!Q72+GB!Q72</f>
        <v>28559.096000000009</v>
      </c>
      <c r="Y72" s="7">
        <f t="shared" si="48"/>
        <v>0</v>
      </c>
      <c r="Z72" s="7">
        <v>28559.048000000003</v>
      </c>
      <c r="AA72" s="7">
        <f t="shared" si="49"/>
        <v>29901.323256</v>
      </c>
      <c r="AC72" s="295">
        <f t="shared" si="31"/>
        <v>4.8000000006140908E-2</v>
      </c>
    </row>
    <row r="73" spans="1:29" x14ac:dyDescent="0.3">
      <c r="A73" s="7">
        <f>CEO!A73+CS!A73+CFO!A73+LLA!A73+'C&amp;E'!A73+CES!A73+LLT!A73+GB!A73</f>
        <v>0</v>
      </c>
      <c r="B73" s="7">
        <f>CEO!B73+CS!B73+CFO!B73+LLA!B73+'C&amp;E'!B73+CES!B73+LLT!B73+GB!B73</f>
        <v>0</v>
      </c>
      <c r="C73" s="7">
        <f>CEO!C73+CS!C73+CFO!C73+LLA!C73+'C&amp;E'!C73+CES!C73+LLT!C73+GB!C73</f>
        <v>0</v>
      </c>
      <c r="D73" s="7">
        <f>CEO!D73+CS!D73+CFO!D73+LLA!D73+'C&amp;E'!D73+CES!D73+LLT!D73+GB!D73</f>
        <v>0</v>
      </c>
      <c r="E73" s="7">
        <f>CEO!E73+CS!E73+CFO!E73+LLA!E73+'C&amp;E'!E73+CES!E73+LLT!E73+GB!E73</f>
        <v>0</v>
      </c>
      <c r="F73" s="7">
        <f>CEO!F73+CS!F73+CFO!F73+LLA!F73+'C&amp;E'!F73+CES!F73+LLT!F73+GB!F73</f>
        <v>0</v>
      </c>
      <c r="G73" s="7">
        <f>CEO!G73+CS!G73+CFO!G73+LLA!G73+'C&amp;E'!G73+CES!G73+LLT!G73+GB!G73</f>
        <v>0</v>
      </c>
      <c r="H73" s="7">
        <f>CEO!H73+CS!H73+CFO!H73+LLA!H73+'C&amp;E'!H73+CES!H73+LLT!H73+GB!H73</f>
        <v>0</v>
      </c>
      <c r="I73" s="7">
        <f>CEO!I73+CS!I73+CFO!I73+LLA!I73+'C&amp;E'!I73+CES!I73+LLT!I73+GB!I73</f>
        <v>0</v>
      </c>
      <c r="J73" s="7">
        <f>CEO!J73+CS!J73+CFO!J73+LLA!J73+'C&amp;E'!J73+CES!J73+LLT!J73+GB!J73</f>
        <v>0</v>
      </c>
      <c r="K73" s="7">
        <f>CEO!K73+CS!K73+CFO!K73+LLA!K73+'C&amp;E'!K73+CES!K73+LLT!K73+GB!K73</f>
        <v>0</v>
      </c>
      <c r="L73" s="7">
        <f>CEO!L73+CS!L73+CFO!L73+LLA!L73+'C&amp;E'!L73+CES!L73+LLT!L73+GB!L73</f>
        <v>0</v>
      </c>
      <c r="M73" s="13" t="s">
        <v>453</v>
      </c>
      <c r="N73" s="7">
        <f t="shared" si="45"/>
        <v>0</v>
      </c>
      <c r="O73" s="7">
        <f t="shared" si="46"/>
        <v>0</v>
      </c>
      <c r="P73" s="7">
        <f t="shared" si="50"/>
        <v>0</v>
      </c>
      <c r="Q73" s="7">
        <f>CEO!Q73+CS!Q73+CFO!Q73+LLA!Q73+'C&amp;E'!Q73+CES!Q73+LLT!Q73+GB!Q73</f>
        <v>0</v>
      </c>
      <c r="R73" s="7">
        <f t="shared" si="47"/>
        <v>0</v>
      </c>
      <c r="S73" s="7">
        <v>0</v>
      </c>
      <c r="T73" s="7">
        <f>CEO!T73+CS!T73+CFO!T73+LLA!T73+'C&amp;E'!T73+CES!T73+LLT!T73+GB!T73</f>
        <v>0</v>
      </c>
      <c r="U73" s="7">
        <f t="shared" ref="U73:U128" si="52">S73+Q73+T73</f>
        <v>0</v>
      </c>
      <c r="V73" s="7">
        <f t="shared" si="51"/>
        <v>0</v>
      </c>
      <c r="W73" s="7"/>
      <c r="X73" s="7">
        <f>CEO!Q73+CS!Q73+CFO!Q73+LLA!Q73+'C&amp;E'!Q73+CES!Q73+LLT!Q73+GB!Q73</f>
        <v>0</v>
      </c>
      <c r="Y73" s="7">
        <f t="shared" si="48"/>
        <v>0</v>
      </c>
      <c r="Z73" s="7">
        <v>0</v>
      </c>
      <c r="AA73" s="7">
        <f t="shared" si="49"/>
        <v>0</v>
      </c>
      <c r="AC73" s="295">
        <f t="shared" si="31"/>
        <v>0</v>
      </c>
    </row>
    <row r="74" spans="1:29" x14ac:dyDescent="0.3">
      <c r="A74" s="7">
        <f>CEO!A74+CS!A74+CFO!A74+LLA!A74+'C&amp;E'!A74+CES!A74+LLT!A74+GB!A74</f>
        <v>293473.53600000002</v>
      </c>
      <c r="B74" s="7">
        <f>CEO!B74+CS!B74+CFO!B74+LLA!B74+'C&amp;E'!B74+CES!B74+LLT!B74+GB!B74</f>
        <v>293473.53600000002</v>
      </c>
      <c r="C74" s="7">
        <f>CEO!C74+CS!C74+CFO!C74+LLA!C74+'C&amp;E'!C74+CES!C74+LLT!C74+GB!C74</f>
        <v>293473.53600000002</v>
      </c>
      <c r="D74" s="7">
        <f>CEO!D74+CS!D74+CFO!D74+LLA!D74+'C&amp;E'!D74+CES!D74+LLT!D74+GB!D74</f>
        <v>293473.53600000002</v>
      </c>
      <c r="E74" s="7">
        <f>CEO!E74+CS!E74+CFO!E74+LLA!E74+'C&amp;E'!E74+CES!E74+LLT!E74+GB!E74</f>
        <v>293473.53600000002</v>
      </c>
      <c r="F74" s="7">
        <f>CEO!F74+CS!F74+CFO!F74+LLA!F74+'C&amp;E'!F74+CES!F74+LLT!F74+GB!F74</f>
        <v>293473.53600000002</v>
      </c>
      <c r="G74" s="7">
        <f>CEO!G74+CS!G74+CFO!G74+LLA!G74+'C&amp;E'!G74+CES!G74+LLT!G74+GB!G74</f>
        <v>293473.53600000002</v>
      </c>
      <c r="H74" s="7">
        <f>CEO!H74+CS!H74+CFO!H74+LLA!H74+'C&amp;E'!H74+CES!H74+LLT!H74+GB!H74</f>
        <v>293473.53600000002</v>
      </c>
      <c r="I74" s="7">
        <f>CEO!I74+CS!I74+CFO!I74+LLA!I74+'C&amp;E'!I74+CES!I74+LLT!I74+GB!I74</f>
        <v>293473.53600000002</v>
      </c>
      <c r="J74" s="7">
        <f>CEO!J74+CS!J74+CFO!J74+LLA!J74+'C&amp;E'!J74+CES!J74+LLT!J74+GB!J74</f>
        <v>293473.53600000002</v>
      </c>
      <c r="K74" s="7">
        <f>CEO!K74+CS!K74+CFO!K74+LLA!K74+'C&amp;E'!K74+CES!K74+LLT!K74+GB!K74</f>
        <v>293473.53600000002</v>
      </c>
      <c r="L74" s="7">
        <f>CEO!L74+CS!L74+CFO!L74+LLA!L74+'C&amp;E'!L74+CES!L74+LLT!L74+GB!L74</f>
        <v>293479.53600000002</v>
      </c>
      <c r="M74" s="388" t="s">
        <v>467</v>
      </c>
      <c r="N74" s="7">
        <f t="shared" si="45"/>
        <v>0</v>
      </c>
      <c r="O74" s="7">
        <f t="shared" si="46"/>
        <v>3521688.4319999996</v>
      </c>
      <c r="P74" s="7">
        <f t="shared" si="50"/>
        <v>3521688.4319999996</v>
      </c>
      <c r="Q74" s="7">
        <f>CEO!Q74+CS!Q74+CFO!Q74+LLA!Q74+'C&amp;E'!Q74+CES!Q74+LLT!Q74+GB!Q74</f>
        <v>3521688.4319999996</v>
      </c>
      <c r="R74" s="7">
        <f t="shared" si="47"/>
        <v>0</v>
      </c>
      <c r="S74" s="7">
        <v>0</v>
      </c>
      <c r="T74" s="7">
        <f>CEO!T74+CS!T74+CFO!T74+LLA!T74+'C&amp;E'!T74+CES!T74+LLT!T74+GB!T74</f>
        <v>0</v>
      </c>
      <c r="U74" s="7">
        <f t="shared" si="52"/>
        <v>3521688.4319999996</v>
      </c>
      <c r="V74" s="7">
        <f t="shared" si="51"/>
        <v>0</v>
      </c>
      <c r="W74" s="7"/>
      <c r="X74" s="7">
        <f>CEO!Q74+CS!Q74+CFO!Q74+LLA!Q74+'C&amp;E'!Q74+CES!Q74+LLT!Q74+GB!Q74</f>
        <v>3521688.4319999996</v>
      </c>
      <c r="Y74" s="7">
        <f t="shared" si="48"/>
        <v>0</v>
      </c>
      <c r="Z74" s="7">
        <v>3521688.1540800007</v>
      </c>
      <c r="AA74" s="7">
        <f t="shared" si="49"/>
        <v>3687207.4973217603</v>
      </c>
      <c r="AC74" s="295">
        <f t="shared" si="31"/>
        <v>0.27791999885812402</v>
      </c>
    </row>
    <row r="75" spans="1:29" x14ac:dyDescent="0.3">
      <c r="A75" s="7">
        <f>CEO!A75+CS!A75+CFO!A75+LLA!A75+'C&amp;E'!A75+CES!A75+LLT!A75+GB!A75</f>
        <v>12241.688</v>
      </c>
      <c r="B75" s="7">
        <f>CEO!B75+CS!B75+CFO!B75+LLA!B75+'C&amp;E'!B75+CES!B75+LLT!B75+GB!B75</f>
        <v>12241.688</v>
      </c>
      <c r="C75" s="7">
        <f>CEO!C75+CS!C75+CFO!C75+LLA!C75+'C&amp;E'!C75+CES!C75+LLT!C75+GB!C75</f>
        <v>12241.688</v>
      </c>
      <c r="D75" s="7">
        <f>CEO!D75+CS!D75+CFO!D75+LLA!D75+'C&amp;E'!D75+CES!D75+LLT!D75+GB!D75</f>
        <v>12241.688</v>
      </c>
      <c r="E75" s="7">
        <f>CEO!E75+CS!E75+CFO!E75+LLA!E75+'C&amp;E'!E75+CES!E75+LLT!E75+GB!E75</f>
        <v>12241.688</v>
      </c>
      <c r="F75" s="7">
        <f>CEO!F75+CS!F75+CFO!F75+LLA!F75+'C&amp;E'!F75+CES!F75+LLT!F75+GB!F75</f>
        <v>12241.688</v>
      </c>
      <c r="G75" s="7">
        <f>CEO!G75+CS!G75+CFO!G75+LLA!G75+'C&amp;E'!G75+CES!G75+LLT!G75+GB!G75</f>
        <v>12241.688</v>
      </c>
      <c r="H75" s="7">
        <f>CEO!H75+CS!H75+CFO!H75+LLA!H75+'C&amp;E'!H75+CES!H75+LLT!H75+GB!H75</f>
        <v>12241.688</v>
      </c>
      <c r="I75" s="7">
        <f>CEO!I75+CS!I75+CFO!I75+LLA!I75+'C&amp;E'!I75+CES!I75+LLT!I75+GB!I75</f>
        <v>12241.688</v>
      </c>
      <c r="J75" s="7">
        <f>CEO!J75+CS!J75+CFO!J75+LLA!J75+'C&amp;E'!J75+CES!J75+LLT!J75+GB!J75</f>
        <v>12241.688</v>
      </c>
      <c r="K75" s="7">
        <f>CEO!K75+CS!K75+CFO!K75+LLA!K75+'C&amp;E'!K75+CES!K75+LLT!K75+GB!K75</f>
        <v>12241.688</v>
      </c>
      <c r="L75" s="7">
        <f>CEO!L75+CS!L75+CFO!L75+LLA!L75+'C&amp;E'!L75+CES!L75+LLT!L75+GB!L75</f>
        <v>12244.688</v>
      </c>
      <c r="M75" s="13" t="s">
        <v>468</v>
      </c>
      <c r="N75" s="7">
        <f t="shared" si="45"/>
        <v>0</v>
      </c>
      <c r="O75" s="7">
        <f t="shared" si="46"/>
        <v>146903.25599999996</v>
      </c>
      <c r="P75" s="7">
        <f t="shared" si="50"/>
        <v>146903.25599999996</v>
      </c>
      <c r="Q75" s="7">
        <f>CEO!Q75+CS!Q75+CFO!Q75+LLA!Q75+'C&amp;E'!Q75+CES!Q75+LLT!Q75+GB!Q75</f>
        <v>146903.25599999996</v>
      </c>
      <c r="R75" s="7">
        <f t="shared" si="47"/>
        <v>0</v>
      </c>
      <c r="S75" s="7">
        <v>-34087</v>
      </c>
      <c r="T75" s="7">
        <f>CEO!T75+CS!T75+CFO!T75+LLA!T75+'C&amp;E'!T75+CES!T75+LLT!T75+GB!T75</f>
        <v>-9320.1090000000004</v>
      </c>
      <c r="U75" s="7">
        <f t="shared" si="52"/>
        <v>103496.14699999997</v>
      </c>
      <c r="V75" s="7">
        <f t="shared" si="51"/>
        <v>-43407.108999999997</v>
      </c>
      <c r="W75" s="7"/>
      <c r="X75" s="7">
        <f>CEO!Q75+CS!Q75+CFO!Q75+LLA!Q75+'C&amp;E'!Q75+CES!Q75+LLT!Q75+GB!Q75</f>
        <v>146903.25599999996</v>
      </c>
      <c r="Y75" s="7">
        <f t="shared" si="48"/>
        <v>0</v>
      </c>
      <c r="Z75" s="7">
        <v>146902.87600000002</v>
      </c>
      <c r="AA75" s="7">
        <f t="shared" si="49"/>
        <v>153807.31117200002</v>
      </c>
      <c r="AC75" s="295">
        <f t="shared" si="31"/>
        <v>0.37999999994644895</v>
      </c>
    </row>
    <row r="76" spans="1:29" x14ac:dyDescent="0.3">
      <c r="A76" s="7">
        <f>CEO!A76+CS!A76+CFO!A76+LLA!A76+'C&amp;E'!A76+CES!A76+LLT!A76+GB!A76</f>
        <v>2356.9520000000002</v>
      </c>
      <c r="B76" s="7">
        <f>CEO!B76+CS!B76+CFO!B76+LLA!B76+'C&amp;E'!B76+CES!B76+LLT!B76+GB!B76</f>
        <v>2356.9520000000002</v>
      </c>
      <c r="C76" s="7">
        <f>CEO!C76+CS!C76+CFO!C76+LLA!C76+'C&amp;E'!C76+CES!C76+LLT!C76+GB!C76</f>
        <v>2356.9520000000002</v>
      </c>
      <c r="D76" s="7">
        <f>CEO!D76+CS!D76+CFO!D76+LLA!D76+'C&amp;E'!D76+CES!D76+LLT!D76+GB!D76</f>
        <v>2356.9520000000002</v>
      </c>
      <c r="E76" s="7">
        <f>CEO!E76+CS!E76+CFO!E76+LLA!E76+'C&amp;E'!E76+CES!E76+LLT!E76+GB!E76</f>
        <v>2356.9520000000002</v>
      </c>
      <c r="F76" s="7">
        <f>CEO!F76+CS!F76+CFO!F76+LLA!F76+'C&amp;E'!F76+CES!F76+LLT!F76+GB!F76</f>
        <v>2356.9520000000002</v>
      </c>
      <c r="G76" s="7">
        <f>CEO!G76+CS!G76+CFO!G76+LLA!G76+'C&amp;E'!G76+CES!G76+LLT!G76+GB!G76</f>
        <v>2356.9520000000002</v>
      </c>
      <c r="H76" s="7">
        <f>CEO!H76+CS!H76+CFO!H76+LLA!H76+'C&amp;E'!H76+CES!H76+LLT!H76+GB!H76</f>
        <v>2356.9520000000002</v>
      </c>
      <c r="I76" s="7">
        <f>CEO!I76+CS!I76+CFO!I76+LLA!I76+'C&amp;E'!I76+CES!I76+LLT!I76+GB!I76</f>
        <v>2356.9520000000002</v>
      </c>
      <c r="J76" s="7">
        <f>CEO!J76+CS!J76+CFO!J76+LLA!J76+'C&amp;E'!J76+CES!J76+LLT!J76+GB!J76</f>
        <v>2356.9520000000002</v>
      </c>
      <c r="K76" s="7">
        <f>CEO!K76+CS!K76+CFO!K76+LLA!K76+'C&amp;E'!K76+CES!K76+LLT!K76+GB!K76</f>
        <v>2356.9520000000002</v>
      </c>
      <c r="L76" s="7">
        <f>CEO!L76+CS!L76+CFO!L76+LLA!L76+'C&amp;E'!L76+CES!L76+LLT!L76+GB!L76</f>
        <v>2352.9520000000002</v>
      </c>
      <c r="M76" s="13" t="s">
        <v>469</v>
      </c>
      <c r="N76" s="7">
        <f t="shared" si="45"/>
        <v>0</v>
      </c>
      <c r="O76" s="7">
        <f t="shared" si="46"/>
        <v>28279.42400000001</v>
      </c>
      <c r="P76" s="7">
        <f t="shared" si="50"/>
        <v>28279.42400000001</v>
      </c>
      <c r="Q76" s="7">
        <f>CEO!Q76+CS!Q76+CFO!Q76+LLA!Q76+'C&amp;E'!Q76+CES!Q76+LLT!Q76+GB!Q76</f>
        <v>28279.42400000001</v>
      </c>
      <c r="R76" s="7">
        <f t="shared" si="47"/>
        <v>0</v>
      </c>
      <c r="S76" s="7">
        <v>4399</v>
      </c>
      <c r="T76" s="7">
        <f>CEO!T76+CS!T76+CFO!T76+LLA!T76+'C&amp;E'!T76+CES!T76+LLT!T76+GB!T76</f>
        <v>9320.1089999999967</v>
      </c>
      <c r="U76" s="7">
        <f t="shared" si="52"/>
        <v>41998.53300000001</v>
      </c>
      <c r="V76" s="7">
        <f t="shared" si="51"/>
        <v>13719.109</v>
      </c>
      <c r="W76" s="7"/>
      <c r="X76" s="7">
        <f>CEO!Q76+CS!Q76+CFO!Q76+LLA!Q76+'C&amp;E'!Q76+CES!Q76+LLT!Q76+GB!Q76</f>
        <v>28279.42400000001</v>
      </c>
      <c r="Y76" s="7">
        <f t="shared" si="48"/>
        <v>0</v>
      </c>
      <c r="Z76" s="7">
        <v>28278.969999999998</v>
      </c>
      <c r="AA76" s="7">
        <f t="shared" si="49"/>
        <v>29608.081589999994</v>
      </c>
      <c r="AC76" s="295">
        <f t="shared" si="31"/>
        <v>0.45400000001245644</v>
      </c>
    </row>
    <row r="77" spans="1:29" x14ac:dyDescent="0.3">
      <c r="A77" s="7">
        <f>CEO!A77+CS!A77+CFO!A77+LLA!A77+'C&amp;E'!A77+CES!A77+LLT!A77+GB!A77</f>
        <v>0</v>
      </c>
      <c r="B77" s="7">
        <f>CEO!B77+CS!B77+CFO!B77+LLA!B77+'C&amp;E'!B77+CES!B77+LLT!B77+GB!B77</f>
        <v>0</v>
      </c>
      <c r="C77" s="7">
        <f>CEO!C77+CS!C77+CFO!C77+LLA!C77+'C&amp;E'!C77+CES!C77+LLT!C77+GB!C77</f>
        <v>0</v>
      </c>
      <c r="D77" s="7">
        <f>CEO!D77+CS!D77+CFO!D77+LLA!D77+'C&amp;E'!D77+CES!D77+LLT!D77+GB!D77</f>
        <v>0</v>
      </c>
      <c r="E77" s="7">
        <f>CEO!E77+CS!E77+CFO!E77+LLA!E77+'C&amp;E'!E77+CES!E77+LLT!E77+GB!E77</f>
        <v>0</v>
      </c>
      <c r="F77" s="7">
        <f>CEO!F77+CS!F77+CFO!F77+LLA!F77+'C&amp;E'!F77+CES!F77+LLT!F77+GB!F77</f>
        <v>0</v>
      </c>
      <c r="G77" s="7">
        <f>CEO!G77+CS!G77+CFO!G77+LLA!G77+'C&amp;E'!G77+CES!G77+LLT!G77+GB!G77</f>
        <v>0</v>
      </c>
      <c r="H77" s="7">
        <f>CEO!H77+CS!H77+CFO!H77+LLA!H77+'C&amp;E'!H77+CES!H77+LLT!H77+GB!H77</f>
        <v>0</v>
      </c>
      <c r="I77" s="7">
        <f>CEO!I77+CS!I77+CFO!I77+LLA!I77+'C&amp;E'!I77+CES!I77+LLT!I77+GB!I77</f>
        <v>0</v>
      </c>
      <c r="J77" s="7">
        <f>CEO!J77+CS!J77+CFO!J77+LLA!J77+'C&amp;E'!J77+CES!J77+LLT!J77+GB!J77</f>
        <v>0</v>
      </c>
      <c r="K77" s="7">
        <f>CEO!K77+CS!K77+CFO!K77+LLA!K77+'C&amp;E'!K77+CES!K77+LLT!K77+GB!K77</f>
        <v>0</v>
      </c>
      <c r="L77" s="7">
        <f>CEO!L77+CS!L77+CFO!L77+LLA!L77+'C&amp;E'!L77+CES!L77+LLT!L77+GB!L77</f>
        <v>0</v>
      </c>
      <c r="M77" s="13" t="s">
        <v>470</v>
      </c>
      <c r="N77" s="7">
        <f t="shared" si="45"/>
        <v>0</v>
      </c>
      <c r="O77" s="7">
        <f t="shared" si="46"/>
        <v>0</v>
      </c>
      <c r="P77" s="7">
        <f t="shared" si="50"/>
        <v>0</v>
      </c>
      <c r="Q77" s="7">
        <f>CEO!Q77+CS!Q77+CFO!Q77+LLA!Q77+'C&amp;E'!Q77+CES!Q77+LLT!Q77+GB!Q77</f>
        <v>0</v>
      </c>
      <c r="R77" s="7">
        <f t="shared" si="47"/>
        <v>0</v>
      </c>
      <c r="S77" s="7">
        <v>0</v>
      </c>
      <c r="T77" s="7">
        <f>CEO!T77+CS!T77+CFO!T77+LLA!T77+'C&amp;E'!T77+CES!T77+LLT!T77+GB!T77</f>
        <v>0</v>
      </c>
      <c r="U77" s="7">
        <f t="shared" si="52"/>
        <v>0</v>
      </c>
      <c r="V77" s="7">
        <f t="shared" si="51"/>
        <v>0</v>
      </c>
      <c r="W77" s="7"/>
      <c r="X77" s="7">
        <f>CEO!Q77+CS!Q77+CFO!Q77+LLA!Q77+'C&amp;E'!Q77+CES!Q77+LLT!Q77+GB!Q77</f>
        <v>0</v>
      </c>
      <c r="Y77" s="7">
        <f t="shared" si="48"/>
        <v>0</v>
      </c>
      <c r="Z77" s="7">
        <v>0</v>
      </c>
      <c r="AA77" s="7">
        <f t="shared" si="49"/>
        <v>0</v>
      </c>
      <c r="AC77" s="295">
        <f t="shared" si="31"/>
        <v>0</v>
      </c>
    </row>
    <row r="78" spans="1:29" x14ac:dyDescent="0.3">
      <c r="A78" s="7">
        <f>CEO!A78+CS!A78+CFO!A78+LLA!A78+'C&amp;E'!A78+CES!A78+LLT!A78+GB!A78</f>
        <v>0</v>
      </c>
      <c r="B78" s="7">
        <f>CEO!B78+CS!B78+CFO!B78+LLA!B78+'C&amp;E'!B78+CES!B78+LLT!B78+GB!B78</f>
        <v>0</v>
      </c>
      <c r="C78" s="7">
        <f>CEO!C78+CS!C78+CFO!C78+LLA!C78+'C&amp;E'!C78+CES!C78+LLT!C78+GB!C78</f>
        <v>0</v>
      </c>
      <c r="D78" s="7">
        <f>CEO!D78+CS!D78+CFO!D78+LLA!D78+'C&amp;E'!D78+CES!D78+LLT!D78+GB!D78</f>
        <v>0</v>
      </c>
      <c r="E78" s="7">
        <f>CEO!E78+CS!E78+CFO!E78+LLA!E78+'C&amp;E'!E78+CES!E78+LLT!E78+GB!E78</f>
        <v>0</v>
      </c>
      <c r="F78" s="7">
        <f>CEO!F78+CS!F78+CFO!F78+LLA!F78+'C&amp;E'!F78+CES!F78+LLT!F78+GB!F78</f>
        <v>0</v>
      </c>
      <c r="G78" s="7">
        <f>CEO!G78+CS!G78+CFO!G78+LLA!G78+'C&amp;E'!G78+CES!G78+LLT!G78+GB!G78</f>
        <v>0</v>
      </c>
      <c r="H78" s="7">
        <f>CEO!H78+CS!H78+CFO!H78+LLA!H78+'C&amp;E'!H78+CES!H78+LLT!H78+GB!H78</f>
        <v>0</v>
      </c>
      <c r="I78" s="7">
        <f>CEO!I78+CS!I78+CFO!I78+LLA!I78+'C&amp;E'!I78+CES!I78+LLT!I78+GB!I78</f>
        <v>0</v>
      </c>
      <c r="J78" s="7">
        <f>CEO!J78+CS!J78+CFO!J78+LLA!J78+'C&amp;E'!J78+CES!J78+LLT!J78+GB!J78</f>
        <v>0</v>
      </c>
      <c r="K78" s="7">
        <f>CEO!K78+CS!K78+CFO!K78+LLA!K78+'C&amp;E'!K78+CES!K78+LLT!K78+GB!K78</f>
        <v>0</v>
      </c>
      <c r="L78" s="7">
        <f>CEO!L78+CS!L78+CFO!L78+LLA!L78+'C&amp;E'!L78+CES!L78+LLT!L78+GB!L78</f>
        <v>0</v>
      </c>
      <c r="M78" s="13" t="s">
        <v>471</v>
      </c>
      <c r="N78" s="7">
        <f t="shared" si="45"/>
        <v>0</v>
      </c>
      <c r="O78" s="7">
        <f t="shared" si="46"/>
        <v>0</v>
      </c>
      <c r="P78" s="7">
        <f t="shared" si="50"/>
        <v>0</v>
      </c>
      <c r="Q78" s="7">
        <f>CEO!Q78+CS!Q78+CFO!Q78+LLA!Q78+'C&amp;E'!Q78+CES!Q78+LLT!Q78+GB!Q78</f>
        <v>0</v>
      </c>
      <c r="R78" s="7">
        <f t="shared" si="47"/>
        <v>0</v>
      </c>
      <c r="S78" s="7">
        <v>0</v>
      </c>
      <c r="T78" s="7">
        <f>CEO!T78+CS!T78+CFO!T78+LLA!T78+'C&amp;E'!T78+CES!T78+LLT!T78+GB!T78</f>
        <v>0</v>
      </c>
      <c r="U78" s="7">
        <f t="shared" si="52"/>
        <v>0</v>
      </c>
      <c r="V78" s="7">
        <f t="shared" si="51"/>
        <v>0</v>
      </c>
      <c r="W78" s="7"/>
      <c r="X78" s="7">
        <f>CEO!Q78+CS!Q78+CFO!Q78+LLA!Q78+'C&amp;E'!Q78+CES!Q78+LLT!Q78+GB!Q78</f>
        <v>0</v>
      </c>
      <c r="Y78" s="7">
        <f t="shared" si="48"/>
        <v>0</v>
      </c>
      <c r="Z78" s="7">
        <v>0</v>
      </c>
      <c r="AA78" s="7">
        <f t="shared" si="49"/>
        <v>0</v>
      </c>
      <c r="AC78" s="295">
        <f t="shared" si="31"/>
        <v>0</v>
      </c>
    </row>
    <row r="79" spans="1:29" x14ac:dyDescent="0.3">
      <c r="A79" s="7">
        <f>CEO!A79+CS!A79+CFO!A79+LLA!A79+'C&amp;E'!A79+CES!A79+LLT!A79+GB!A79</f>
        <v>8732.9840000000004</v>
      </c>
      <c r="B79" s="7">
        <f>CEO!B79+CS!B79+CFO!B79+LLA!B79+'C&amp;E'!B79+CES!B79+LLT!B79+GB!B79</f>
        <v>8732.9840000000004</v>
      </c>
      <c r="C79" s="7">
        <f>CEO!C79+CS!C79+CFO!C79+LLA!C79+'C&amp;E'!C79+CES!C79+LLT!C79+GB!C79</f>
        <v>8732.9840000000004</v>
      </c>
      <c r="D79" s="7">
        <f>CEO!D79+CS!D79+CFO!D79+LLA!D79+'C&amp;E'!D79+CES!D79+LLT!D79+GB!D79</f>
        <v>8732.9840000000004</v>
      </c>
      <c r="E79" s="7">
        <f>CEO!E79+CS!E79+CFO!E79+LLA!E79+'C&amp;E'!E79+CES!E79+LLT!E79+GB!E79</f>
        <v>8732.9840000000004</v>
      </c>
      <c r="F79" s="7">
        <f>CEO!F79+CS!F79+CFO!F79+LLA!F79+'C&amp;E'!F79+CES!F79+LLT!F79+GB!F79</f>
        <v>8732.9840000000004</v>
      </c>
      <c r="G79" s="7">
        <f>CEO!G79+CS!G79+CFO!G79+LLA!G79+'C&amp;E'!G79+CES!G79+LLT!G79+GB!G79</f>
        <v>8732.9840000000004</v>
      </c>
      <c r="H79" s="7">
        <f>CEO!H79+CS!H79+CFO!H79+LLA!H79+'C&amp;E'!H79+CES!H79+LLT!H79+GB!H79</f>
        <v>8732.9840000000004</v>
      </c>
      <c r="I79" s="7">
        <f>CEO!I79+CS!I79+CFO!I79+LLA!I79+'C&amp;E'!I79+CES!I79+LLT!I79+GB!I79</f>
        <v>8732.9840000000004</v>
      </c>
      <c r="J79" s="7">
        <f>CEO!J79+CS!J79+CFO!J79+LLA!J79+'C&amp;E'!J79+CES!J79+LLT!J79+GB!J79</f>
        <v>8732.9840000000004</v>
      </c>
      <c r="K79" s="7">
        <f>CEO!K79+CS!K79+CFO!K79+LLA!K79+'C&amp;E'!K79+CES!K79+LLT!K79+GB!K79</f>
        <v>8732.9840000000004</v>
      </c>
      <c r="L79" s="7">
        <f>CEO!L79+CS!L79+CFO!L79+LLA!L79+'C&amp;E'!L79+CES!L79+LLT!L79+GB!L79</f>
        <v>8736.9840000000004</v>
      </c>
      <c r="M79" s="13" t="s">
        <v>472</v>
      </c>
      <c r="N79" s="7">
        <f t="shared" si="45"/>
        <v>0</v>
      </c>
      <c r="O79" s="7">
        <f t="shared" si="46"/>
        <v>104799.80799999998</v>
      </c>
      <c r="P79" s="7">
        <f t="shared" si="50"/>
        <v>104799.80799999998</v>
      </c>
      <c r="Q79" s="7">
        <f>CEO!Q79+CS!Q79+CFO!Q79+LLA!Q79+'C&amp;E'!Q79+CES!Q79+LLT!Q79+GB!Q79</f>
        <v>104799.80799999998</v>
      </c>
      <c r="R79" s="7">
        <f t="shared" si="47"/>
        <v>0</v>
      </c>
      <c r="S79" s="7">
        <v>0</v>
      </c>
      <c r="T79" s="7">
        <f>CEO!T79+CS!T79+CFO!T79+LLA!T79+'C&amp;E'!T79+CES!T79+LLT!T79+GB!T79</f>
        <v>0</v>
      </c>
      <c r="U79" s="7">
        <f t="shared" si="52"/>
        <v>104799.80799999998</v>
      </c>
      <c r="V79" s="7">
        <f t="shared" si="51"/>
        <v>0</v>
      </c>
      <c r="W79" s="7"/>
      <c r="X79" s="7">
        <f>CEO!Q79+CS!Q79+CFO!Q79+LLA!Q79+'C&amp;E'!Q79+CES!Q79+LLT!Q79+GB!Q79</f>
        <v>104799.80799999998</v>
      </c>
      <c r="Y79" s="7">
        <f t="shared" si="48"/>
        <v>0</v>
      </c>
      <c r="Z79" s="7">
        <v>104800</v>
      </c>
      <c r="AA79" s="7">
        <f t="shared" si="49"/>
        <v>109725.59999999999</v>
      </c>
      <c r="AC79" s="295">
        <f t="shared" si="31"/>
        <v>-0.19200000002456363</v>
      </c>
    </row>
    <row r="80" spans="1:29" x14ac:dyDescent="0.3">
      <c r="A80" s="7">
        <f>CEO!A80+CS!A80+CFO!A80+LLA!A80+'C&amp;E'!A80+CES!A80+LLT!A80+GB!A80</f>
        <v>0</v>
      </c>
      <c r="B80" s="7">
        <f>CEO!B80+CS!B80+CFO!B80+LLA!B80+'C&amp;E'!B80+CES!B80+LLT!B80+GB!B80</f>
        <v>0</v>
      </c>
      <c r="C80" s="7">
        <f>CEO!C80+CS!C80+CFO!C80+LLA!C80+'C&amp;E'!C80+CES!C80+LLT!C80+GB!C80</f>
        <v>0</v>
      </c>
      <c r="D80" s="7">
        <f>CEO!D80+CS!D80+CFO!D80+LLA!D80+'C&amp;E'!D80+CES!D80+LLT!D80+GB!D80</f>
        <v>0</v>
      </c>
      <c r="E80" s="7">
        <f>CEO!E80+CS!E80+CFO!E80+LLA!E80+'C&amp;E'!E80+CES!E80+LLT!E80+GB!E80</f>
        <v>0</v>
      </c>
      <c r="F80" s="7">
        <f>CEO!F80+CS!F80+CFO!F80+LLA!F80+'C&amp;E'!F80+CES!F80+LLT!F80+GB!F80</f>
        <v>0</v>
      </c>
      <c r="G80" s="7">
        <f>CEO!G80+CS!G80+CFO!G80+LLA!G80+'C&amp;E'!G80+CES!G80+LLT!G80+GB!G80</f>
        <v>0</v>
      </c>
      <c r="H80" s="7">
        <f>CEO!H80+CS!H80+CFO!H80+LLA!H80+'C&amp;E'!H80+CES!H80+LLT!H80+GB!H80</f>
        <v>0</v>
      </c>
      <c r="I80" s="7">
        <f>CEO!I80+CS!I80+CFO!I80+LLA!I80+'C&amp;E'!I80+CES!I80+LLT!I80+GB!I80</f>
        <v>0</v>
      </c>
      <c r="J80" s="7">
        <f>CEO!J80+CS!J80+CFO!J80+LLA!J80+'C&amp;E'!J80+CES!J80+LLT!J80+GB!J80</f>
        <v>0</v>
      </c>
      <c r="K80" s="7">
        <f>CEO!K80+CS!K80+CFO!K80+LLA!K80+'C&amp;E'!K80+CES!K80+LLT!K80+GB!K80</f>
        <v>0</v>
      </c>
      <c r="L80" s="7">
        <f>CEO!L80+CS!L80+CFO!L80+LLA!L80+'C&amp;E'!L80+CES!L80+LLT!L80+GB!L80</f>
        <v>0</v>
      </c>
      <c r="M80" s="13" t="s">
        <v>145</v>
      </c>
      <c r="N80" s="7">
        <f t="shared" si="45"/>
        <v>0</v>
      </c>
      <c r="O80" s="7">
        <f t="shared" si="46"/>
        <v>0</v>
      </c>
      <c r="P80" s="7">
        <f t="shared" si="50"/>
        <v>0</v>
      </c>
      <c r="Q80" s="7">
        <f>CEO!Q80+CS!Q80+CFO!Q80+LLA!Q80+'C&amp;E'!Q80+CES!Q80+LLT!Q80+GB!Q80</f>
        <v>0</v>
      </c>
      <c r="R80" s="7">
        <f t="shared" si="47"/>
        <v>0</v>
      </c>
      <c r="S80" s="7">
        <v>0</v>
      </c>
      <c r="T80" s="7">
        <f>CEO!T80+CS!T80+CFO!T80+LLA!T80+'C&amp;E'!T80+CES!T80+LLT!T80+GB!T80</f>
        <v>0</v>
      </c>
      <c r="U80" s="7">
        <f t="shared" si="52"/>
        <v>0</v>
      </c>
      <c r="V80" s="7">
        <f t="shared" si="51"/>
        <v>0</v>
      </c>
      <c r="W80" s="7"/>
      <c r="X80" s="7">
        <f>CEO!Q80+CS!Q80+CFO!Q80+LLA!Q80+'C&amp;E'!Q80+CES!Q80+LLT!Q80+GB!Q80</f>
        <v>0</v>
      </c>
      <c r="Y80" s="7">
        <f t="shared" si="48"/>
        <v>0</v>
      </c>
      <c r="Z80" s="7">
        <v>0</v>
      </c>
      <c r="AA80" s="7">
        <f t="shared" si="49"/>
        <v>0</v>
      </c>
      <c r="AC80" s="295">
        <f t="shared" si="31"/>
        <v>0</v>
      </c>
    </row>
    <row r="81" spans="1:29" x14ac:dyDescent="0.3">
      <c r="A81" s="7">
        <f>CEO!A81+CS!A81+CFO!A81+LLA!A81+'C&amp;E'!A81+CES!A81+LLT!A81+GB!A81</f>
        <v>0</v>
      </c>
      <c r="B81" s="7">
        <f>CEO!B81+CS!B81+CFO!B81+LLA!B81+'C&amp;E'!B81+CES!B81+LLT!B81+GB!B81</f>
        <v>0</v>
      </c>
      <c r="C81" s="7">
        <f>CEO!C81+CS!C81+CFO!C81+LLA!C81+'C&amp;E'!C81+CES!C81+LLT!C81+GB!C81</f>
        <v>0</v>
      </c>
      <c r="D81" s="7">
        <f>CEO!D81+CS!D81+CFO!D81+LLA!D81+'C&amp;E'!D81+CES!D81+LLT!D81+GB!D81</f>
        <v>0</v>
      </c>
      <c r="E81" s="7">
        <f>CEO!E81+CS!E81+CFO!E81+LLA!E81+'C&amp;E'!E81+CES!E81+LLT!E81+GB!E81</f>
        <v>13355.712</v>
      </c>
      <c r="F81" s="7">
        <f>CEO!F81+CS!F81+CFO!F81+LLA!F81+'C&amp;E'!F81+CES!F81+LLT!F81+GB!F81</f>
        <v>0</v>
      </c>
      <c r="G81" s="7">
        <f>CEO!G81+CS!G81+CFO!G81+LLA!G81+'C&amp;E'!G81+CES!G81+LLT!G81+GB!G81</f>
        <v>62198.75808</v>
      </c>
      <c r="H81" s="7">
        <f>CEO!H81+CS!H81+CFO!H81+LLA!H81+'C&amp;E'!H81+CES!H81+LLT!H81+GB!H81</f>
        <v>0</v>
      </c>
      <c r="I81" s="7">
        <f>CEO!I81+CS!I81+CFO!I81+LLA!I81+'C&amp;E'!I81+CES!I81+LLT!I81+GB!I81</f>
        <v>0</v>
      </c>
      <c r="J81" s="7">
        <f>CEO!J81+CS!J81+CFO!J81+LLA!J81+'C&amp;E'!J81+CES!J81+LLT!J81+GB!J81</f>
        <v>0</v>
      </c>
      <c r="K81" s="7">
        <f>CEO!K81+CS!K81+CFO!K81+LLA!K81+'C&amp;E'!K81+CES!K81+LLT!K81+GB!K81</f>
        <v>32121.200000000001</v>
      </c>
      <c r="L81" s="7">
        <f>CEO!L81+CS!L81+CFO!L81+LLA!L81+'C&amp;E'!L81+CES!L81+LLT!L81+GB!L81</f>
        <v>18366.2</v>
      </c>
      <c r="M81" s="388" t="s">
        <v>473</v>
      </c>
      <c r="N81" s="7">
        <f t="shared" si="45"/>
        <v>0</v>
      </c>
      <c r="O81" s="7">
        <f t="shared" si="46"/>
        <v>126041.87007999999</v>
      </c>
      <c r="P81" s="7">
        <f t="shared" si="50"/>
        <v>126041.87007999999</v>
      </c>
      <c r="Q81" s="7">
        <f>CEO!Q81+CS!Q81+CFO!Q81+LLA!Q81+'C&amp;E'!Q81+CES!Q81+LLT!Q81+GB!Q81</f>
        <v>126041.87007999999</v>
      </c>
      <c r="R81" s="7">
        <f t="shared" si="47"/>
        <v>0</v>
      </c>
      <c r="S81" s="7">
        <v>-4646</v>
      </c>
      <c r="T81" s="7">
        <f>CEO!T81+CS!T81+CFO!T81+LLA!T81+'C&amp;E'!T81+CES!T81+LLT!T81+GB!T81</f>
        <v>-48974.99</v>
      </c>
      <c r="U81" s="7">
        <f t="shared" si="52"/>
        <v>72420.880080000003</v>
      </c>
      <c r="V81" s="7">
        <f t="shared" si="51"/>
        <v>-53620.989999999991</v>
      </c>
      <c r="W81" s="7"/>
      <c r="X81" s="7">
        <f>CEO!Q81+CS!Q81+CFO!Q81+LLA!Q81+'C&amp;E'!Q81+CES!Q81+LLT!Q81+GB!Q81</f>
        <v>126041.87007999999</v>
      </c>
      <c r="Y81" s="7">
        <f t="shared" si="48"/>
        <v>0</v>
      </c>
      <c r="Z81" s="7">
        <v>126041.47184000009</v>
      </c>
      <c r="AA81" s="7">
        <f t="shared" si="49"/>
        <v>131965.42101648008</v>
      </c>
      <c r="AC81" s="295">
        <f t="shared" si="31"/>
        <v>0.39823999990767334</v>
      </c>
    </row>
    <row r="82" spans="1:29" x14ac:dyDescent="0.3">
      <c r="A82" s="7">
        <f>CEO!A82+CS!A82+CFO!A82+LLA!A82+'C&amp;E'!A82+CES!A82+LLT!A82+GB!A82</f>
        <v>126291.33600000001</v>
      </c>
      <c r="B82" s="7">
        <f>CEO!B82+CS!B82+CFO!B82+LLA!B82+'C&amp;E'!B82+CES!B82+LLT!B82+GB!B82</f>
        <v>126291.33600000001</v>
      </c>
      <c r="C82" s="7">
        <f>CEO!C82+CS!C82+CFO!C82+LLA!C82+'C&amp;E'!C82+CES!C82+LLT!C82+GB!C82</f>
        <v>126291.33600000001</v>
      </c>
      <c r="D82" s="7">
        <f>CEO!D82+CS!D82+CFO!D82+LLA!D82+'C&amp;E'!D82+CES!D82+LLT!D82+GB!D82</f>
        <v>126291.33600000001</v>
      </c>
      <c r="E82" s="7">
        <f>CEO!E82+CS!E82+CFO!E82+LLA!E82+'C&amp;E'!E82+CES!E82+LLT!E82+GB!E82</f>
        <v>126291.33600000001</v>
      </c>
      <c r="F82" s="7">
        <f>CEO!F82+CS!F82+CFO!F82+LLA!F82+'C&amp;E'!F82+CES!F82+LLT!F82+GB!F82</f>
        <v>126291.33600000001</v>
      </c>
      <c r="G82" s="7">
        <f>CEO!G82+CS!G82+CFO!G82+LLA!G82+'C&amp;E'!G82+CES!G82+LLT!G82+GB!G82</f>
        <v>126291.33600000001</v>
      </c>
      <c r="H82" s="7">
        <f>CEO!H82+CS!H82+CFO!H82+LLA!H82+'C&amp;E'!H82+CES!H82+LLT!H82+GB!H82</f>
        <v>126291.33600000001</v>
      </c>
      <c r="I82" s="7">
        <f>CEO!I82+CS!I82+CFO!I82+LLA!I82+'C&amp;E'!I82+CES!I82+LLT!I82+GB!I82</f>
        <v>126291.33600000001</v>
      </c>
      <c r="J82" s="7">
        <f>CEO!J82+CS!J82+CFO!J82+LLA!J82+'C&amp;E'!J82+CES!J82+LLT!J82+GB!J82</f>
        <v>126291.33600000001</v>
      </c>
      <c r="K82" s="7">
        <f>CEO!K82+CS!K82+CFO!K82+LLA!K82+'C&amp;E'!K82+CES!K82+LLT!K82+GB!K82</f>
        <v>126291.33600000001</v>
      </c>
      <c r="L82" s="7">
        <f>CEO!L82+CS!L82+CFO!L82+LLA!L82+'C&amp;E'!L82+CES!L82+LLT!L82+GB!L82</f>
        <v>126291.33600000001</v>
      </c>
      <c r="M82" s="388" t="s">
        <v>474</v>
      </c>
      <c r="N82" s="7">
        <f t="shared" si="45"/>
        <v>0</v>
      </c>
      <c r="O82" s="7">
        <f t="shared" si="46"/>
        <v>1515496.0320000006</v>
      </c>
      <c r="P82" s="7">
        <f t="shared" si="50"/>
        <v>1515496.0320000006</v>
      </c>
      <c r="Q82" s="7">
        <f>CEO!Q82+CS!Q82+CFO!Q82+LLA!Q82+'C&amp;E'!Q82+CES!Q82+LLT!Q82+GB!Q82</f>
        <v>1515496.0320000006</v>
      </c>
      <c r="R82" s="7">
        <f t="shared" si="47"/>
        <v>0</v>
      </c>
      <c r="S82" s="7">
        <v>141340.00000000003</v>
      </c>
      <c r="T82" s="7">
        <f>CEO!T82+CS!T82+CFO!T82+LLA!T82+'C&amp;E'!T82+CES!T82+LLT!T82+GB!T82</f>
        <v>281269</v>
      </c>
      <c r="U82" s="7">
        <f t="shared" si="52"/>
        <v>1938105.0320000006</v>
      </c>
      <c r="V82" s="7">
        <f t="shared" si="51"/>
        <v>422609</v>
      </c>
      <c r="W82" s="7"/>
      <c r="X82" s="7">
        <f>CEO!Q82+CS!Q82+CFO!Q82+LLA!Q82+'C&amp;E'!Q82+CES!Q82+LLT!Q82+GB!Q82</f>
        <v>1515496.0320000006</v>
      </c>
      <c r="Y82" s="7">
        <f t="shared" si="48"/>
        <v>0</v>
      </c>
      <c r="Z82" s="7">
        <v>1515495.8264473763</v>
      </c>
      <c r="AA82" s="7">
        <f t="shared" si="49"/>
        <v>1586724.1302904028</v>
      </c>
      <c r="AC82" s="295">
        <f t="shared" si="31"/>
        <v>0.2055526243057102</v>
      </c>
    </row>
    <row r="83" spans="1:29" x14ac:dyDescent="0.3">
      <c r="A83" s="7">
        <f>CEO!A83+CS!A83+CFO!A83+LLA!A83+'C&amp;E'!A83+CES!A83+LLT!A83+GB!A83</f>
        <v>0</v>
      </c>
      <c r="B83" s="7">
        <f>CEO!B83+CS!B83+CFO!B83+LLA!B83+'C&amp;E'!B83+CES!B83+LLT!B83+GB!B83</f>
        <v>0</v>
      </c>
      <c r="C83" s="7">
        <f>CEO!C83+CS!C83+CFO!C83+LLA!C83+'C&amp;E'!C83+CES!C83+LLT!C83+GB!C83</f>
        <v>0</v>
      </c>
      <c r="D83" s="7">
        <f>CEO!D83+CS!D83+CFO!D83+LLA!D83+'C&amp;E'!D83+CES!D83+LLT!D83+GB!D83</f>
        <v>0</v>
      </c>
      <c r="E83" s="7">
        <f>CEO!E83+CS!E83+CFO!E83+LLA!E83+'C&amp;E'!E83+CES!E83+LLT!E83+GB!E83</f>
        <v>0</v>
      </c>
      <c r="F83" s="7">
        <f>CEO!F83+CS!F83+CFO!F83+LLA!F83+'C&amp;E'!F83+CES!F83+LLT!F83+GB!F83</f>
        <v>0</v>
      </c>
      <c r="G83" s="7">
        <f>CEO!G83+CS!G83+CFO!G83+LLA!G83+'C&amp;E'!G83+CES!G83+LLT!G83+GB!G83</f>
        <v>0</v>
      </c>
      <c r="H83" s="7">
        <f>CEO!H83+CS!H83+CFO!H83+LLA!H83+'C&amp;E'!H83+CES!H83+LLT!H83+GB!H83</f>
        <v>0</v>
      </c>
      <c r="I83" s="7">
        <f>CEO!I83+CS!I83+CFO!I83+LLA!I83+'C&amp;E'!I83+CES!I83+LLT!I83+GB!I83</f>
        <v>0</v>
      </c>
      <c r="J83" s="7">
        <f>CEO!J83+CS!J83+CFO!J83+LLA!J83+'C&amp;E'!J83+CES!J83+LLT!J83+GB!J83</f>
        <v>0</v>
      </c>
      <c r="K83" s="7">
        <f>CEO!K83+CS!K83+CFO!K83+LLA!K83+'C&amp;E'!K83+CES!K83+LLT!K83+GB!K83</f>
        <v>0</v>
      </c>
      <c r="L83" s="7">
        <f>CEO!L83+CS!L83+CFO!L83+LLA!L83+'C&amp;E'!L83+CES!L83+LLT!L83+GB!L83</f>
        <v>0</v>
      </c>
      <c r="M83" s="388" t="s">
        <v>148</v>
      </c>
      <c r="N83" s="7">
        <f t="shared" si="45"/>
        <v>0</v>
      </c>
      <c r="O83" s="7">
        <f t="shared" si="46"/>
        <v>0</v>
      </c>
      <c r="P83" s="7">
        <f t="shared" si="50"/>
        <v>0</v>
      </c>
      <c r="Q83" s="7">
        <f>CEO!Q83+CS!Q83+CFO!Q83+LLA!Q83+'C&amp;E'!Q83+CES!Q83+LLT!Q83+GB!Q83</f>
        <v>0</v>
      </c>
      <c r="R83" s="7">
        <f t="shared" si="47"/>
        <v>0</v>
      </c>
      <c r="S83" s="7">
        <v>0</v>
      </c>
      <c r="T83" s="7">
        <f>CEO!T83+CS!T83+CFO!T83+LLA!T83+'C&amp;E'!T83+CES!T83+LLT!T83+GB!T83</f>
        <v>0</v>
      </c>
      <c r="U83" s="7">
        <f t="shared" si="52"/>
        <v>0</v>
      </c>
      <c r="V83" s="7">
        <f t="shared" si="51"/>
        <v>0</v>
      </c>
      <c r="W83" s="7"/>
      <c r="X83" s="7">
        <f>CEO!Q83+CS!Q83+CFO!Q83+LLA!Q83+'C&amp;E'!Q83+CES!Q83+LLT!Q83+GB!Q83</f>
        <v>0</v>
      </c>
      <c r="Y83" s="7">
        <f t="shared" si="48"/>
        <v>0</v>
      </c>
      <c r="Z83" s="7">
        <v>0</v>
      </c>
      <c r="AA83" s="7">
        <f t="shared" si="49"/>
        <v>0</v>
      </c>
      <c r="AC83" s="295">
        <f t="shared" si="31"/>
        <v>0</v>
      </c>
    </row>
    <row r="84" spans="1:29" x14ac:dyDescent="0.3">
      <c r="A84" s="7">
        <f>CEO!A84+CS!A84+CFO!A84+LLA!A84+'C&amp;E'!A84+CES!A84+LLT!A84+GB!A84</f>
        <v>0</v>
      </c>
      <c r="B84" s="7">
        <f>CEO!B84+CS!B84+CFO!B84+LLA!B84+'C&amp;E'!B84+CES!B84+LLT!B84+GB!B84</f>
        <v>0</v>
      </c>
      <c r="C84" s="7">
        <f>CEO!C84+CS!C84+CFO!C84+LLA!C84+'C&amp;E'!C84+CES!C84+LLT!C84+GB!C84</f>
        <v>0</v>
      </c>
      <c r="D84" s="7">
        <f>CEO!D84+CS!D84+CFO!D84+LLA!D84+'C&amp;E'!D84+CES!D84+LLT!D84+GB!D84</f>
        <v>0</v>
      </c>
      <c r="E84" s="7">
        <f>CEO!E84+CS!E84+CFO!E84+LLA!E84+'C&amp;E'!E84+CES!E84+LLT!E84+GB!E84</f>
        <v>0</v>
      </c>
      <c r="F84" s="7">
        <f>CEO!F84+CS!F84+CFO!F84+LLA!F84+'C&amp;E'!F84+CES!F84+LLT!F84+GB!F84</f>
        <v>0</v>
      </c>
      <c r="G84" s="7">
        <f>CEO!G84+CS!G84+CFO!G84+LLA!G84+'C&amp;E'!G84+CES!G84+LLT!G84+GB!G84</f>
        <v>0</v>
      </c>
      <c r="H84" s="7">
        <f>CEO!H84+CS!H84+CFO!H84+LLA!H84+'C&amp;E'!H84+CES!H84+LLT!H84+GB!H84</f>
        <v>0</v>
      </c>
      <c r="I84" s="7">
        <f>CEO!I84+CS!I84+CFO!I84+LLA!I84+'C&amp;E'!I84+CES!I84+LLT!I84+GB!I84</f>
        <v>0</v>
      </c>
      <c r="J84" s="7">
        <f>CEO!J84+CS!J84+CFO!J84+LLA!J84+'C&amp;E'!J84+CES!J84+LLT!J84+GB!J84</f>
        <v>0</v>
      </c>
      <c r="K84" s="7">
        <f>CEO!K84+CS!K84+CFO!K84+LLA!K84+'C&amp;E'!K84+CES!K84+LLT!K84+GB!K84</f>
        <v>0</v>
      </c>
      <c r="L84" s="7">
        <f>CEO!L84+CS!L84+CFO!L84+LLA!L84+'C&amp;E'!L84+CES!L84+LLT!L84+GB!L84</f>
        <v>0</v>
      </c>
      <c r="M84" s="13" t="s">
        <v>475</v>
      </c>
      <c r="N84" s="7">
        <f t="shared" si="45"/>
        <v>0</v>
      </c>
      <c r="O84" s="7">
        <f t="shared" si="46"/>
        <v>0</v>
      </c>
      <c r="P84" s="7">
        <f t="shared" si="50"/>
        <v>0</v>
      </c>
      <c r="Q84" s="7">
        <f>CEO!Q84+CS!Q84+CFO!Q84+LLA!Q84+'C&amp;E'!Q84+CES!Q84+LLT!Q84+GB!Q84</f>
        <v>0</v>
      </c>
      <c r="R84" s="7">
        <f t="shared" si="47"/>
        <v>0</v>
      </c>
      <c r="S84" s="7">
        <v>0</v>
      </c>
      <c r="T84" s="7">
        <f>CEO!T84+CS!T84+CFO!T84+LLA!T84+'C&amp;E'!T84+CES!T84+LLT!T84+GB!T84</f>
        <v>0</v>
      </c>
      <c r="U84" s="7">
        <f t="shared" si="52"/>
        <v>0</v>
      </c>
      <c r="V84" s="7">
        <f t="shared" si="51"/>
        <v>0</v>
      </c>
      <c r="W84" s="7"/>
      <c r="X84" s="7">
        <f>CEO!Q84+CS!Q84+CFO!Q84+LLA!Q84+'C&amp;E'!Q84+CES!Q84+LLT!Q84+GB!Q84</f>
        <v>0</v>
      </c>
      <c r="Y84" s="7">
        <f t="shared" si="48"/>
        <v>0</v>
      </c>
      <c r="Z84" s="7">
        <v>0</v>
      </c>
      <c r="AA84" s="7">
        <f t="shared" si="49"/>
        <v>0</v>
      </c>
      <c r="AC84" s="295">
        <f t="shared" si="31"/>
        <v>0</v>
      </c>
    </row>
    <row r="85" spans="1:29" x14ac:dyDescent="0.3">
      <c r="A85" s="7">
        <f>CEO!A85+CS!A85+CFO!A85+LLA!A85+'C&amp;E'!A85+CES!A85+LLT!A85+GB!A85</f>
        <v>0</v>
      </c>
      <c r="B85" s="7">
        <f>CEO!B85+CS!B85+CFO!B85+LLA!B85+'C&amp;E'!B85+CES!B85+LLT!B85+GB!B85</f>
        <v>0</v>
      </c>
      <c r="C85" s="7">
        <f>CEO!C85+CS!C85+CFO!C85+LLA!C85+'C&amp;E'!C85+CES!C85+LLT!C85+GB!C85</f>
        <v>0</v>
      </c>
      <c r="D85" s="7">
        <f>CEO!D85+CS!D85+CFO!D85+LLA!D85+'C&amp;E'!D85+CES!D85+LLT!D85+GB!D85</f>
        <v>0</v>
      </c>
      <c r="E85" s="7">
        <f>CEO!E85+CS!E85+CFO!E85+LLA!E85+'C&amp;E'!E85+CES!E85+LLT!E85+GB!E85</f>
        <v>0</v>
      </c>
      <c r="F85" s="7">
        <f>CEO!F85+CS!F85+CFO!F85+LLA!F85+'C&amp;E'!F85+CES!F85+LLT!F85+GB!F85</f>
        <v>0</v>
      </c>
      <c r="G85" s="7">
        <f>CEO!G85+CS!G85+CFO!G85+LLA!G85+'C&amp;E'!G85+CES!G85+LLT!G85+GB!G85</f>
        <v>0</v>
      </c>
      <c r="H85" s="7">
        <f>CEO!H85+CS!H85+CFO!H85+LLA!H85+'C&amp;E'!H85+CES!H85+LLT!H85+GB!H85</f>
        <v>0</v>
      </c>
      <c r="I85" s="7">
        <f>CEO!I85+CS!I85+CFO!I85+LLA!I85+'C&amp;E'!I85+CES!I85+LLT!I85+GB!I85</f>
        <v>0</v>
      </c>
      <c r="J85" s="7">
        <f>CEO!J85+CS!J85+CFO!J85+LLA!J85+'C&amp;E'!J85+CES!J85+LLT!J85+GB!J85</f>
        <v>0</v>
      </c>
      <c r="K85" s="7">
        <f>CEO!K85+CS!K85+CFO!K85+LLA!K85+'C&amp;E'!K85+CES!K85+LLT!K85+GB!K85</f>
        <v>0</v>
      </c>
      <c r="L85" s="7">
        <f>CEO!L85+CS!L85+CFO!L85+LLA!L85+'C&amp;E'!L85+CES!L85+LLT!L85+GB!L85</f>
        <v>0</v>
      </c>
      <c r="M85" s="13" t="s">
        <v>476</v>
      </c>
      <c r="N85" s="7">
        <f t="shared" si="45"/>
        <v>0</v>
      </c>
      <c r="O85" s="7">
        <f t="shared" si="46"/>
        <v>0</v>
      </c>
      <c r="P85" s="7">
        <f t="shared" si="50"/>
        <v>0</v>
      </c>
      <c r="Q85" s="7">
        <f>CEO!Q85+CS!Q85+CFO!Q85+LLA!Q85+'C&amp;E'!Q85+CES!Q85+LLT!Q85+GB!Q85</f>
        <v>0</v>
      </c>
      <c r="R85" s="7">
        <f t="shared" si="47"/>
        <v>0</v>
      </c>
      <c r="S85" s="7">
        <v>16103.362572296999</v>
      </c>
      <c r="T85" s="7">
        <f>CEO!T85+CS!T85+CFO!T85+LLA!T85+'C&amp;E'!T85+CES!T85+LLT!T85+GB!T85</f>
        <v>0</v>
      </c>
      <c r="U85" s="7">
        <f t="shared" si="52"/>
        <v>16103.362572296999</v>
      </c>
      <c r="V85" s="7">
        <f t="shared" si="51"/>
        <v>16103.362572296999</v>
      </c>
      <c r="W85" s="7"/>
      <c r="X85" s="7">
        <f>CEO!Q85+CS!Q85+CFO!Q85+LLA!Q85+'C&amp;E'!Q85+CES!Q85+LLT!Q85+GB!Q85</f>
        <v>0</v>
      </c>
      <c r="Y85" s="7">
        <f t="shared" si="48"/>
        <v>0</v>
      </c>
      <c r="Z85" s="7">
        <v>0</v>
      </c>
      <c r="AA85" s="7">
        <f t="shared" si="49"/>
        <v>0</v>
      </c>
      <c r="AC85" s="295">
        <f t="shared" si="31"/>
        <v>0</v>
      </c>
    </row>
    <row r="86" spans="1:29" x14ac:dyDescent="0.3">
      <c r="A86" s="7">
        <f>CEO!A86+CS!A86+CFO!A86+LLA!A86+'C&amp;E'!A86+CES!A86+LLT!A86+GB!A86</f>
        <v>0</v>
      </c>
      <c r="B86" s="7">
        <f>CEO!B86+CS!B86+CFO!B86+LLA!B86+'C&amp;E'!B86+CES!B86+LLT!B86+GB!B86</f>
        <v>0</v>
      </c>
      <c r="C86" s="7">
        <f>CEO!C86+CS!C86+CFO!C86+LLA!C86+'C&amp;E'!C86+CES!C86+LLT!C86+GB!C86</f>
        <v>0</v>
      </c>
      <c r="D86" s="7">
        <f>CEO!D86+CS!D86+CFO!D86+LLA!D86+'C&amp;E'!D86+CES!D86+LLT!D86+GB!D86</f>
        <v>0</v>
      </c>
      <c r="E86" s="7">
        <f>CEO!E86+CS!E86+CFO!E86+LLA!E86+'C&amp;E'!E86+CES!E86+LLT!E86+GB!E86</f>
        <v>0</v>
      </c>
      <c r="F86" s="7">
        <f>CEO!F86+CS!F86+CFO!F86+LLA!F86+'C&amp;E'!F86+CES!F86+LLT!F86+GB!F86</f>
        <v>0</v>
      </c>
      <c r="G86" s="7">
        <f>CEO!G86+CS!G86+CFO!G86+LLA!G86+'C&amp;E'!G86+CES!G86+LLT!G86+GB!G86</f>
        <v>0</v>
      </c>
      <c r="H86" s="7">
        <f>CEO!H86+CS!H86+CFO!H86+LLA!H86+'C&amp;E'!H86+CES!H86+LLT!H86+GB!H86</f>
        <v>0</v>
      </c>
      <c r="I86" s="7">
        <f>CEO!I86+CS!I86+CFO!I86+LLA!I86+'C&amp;E'!I86+CES!I86+LLT!I86+GB!I86</f>
        <v>0</v>
      </c>
      <c r="J86" s="7">
        <f>CEO!J86+CS!J86+CFO!J86+LLA!J86+'C&amp;E'!J86+CES!J86+LLT!J86+GB!J86</f>
        <v>0</v>
      </c>
      <c r="K86" s="7">
        <f>CEO!K86+CS!K86+CFO!K86+LLA!K86+'C&amp;E'!K86+CES!K86+LLT!K86+GB!K86</f>
        <v>0</v>
      </c>
      <c r="L86" s="7">
        <f>CEO!L86+CS!L86+CFO!L86+LLA!L86+'C&amp;E'!L86+CES!L86+LLT!L86+GB!L86</f>
        <v>0</v>
      </c>
      <c r="M86" s="13" t="s">
        <v>151</v>
      </c>
      <c r="N86" s="7">
        <f t="shared" si="45"/>
        <v>0</v>
      </c>
      <c r="O86" s="7">
        <f t="shared" si="46"/>
        <v>0</v>
      </c>
      <c r="P86" s="7">
        <f t="shared" si="50"/>
        <v>0</v>
      </c>
      <c r="Q86" s="7">
        <f>CEO!Q86+CS!Q86+CFO!Q86+LLA!Q86+'C&amp;E'!Q86+CES!Q86+LLT!Q86+GB!Q86</f>
        <v>0</v>
      </c>
      <c r="R86" s="7">
        <f t="shared" si="47"/>
        <v>0</v>
      </c>
      <c r="S86" s="7">
        <v>0</v>
      </c>
      <c r="T86" s="7">
        <f>CEO!T86+CS!T86+CFO!T86+LLA!T86+'C&amp;E'!T86+CES!T86+LLT!T86+GB!T86</f>
        <v>0</v>
      </c>
      <c r="U86" s="7">
        <f t="shared" si="52"/>
        <v>0</v>
      </c>
      <c r="V86" s="7">
        <f t="shared" si="51"/>
        <v>0</v>
      </c>
      <c r="W86" s="7"/>
      <c r="X86" s="7">
        <f>CEO!Q86+CS!Q86+CFO!Q86+LLA!Q86+'C&amp;E'!Q86+CES!Q86+LLT!Q86+GB!Q86</f>
        <v>0</v>
      </c>
      <c r="Y86" s="7">
        <f t="shared" si="48"/>
        <v>0</v>
      </c>
      <c r="Z86" s="7">
        <v>0</v>
      </c>
      <c r="AA86" s="7">
        <f t="shared" si="49"/>
        <v>0</v>
      </c>
      <c r="AC86" s="295">
        <f t="shared" si="31"/>
        <v>0</v>
      </c>
    </row>
    <row r="87" spans="1:29" x14ac:dyDescent="0.3">
      <c r="A87" s="7">
        <f>CEO!A87+CS!A87+CFO!A87+LLA!A87+'C&amp;E'!A87+CES!A87+LLT!A87+GB!A87</f>
        <v>4318.808</v>
      </c>
      <c r="B87" s="7">
        <f>CEO!B87+CS!B87+CFO!B87+LLA!B87+'C&amp;E'!B87+CES!B87+LLT!B87+GB!B87</f>
        <v>4318.808</v>
      </c>
      <c r="C87" s="7">
        <f>CEO!C87+CS!C87+CFO!C87+LLA!C87+'C&amp;E'!C87+CES!C87+LLT!C87+GB!C87</f>
        <v>4318.808</v>
      </c>
      <c r="D87" s="7">
        <f>CEO!D87+CS!D87+CFO!D87+LLA!D87+'C&amp;E'!D87+CES!D87+LLT!D87+GB!D87</f>
        <v>4318.808</v>
      </c>
      <c r="E87" s="7">
        <f>CEO!E87+CS!E87+CFO!E87+LLA!E87+'C&amp;E'!E87+CES!E87+LLT!E87+GB!E87</f>
        <v>4318.808</v>
      </c>
      <c r="F87" s="7">
        <f>CEO!F87+CS!F87+CFO!F87+LLA!F87+'C&amp;E'!F87+CES!F87+LLT!F87+GB!F87</f>
        <v>4318.808</v>
      </c>
      <c r="G87" s="7">
        <f>CEO!G87+CS!G87+CFO!G87+LLA!G87+'C&amp;E'!G87+CES!G87+LLT!G87+GB!G87</f>
        <v>4318.808</v>
      </c>
      <c r="H87" s="7">
        <f>CEO!H87+CS!H87+CFO!H87+LLA!H87+'C&amp;E'!H87+CES!H87+LLT!H87+GB!H87</f>
        <v>4318.808</v>
      </c>
      <c r="I87" s="7">
        <f>CEO!I87+CS!I87+CFO!I87+LLA!I87+'C&amp;E'!I87+CES!I87+LLT!I87+GB!I87</f>
        <v>4318.808</v>
      </c>
      <c r="J87" s="7">
        <f>CEO!J87+CS!J87+CFO!J87+LLA!J87+'C&amp;E'!J87+CES!J87+LLT!J87+GB!J87</f>
        <v>4318.808</v>
      </c>
      <c r="K87" s="7">
        <f>CEO!K87+CS!K87+CFO!K87+LLA!K87+'C&amp;E'!K87+CES!K87+LLT!K87+GB!K87</f>
        <v>4318.808</v>
      </c>
      <c r="L87" s="7">
        <f>CEO!L87+CS!L87+CFO!L87+LLA!L87+'C&amp;E'!L87+CES!L87+LLT!L87+GB!L87</f>
        <v>4318.808</v>
      </c>
      <c r="M87" s="13" t="s">
        <v>477</v>
      </c>
      <c r="N87" s="7">
        <f t="shared" si="45"/>
        <v>0</v>
      </c>
      <c r="O87" s="7">
        <f t="shared" si="46"/>
        <v>51825.695999999989</v>
      </c>
      <c r="P87" s="7">
        <f t="shared" si="50"/>
        <v>51825.695999999989</v>
      </c>
      <c r="Q87" s="7">
        <f>CEO!Q87+CS!Q87+CFO!Q87+LLA!Q87+'C&amp;E'!Q87+CES!Q87+LLT!Q87+GB!Q87</f>
        <v>51825.695999999989</v>
      </c>
      <c r="R87" s="7">
        <f t="shared" si="47"/>
        <v>0</v>
      </c>
      <c r="S87" s="7">
        <v>100000</v>
      </c>
      <c r="T87" s="7">
        <f>CEO!T87+CS!T87+CFO!T87+LLA!T87+'C&amp;E'!T87+CES!T87+LLT!T87+GB!T87</f>
        <v>19393</v>
      </c>
      <c r="U87" s="7">
        <f t="shared" si="52"/>
        <v>171218.696</v>
      </c>
      <c r="V87" s="7">
        <f t="shared" si="51"/>
        <v>119393</v>
      </c>
      <c r="W87" s="7"/>
      <c r="X87" s="7">
        <f>CEO!Q87+CS!Q87+CFO!Q87+LLA!Q87+'C&amp;E'!Q87+CES!Q87+LLT!Q87+GB!Q87</f>
        <v>51825.695999999989</v>
      </c>
      <c r="Y87" s="7">
        <f t="shared" si="48"/>
        <v>0</v>
      </c>
      <c r="Z87" s="7">
        <v>51825.696000000004</v>
      </c>
      <c r="AA87" s="7">
        <f t="shared" si="49"/>
        <v>54261.503711999998</v>
      </c>
      <c r="AC87" s="295">
        <f t="shared" si="31"/>
        <v>0</v>
      </c>
    </row>
    <row r="88" spans="1:29" x14ac:dyDescent="0.3">
      <c r="A88" s="7">
        <f>CEO!A88+CS!A88+CFO!A88+LLA!A88+'C&amp;E'!A88+CES!A88+LLT!A88+GB!A88</f>
        <v>0</v>
      </c>
      <c r="B88" s="7">
        <f>CEO!B88+CS!B88+CFO!B88+LLA!B88+'C&amp;E'!B88+CES!B88+LLT!B88+GB!B88</f>
        <v>0</v>
      </c>
      <c r="C88" s="7">
        <f>CEO!C88+CS!C88+CFO!C88+LLA!C88+'C&amp;E'!C88+CES!C88+LLT!C88+GB!C88</f>
        <v>0</v>
      </c>
      <c r="D88" s="7">
        <f>CEO!D88+CS!D88+CFO!D88+LLA!D88+'C&amp;E'!D88+CES!D88+LLT!D88+GB!D88</f>
        <v>0</v>
      </c>
      <c r="E88" s="7">
        <f>CEO!E88+CS!E88+CFO!E88+LLA!E88+'C&amp;E'!E88+CES!E88+LLT!E88+GB!E88</f>
        <v>0</v>
      </c>
      <c r="F88" s="7">
        <f>CEO!F88+CS!F88+CFO!F88+LLA!F88+'C&amp;E'!F88+CES!F88+LLT!F88+GB!F88</f>
        <v>0</v>
      </c>
      <c r="G88" s="7">
        <f>CEO!G88+CS!G88+CFO!G88+LLA!G88+'C&amp;E'!G88+CES!G88+LLT!G88+GB!G88</f>
        <v>0</v>
      </c>
      <c r="H88" s="7">
        <f>CEO!H88+CS!H88+CFO!H88+LLA!H88+'C&amp;E'!H88+CES!H88+LLT!H88+GB!H88</f>
        <v>0</v>
      </c>
      <c r="I88" s="7">
        <f>CEO!I88+CS!I88+CFO!I88+LLA!I88+'C&amp;E'!I88+CES!I88+LLT!I88+GB!I88</f>
        <v>0</v>
      </c>
      <c r="J88" s="7">
        <f>CEO!J88+CS!J88+CFO!J88+LLA!J88+'C&amp;E'!J88+CES!J88+LLT!J88+GB!J88</f>
        <v>0</v>
      </c>
      <c r="K88" s="7">
        <f>CEO!K88+CS!K88+CFO!K88+LLA!K88+'C&amp;E'!K88+CES!K88+LLT!K88+GB!K88</f>
        <v>0</v>
      </c>
      <c r="L88" s="7">
        <f>CEO!L88+CS!L88+CFO!L88+LLA!L88+'C&amp;E'!L88+CES!L88+LLT!L88+GB!L88</f>
        <v>0</v>
      </c>
      <c r="M88" s="13" t="s">
        <v>478</v>
      </c>
      <c r="N88" s="7">
        <f t="shared" si="45"/>
        <v>0</v>
      </c>
      <c r="O88" s="7">
        <f t="shared" si="46"/>
        <v>0</v>
      </c>
      <c r="P88" s="7">
        <f t="shared" si="50"/>
        <v>0</v>
      </c>
      <c r="Q88" s="7">
        <f>CEO!Q88+CS!Q88+CFO!Q88+LLA!Q88+'C&amp;E'!Q88+CES!Q88+LLT!Q88+GB!Q88</f>
        <v>0</v>
      </c>
      <c r="R88" s="7">
        <f t="shared" si="47"/>
        <v>0</v>
      </c>
      <c r="S88" s="7">
        <v>-16103.362572296999</v>
      </c>
      <c r="T88" s="7">
        <f>CEO!T88+CS!T88+CFO!T88+LLA!T88+'C&amp;E'!T88+CES!T88+LLT!T88+GB!T88</f>
        <v>0</v>
      </c>
      <c r="U88" s="7">
        <f t="shared" si="52"/>
        <v>-16103.362572296999</v>
      </c>
      <c r="V88" s="7">
        <f t="shared" si="51"/>
        <v>-16103.362572296999</v>
      </c>
      <c r="W88" s="7"/>
      <c r="X88" s="7">
        <f>CEO!Q88+CS!Q88+CFO!Q88+LLA!Q88+'C&amp;E'!Q88+CES!Q88+LLT!Q88+GB!Q88</f>
        <v>0</v>
      </c>
      <c r="Y88" s="7">
        <f t="shared" si="48"/>
        <v>0</v>
      </c>
      <c r="Z88" s="7">
        <v>0</v>
      </c>
      <c r="AA88" s="7">
        <f t="shared" si="49"/>
        <v>0</v>
      </c>
      <c r="AC88" s="295">
        <f t="shared" si="31"/>
        <v>0</v>
      </c>
    </row>
    <row r="89" spans="1:29" x14ac:dyDescent="0.3">
      <c r="A89" s="11">
        <f>CEO!A89+CS!A89+CFO!A89+LLA!A89+'C&amp;E'!A89+CES!A89+LLT!A89+GB!A89</f>
        <v>0</v>
      </c>
      <c r="B89" s="11">
        <f>CEO!B89+CS!B89+CFO!B89+LLA!B89+'C&amp;E'!B89+CES!B89+LLT!B89+GB!B89</f>
        <v>0</v>
      </c>
      <c r="C89" s="11">
        <f>CEO!C89+CS!C89+CFO!C89+LLA!C89+'C&amp;E'!C89+CES!C89+LLT!C89+GB!C89</f>
        <v>0</v>
      </c>
      <c r="D89" s="11">
        <f>CEO!D89+CS!D89+CFO!D89+LLA!D89+'C&amp;E'!D89+CES!D89+LLT!D89+GB!D89</f>
        <v>0</v>
      </c>
      <c r="E89" s="11">
        <f>CEO!E89+CS!E89+CFO!E89+LLA!E89+'C&amp;E'!E89+CES!E89+LLT!E89+GB!E89</f>
        <v>0</v>
      </c>
      <c r="F89" s="11">
        <f>CEO!F89+CS!F89+CFO!F89+LLA!F89+'C&amp;E'!F89+CES!F89+LLT!F89+GB!F89</f>
        <v>0</v>
      </c>
      <c r="G89" s="11">
        <f>CEO!G89+CS!G89+CFO!G89+LLA!G89+'C&amp;E'!G89+CES!G89+LLT!G89+GB!G89</f>
        <v>0</v>
      </c>
      <c r="H89" s="11">
        <f>CEO!H89+CS!H89+CFO!H89+LLA!H89+'C&amp;E'!H89+CES!H89+LLT!H89+GB!H89</f>
        <v>0</v>
      </c>
      <c r="I89" s="11">
        <f>CEO!I89+CS!I89+CFO!I89+LLA!I89+'C&amp;E'!I89+CES!I89+LLT!I89+GB!I89</f>
        <v>0</v>
      </c>
      <c r="J89" s="11">
        <f>CEO!J89+CS!J89+CFO!J89+LLA!J89+'C&amp;E'!J89+CES!J89+LLT!J89+GB!J89</f>
        <v>0</v>
      </c>
      <c r="K89" s="11">
        <f>CEO!K89+CS!K89+CFO!K89+LLA!K89+'C&amp;E'!K89+CES!K89+LLT!K89+GB!K89</f>
        <v>0</v>
      </c>
      <c r="L89" s="11">
        <f>CEO!L89+CS!L89+CFO!L89+LLA!L89+'C&amp;E'!L89+CES!L89+LLT!L89+GB!L89</f>
        <v>0</v>
      </c>
      <c r="M89" s="388" t="s">
        <v>479</v>
      </c>
      <c r="N89" s="11">
        <f t="shared" si="45"/>
        <v>0</v>
      </c>
      <c r="O89" s="11">
        <f t="shared" si="46"/>
        <v>0</v>
      </c>
      <c r="P89" s="11">
        <f t="shared" si="50"/>
        <v>0</v>
      </c>
      <c r="Q89" s="11">
        <f>CEO!Q89+CS!Q89+CFO!Q89+LLA!Q89+'C&amp;E'!Q89+CES!Q89+LLT!Q89+GB!Q89</f>
        <v>0</v>
      </c>
      <c r="R89" s="11">
        <f t="shared" si="47"/>
        <v>0</v>
      </c>
      <c r="S89" s="11">
        <v>0</v>
      </c>
      <c r="T89" s="11">
        <f>CEO!T89+CS!T89+CFO!T89+LLA!T89+'C&amp;E'!T89+CES!T89+LLT!T89+GB!T89</f>
        <v>0</v>
      </c>
      <c r="U89" s="11">
        <f t="shared" si="52"/>
        <v>0</v>
      </c>
      <c r="V89" s="11">
        <f t="shared" si="51"/>
        <v>0</v>
      </c>
      <c r="W89" s="11"/>
      <c r="X89" s="11">
        <f>CEO!Q89+CS!Q89+CFO!Q89+LLA!Q89+'C&amp;E'!Q89+CES!Q89+LLT!Q89+GB!Q89</f>
        <v>0</v>
      </c>
      <c r="Y89" s="11">
        <f t="shared" si="48"/>
        <v>0</v>
      </c>
      <c r="Z89" s="11">
        <v>0</v>
      </c>
      <c r="AA89" s="11">
        <f t="shared" si="49"/>
        <v>0</v>
      </c>
      <c r="AC89" s="295">
        <f t="shared" si="31"/>
        <v>0</v>
      </c>
    </row>
    <row r="90" spans="1:29" ht="4.2" customHeight="1" thickBot="1" x14ac:dyDescent="0.35">
      <c r="A90" s="93"/>
      <c r="B90" s="93"/>
      <c r="C90" s="93"/>
      <c r="D90" s="94"/>
      <c r="E90" s="91"/>
      <c r="F90" s="91"/>
      <c r="G90" s="91"/>
      <c r="H90" s="91"/>
      <c r="I90" s="91"/>
      <c r="J90" s="91"/>
      <c r="K90" s="91"/>
      <c r="L90" s="91"/>
      <c r="M90" s="13"/>
      <c r="N90" s="91">
        <f t="shared" ref="N90:N128" si="53">SUM(A90:J90)</f>
        <v>0</v>
      </c>
      <c r="O90" s="91">
        <f t="shared" ref="O90:O128" si="54">SUM(K90:L90)</f>
        <v>0</v>
      </c>
      <c r="P90" s="91">
        <f t="shared" si="50"/>
        <v>0</v>
      </c>
      <c r="Q90" s="91"/>
      <c r="R90" s="91">
        <f t="shared" ref="R90:R103" si="55">P90-Q90</f>
        <v>0</v>
      </c>
      <c r="S90" s="91">
        <v>0</v>
      </c>
      <c r="T90" s="93">
        <f>CEO!T90+CS!T90+CFO!T90+LLA!T90+'C&amp;E'!T90+CES!T90+LLT!T90+GB!T90</f>
        <v>0</v>
      </c>
      <c r="U90" s="93">
        <f t="shared" si="52"/>
        <v>0</v>
      </c>
      <c r="V90" s="93">
        <f t="shared" si="51"/>
        <v>0</v>
      </c>
      <c r="W90" s="93"/>
      <c r="X90" s="91">
        <f>CEO!Q90+CS!Q90+CFO!Q90+LLA!Q90+'C&amp;E'!Q90+CES!Q90+LLT!Q90+GB!Q90</f>
        <v>0</v>
      </c>
      <c r="Y90" s="91">
        <f t="shared" ref="Y90:Y130" si="56">Q90-X90</f>
        <v>0</v>
      </c>
      <c r="Z90" s="91"/>
      <c r="AA90" s="91"/>
      <c r="AC90" s="295">
        <f t="shared" si="31"/>
        <v>0</v>
      </c>
    </row>
    <row r="91" spans="1:29" x14ac:dyDescent="0.3">
      <c r="A91" s="4">
        <f>SUM(A67:A89)</f>
        <v>582780.91044629994</v>
      </c>
      <c r="B91" s="4">
        <f>SUM(B67:B89)</f>
        <v>582780.91044629994</v>
      </c>
      <c r="C91" s="4">
        <f t="shared" ref="C91:L91" si="57">SUM(C67:C89)</f>
        <v>639786.8704462999</v>
      </c>
      <c r="D91" s="4">
        <f t="shared" si="57"/>
        <v>582780.91044629994</v>
      </c>
      <c r="E91" s="4">
        <f t="shared" si="57"/>
        <v>596136.6224463</v>
      </c>
      <c r="F91" s="4">
        <f t="shared" si="57"/>
        <v>944978.95044629998</v>
      </c>
      <c r="G91" s="4">
        <f t="shared" si="57"/>
        <v>644979.6685263</v>
      </c>
      <c r="H91" s="4">
        <f t="shared" si="57"/>
        <v>582780.91044629994</v>
      </c>
      <c r="I91" s="4">
        <f t="shared" si="57"/>
        <v>582780.91044629994</v>
      </c>
      <c r="J91" s="4">
        <f t="shared" si="57"/>
        <v>582780.91044629994</v>
      </c>
      <c r="K91" s="4">
        <f>SUM(K67:K89)</f>
        <v>614902.11044630001</v>
      </c>
      <c r="L91" s="4">
        <f t="shared" si="57"/>
        <v>601184.11044630001</v>
      </c>
      <c r="M91" s="13" t="s">
        <v>155</v>
      </c>
      <c r="N91" s="4">
        <f t="shared" ref="N91:O91" si="58">SUM(N67:N89)</f>
        <v>0</v>
      </c>
      <c r="O91" s="4">
        <f t="shared" si="58"/>
        <v>7538653.7954355991</v>
      </c>
      <c r="P91" s="4">
        <f t="shared" ref="P91" si="59">SUM(P67:P89)</f>
        <v>7538653.7954355991</v>
      </c>
      <c r="Q91" s="4">
        <f>SUM(Q67:Q89)</f>
        <v>7538653.7954355991</v>
      </c>
      <c r="R91" s="4">
        <f t="shared" ref="R91:S91" si="60">SUM(R67:R89)</f>
        <v>0</v>
      </c>
      <c r="S91" s="4">
        <f t="shared" si="60"/>
        <v>198663.00000000006</v>
      </c>
      <c r="T91" s="4">
        <f>CEO!T91+CS!T91+CFO!T91+LLA!T91+'C&amp;E'!T91+CES!T91+LLT!T91+GB!T91</f>
        <v>421210.01</v>
      </c>
      <c r="U91" s="4">
        <f t="shared" si="52"/>
        <v>8158526.8054355988</v>
      </c>
      <c r="V91" s="4">
        <f t="shared" si="51"/>
        <v>619873.00999999978</v>
      </c>
      <c r="W91" s="4"/>
      <c r="X91" s="4">
        <f>CEO!Q91+CS!Q91+CFO!Q91+LLA!Q91+'C&amp;E'!Q91+CES!Q91+LLT!Q91+GB!Q91</f>
        <v>7538653.7954356</v>
      </c>
      <c r="Y91" s="4">
        <f t="shared" si="56"/>
        <v>0</v>
      </c>
      <c r="Z91" s="4">
        <f>SUM(Z67:Z89)</f>
        <v>7538652.8652994009</v>
      </c>
      <c r="AA91" s="4">
        <f>SUM(AA67:AA89)</f>
        <v>7892969.5499684718</v>
      </c>
      <c r="AC91" s="295">
        <f t="shared" si="31"/>
        <v>0.93013619817793369</v>
      </c>
    </row>
    <row r="92" spans="1:29" x14ac:dyDescent="0.3">
      <c r="A92" s="81"/>
      <c r="B92" s="81"/>
      <c r="C92" s="81"/>
      <c r="D92" s="82"/>
      <c r="E92" s="86"/>
      <c r="F92" s="86"/>
      <c r="G92" s="86"/>
      <c r="H92" s="86"/>
      <c r="I92" s="86"/>
      <c r="J92" s="86"/>
      <c r="K92" s="86"/>
      <c r="L92" s="86"/>
      <c r="M92" s="80"/>
      <c r="N92" s="86">
        <f t="shared" si="53"/>
        <v>0</v>
      </c>
      <c r="O92" s="86">
        <f t="shared" si="54"/>
        <v>0</v>
      </c>
      <c r="P92" s="86">
        <f t="shared" si="50"/>
        <v>0</v>
      </c>
      <c r="Q92" s="86"/>
      <c r="R92" s="86">
        <f t="shared" si="55"/>
        <v>0</v>
      </c>
      <c r="S92" s="86">
        <v>0</v>
      </c>
      <c r="T92" s="81">
        <f>CEO!T92+CS!T92+CFO!T92+LLA!T92+'C&amp;E'!T92+CES!T92+LLT!T92+GB!T92</f>
        <v>0</v>
      </c>
      <c r="U92" s="81">
        <f t="shared" si="52"/>
        <v>0</v>
      </c>
      <c r="V92" s="81">
        <f t="shared" si="51"/>
        <v>0</v>
      </c>
      <c r="W92" s="81"/>
      <c r="X92" s="86">
        <f>CEO!Q92+CS!Q92+CFO!Q92+LLA!Q92+'C&amp;E'!Q92+CES!Q92+LLT!Q92+GB!Q92</f>
        <v>0</v>
      </c>
      <c r="Y92" s="86">
        <f t="shared" si="56"/>
        <v>0</v>
      </c>
      <c r="Z92" s="86"/>
      <c r="AA92" s="86"/>
    </row>
    <row r="93" spans="1:29" x14ac:dyDescent="0.3">
      <c r="A93" s="8">
        <f>CEO!A93+CS!A93+CFO!A93+LLA!A93+'C&amp;E'!A93+CES!A93+LLT!A93+GB!A93</f>
        <v>5095.3760000000002</v>
      </c>
      <c r="B93" s="8">
        <f>CEO!B93+CS!B93+CFO!B93+LLA!B93+'C&amp;E'!B93+CES!B93+LLT!B93+GB!B93</f>
        <v>3806.3360000000002</v>
      </c>
      <c r="C93" s="8">
        <f>CEO!C93+CS!C93+CFO!C93+LLA!C93+'C&amp;E'!C93+CES!C93+LLT!C93+GB!C93</f>
        <v>5095.3760000000002</v>
      </c>
      <c r="D93" s="8">
        <f>CEO!D93+CS!D93+CFO!D93+LLA!D93+'C&amp;E'!D93+CES!D93+LLT!D93+GB!D93</f>
        <v>3806.3360000000002</v>
      </c>
      <c r="E93" s="8">
        <f>CEO!E93+CS!E93+CFO!E93+LLA!E93+'C&amp;E'!E93+CES!E93+LLT!E93+GB!E93</f>
        <v>3806.3360000000002</v>
      </c>
      <c r="F93" s="8">
        <f>CEO!F93+CS!F93+CFO!F93+LLA!F93+'C&amp;E'!F93+CES!F93+LLT!F93+GB!F93</f>
        <v>3806.3360000000002</v>
      </c>
      <c r="G93" s="8">
        <f>CEO!G93+CS!G93+CFO!G93+LLA!G93+'C&amp;E'!G93+CES!G93+LLT!G93+GB!G93</f>
        <v>3806.3360000000002</v>
      </c>
      <c r="H93" s="8">
        <f>CEO!H93+CS!H93+CFO!H93+LLA!H93+'C&amp;E'!H93+CES!H93+LLT!H93+GB!H93</f>
        <v>3806.3360000000002</v>
      </c>
      <c r="I93" s="8">
        <f>CEO!I93+CS!I93+CFO!I93+LLA!I93+'C&amp;E'!I93+CES!I93+LLT!I93+GB!I93</f>
        <v>3806.3360000000002</v>
      </c>
      <c r="J93" s="8">
        <f>CEO!J93+CS!J93+CFO!J93+LLA!J93+'C&amp;E'!J93+CES!J93+LLT!J93+GB!J93</f>
        <v>3806.3360000000002</v>
      </c>
      <c r="K93" s="8">
        <f>CEO!K93+CS!K93+CFO!K93+LLA!K93+'C&amp;E'!K93+CES!K93+LLT!K93+GB!K93</f>
        <v>3806.3360000000002</v>
      </c>
      <c r="L93" s="8">
        <f>CEO!L93+CS!L93+CFO!L93+LLA!L93+'C&amp;E'!L93+CES!L93+LLT!L93+GB!L93</f>
        <v>168307.08800000002</v>
      </c>
      <c r="M93" s="388" t="s">
        <v>480</v>
      </c>
      <c r="N93" s="8">
        <f t="shared" ref="N93:N100" si="61">SUM(0)</f>
        <v>0</v>
      </c>
      <c r="O93" s="8">
        <f t="shared" ref="O93:O100" si="62">SUM(A93:L93)</f>
        <v>212754.86400000003</v>
      </c>
      <c r="P93" s="8">
        <f t="shared" si="50"/>
        <v>212754.86400000003</v>
      </c>
      <c r="Q93" s="8">
        <f>CEO!Q93+CS!Q93+CFO!Q93+LLA!Q93+'C&amp;E'!Q93+CES!Q93+LLT!Q93+GB!Q93</f>
        <v>212754.864</v>
      </c>
      <c r="R93" s="8">
        <f t="shared" ref="R93:R100" si="63">Q93-P93</f>
        <v>0</v>
      </c>
      <c r="S93" s="8">
        <v>-3791</v>
      </c>
      <c r="T93" s="8">
        <f>CEO!T93+CS!T93+CFO!T93+LLA!T93+'C&amp;E'!T93+CES!T93+LLT!T93+GB!T93</f>
        <v>27372</v>
      </c>
      <c r="U93" s="8">
        <f t="shared" si="52"/>
        <v>236335.864</v>
      </c>
      <c r="V93" s="8">
        <f t="shared" si="51"/>
        <v>23580.999999999971</v>
      </c>
      <c r="W93" s="8"/>
      <c r="X93" s="8">
        <f>CEO!Q93+CS!Q93+CFO!Q93+LLA!Q93+'C&amp;E'!Q93+CES!Q93+LLT!Q93+GB!Q93</f>
        <v>212754.864</v>
      </c>
      <c r="Y93" s="8">
        <f t="shared" ref="Y93:Y100" si="64">X93-Q93</f>
        <v>0</v>
      </c>
      <c r="Z93" s="8">
        <v>212755.045222032</v>
      </c>
      <c r="AA93" s="8">
        <f t="shared" ref="AA93:AA100" si="65">Z93*(1+AA$3)</f>
        <v>222754.5323474675</v>
      </c>
      <c r="AC93" s="295">
        <f t="shared" si="31"/>
        <v>-0.18122203199891374</v>
      </c>
    </row>
    <row r="94" spans="1:29" x14ac:dyDescent="0.3">
      <c r="A94" s="7">
        <f>CEO!A94+CS!A94+CFO!A94+LLA!A94+'C&amp;E'!A94+CES!A94+LLT!A94+GB!A94</f>
        <v>5097.3169212393295</v>
      </c>
      <c r="B94" s="7">
        <f>CEO!B94+CS!B94+CFO!B94+LLA!B94+'C&amp;E'!B94+CES!B94+LLT!B94+GB!B94</f>
        <v>4641.4369212393303</v>
      </c>
      <c r="C94" s="7">
        <f>CEO!C94+CS!C94+CFO!C94+LLA!C94+'C&amp;E'!C94+CES!C94+LLT!C94+GB!C94</f>
        <v>5097.3169212393295</v>
      </c>
      <c r="D94" s="7">
        <f>CEO!D94+CS!D94+CFO!D94+LLA!D94+'C&amp;E'!D94+CES!D94+LLT!D94+GB!D94</f>
        <v>4641.4369212393303</v>
      </c>
      <c r="E94" s="7">
        <f>CEO!E94+CS!E94+CFO!E94+LLA!E94+'C&amp;E'!E94+CES!E94+LLT!E94+GB!E94</f>
        <v>4641.4369212393303</v>
      </c>
      <c r="F94" s="7">
        <f>CEO!F94+CS!F94+CFO!F94+LLA!F94+'C&amp;E'!F94+CES!F94+LLT!F94+GB!F94</f>
        <v>4641.4369212393303</v>
      </c>
      <c r="G94" s="7">
        <f>CEO!G94+CS!G94+CFO!G94+LLA!G94+'C&amp;E'!G94+CES!G94+LLT!G94+GB!G94</f>
        <v>4641.4369212393303</v>
      </c>
      <c r="H94" s="7">
        <f>CEO!H94+CS!H94+CFO!H94+LLA!H94+'C&amp;E'!H94+CES!H94+LLT!H94+GB!H94</f>
        <v>4641.4369212393303</v>
      </c>
      <c r="I94" s="7">
        <f>CEO!I94+CS!I94+CFO!I94+LLA!I94+'C&amp;E'!I94+CES!I94+LLT!I94+GB!I94</f>
        <v>4641.4369212393303</v>
      </c>
      <c r="J94" s="7">
        <f>CEO!J94+CS!J94+CFO!J94+LLA!J94+'C&amp;E'!J94+CES!J94+LLT!J94+GB!J94</f>
        <v>4641.4369212393303</v>
      </c>
      <c r="K94" s="7">
        <f>CEO!K94+CS!K94+CFO!K94+LLA!K94+'C&amp;E'!K94+CES!K94+LLT!K94+GB!K94</f>
        <v>4641.4369212393303</v>
      </c>
      <c r="L94" s="7">
        <f>CEO!L94+CS!L94+CFO!L94+LLA!L94+'C&amp;E'!L94+CES!L94+LLT!L94+GB!L94</f>
        <v>4639.4369212393303</v>
      </c>
      <c r="M94" s="13" t="s">
        <v>481</v>
      </c>
      <c r="N94" s="7">
        <f t="shared" si="61"/>
        <v>0</v>
      </c>
      <c r="O94" s="7">
        <f t="shared" si="62"/>
        <v>56607.003054871951</v>
      </c>
      <c r="P94" s="7">
        <f t="shared" si="50"/>
        <v>56607.003054871951</v>
      </c>
      <c r="Q94" s="7">
        <f>CEO!Q94+CS!Q94+CFO!Q94+LLA!Q94+'C&amp;E'!Q94+CES!Q94+LLT!Q94+GB!Q94</f>
        <v>56607.003054871966</v>
      </c>
      <c r="R94" s="7">
        <f t="shared" si="63"/>
        <v>0</v>
      </c>
      <c r="S94" s="7">
        <v>0</v>
      </c>
      <c r="T94" s="7">
        <f>CEO!T94+CS!T94+CFO!T94+LLA!T94+'C&amp;E'!T94+CES!T94+LLT!T94+GB!T94</f>
        <v>870</v>
      </c>
      <c r="U94" s="7">
        <f t="shared" si="52"/>
        <v>57477.003054871966</v>
      </c>
      <c r="V94" s="7">
        <f t="shared" si="51"/>
        <v>870.00000000001455</v>
      </c>
      <c r="W94" s="7"/>
      <c r="X94" s="7">
        <f>CEO!Q94+CS!Q94+CFO!Q94+LLA!Q94+'C&amp;E'!Q94+CES!Q94+LLT!Q94+GB!Q94</f>
        <v>56607.003054871966</v>
      </c>
      <c r="Y94" s="7">
        <f t="shared" si="64"/>
        <v>0</v>
      </c>
      <c r="Z94" s="7">
        <v>56606.659718488008</v>
      </c>
      <c r="AA94" s="7">
        <f t="shared" si="65"/>
        <v>59267.17272525694</v>
      </c>
      <c r="AC94" s="295">
        <f t="shared" ref="AC94:AC157" si="66">Q94-Z94</f>
        <v>0.34333638395764865</v>
      </c>
    </row>
    <row r="95" spans="1:29" x14ac:dyDescent="0.3">
      <c r="A95" s="7">
        <f>CEO!A95+CS!A95+CFO!A95+LLA!A95+'C&amp;E'!A95+CES!A95+LLT!A95+GB!A95</f>
        <v>0</v>
      </c>
      <c r="B95" s="7">
        <f>CEO!B95+CS!B95+CFO!B95+LLA!B95+'C&amp;E'!B95+CES!B95+LLT!B95+GB!B95</f>
        <v>0</v>
      </c>
      <c r="C95" s="7">
        <f>CEO!C95+CS!C95+CFO!C95+LLA!C95+'C&amp;E'!C95+CES!C95+LLT!C95+GB!C95</f>
        <v>0</v>
      </c>
      <c r="D95" s="7">
        <f>CEO!D95+CS!D95+CFO!D95+LLA!D95+'C&amp;E'!D95+CES!D95+LLT!D95+GB!D95</f>
        <v>0</v>
      </c>
      <c r="E95" s="7">
        <f>CEO!E95+CS!E95+CFO!E95+LLA!E95+'C&amp;E'!E95+CES!E95+LLT!E95+GB!E95</f>
        <v>0</v>
      </c>
      <c r="F95" s="7">
        <f>CEO!F95+CS!F95+CFO!F95+LLA!F95+'C&amp;E'!F95+CES!F95+LLT!F95+GB!F95</f>
        <v>0</v>
      </c>
      <c r="G95" s="7">
        <f>CEO!G95+CS!G95+CFO!G95+LLA!G95+'C&amp;E'!G95+CES!G95+LLT!G95+GB!G95</f>
        <v>0</v>
      </c>
      <c r="H95" s="7">
        <f>CEO!H95+CS!H95+CFO!H95+LLA!H95+'C&amp;E'!H95+CES!H95+LLT!H95+GB!H95</f>
        <v>0</v>
      </c>
      <c r="I95" s="7">
        <f>CEO!I95+CS!I95+CFO!I95+LLA!I95+'C&amp;E'!I95+CES!I95+LLT!I95+GB!I95</f>
        <v>0</v>
      </c>
      <c r="J95" s="7">
        <f>CEO!J95+CS!J95+CFO!J95+LLA!J95+'C&amp;E'!J95+CES!J95+LLT!J95+GB!J95</f>
        <v>0</v>
      </c>
      <c r="K95" s="7">
        <f>CEO!K95+CS!K95+CFO!K95+LLA!K95+'C&amp;E'!K95+CES!K95+LLT!K95+GB!K95</f>
        <v>0</v>
      </c>
      <c r="L95" s="7">
        <f>CEO!L95+CS!L95+CFO!L95+LLA!L95+'C&amp;E'!L95+CES!L95+LLT!L95+GB!L95</f>
        <v>0</v>
      </c>
      <c r="M95" s="13" t="s">
        <v>482</v>
      </c>
      <c r="N95" s="7">
        <f t="shared" si="61"/>
        <v>0</v>
      </c>
      <c r="O95" s="7">
        <f t="shared" si="62"/>
        <v>0</v>
      </c>
      <c r="P95" s="7">
        <f t="shared" si="50"/>
        <v>0</v>
      </c>
      <c r="Q95" s="7">
        <f>CEO!Q95+CS!Q95+CFO!Q95+LLA!Q95+'C&amp;E'!Q95+CES!Q95+LLT!Q95+GB!Q95</f>
        <v>0</v>
      </c>
      <c r="R95" s="7">
        <f t="shared" si="63"/>
        <v>0</v>
      </c>
      <c r="S95" s="7">
        <v>0</v>
      </c>
      <c r="T95" s="7">
        <f>CEO!T95+CS!T95+CFO!T95+LLA!T95+'C&amp;E'!T95+CES!T95+LLT!T95+GB!T95</f>
        <v>0</v>
      </c>
      <c r="U95" s="7">
        <f t="shared" si="52"/>
        <v>0</v>
      </c>
      <c r="V95" s="7">
        <f t="shared" si="51"/>
        <v>0</v>
      </c>
      <c r="W95" s="7"/>
      <c r="X95" s="7">
        <f>CEO!Q95+CS!Q95+CFO!Q95+LLA!Q95+'C&amp;E'!Q95+CES!Q95+LLT!Q95+GB!Q95</f>
        <v>0</v>
      </c>
      <c r="Y95" s="7">
        <f t="shared" si="64"/>
        <v>0</v>
      </c>
      <c r="Z95" s="7">
        <v>0</v>
      </c>
      <c r="AA95" s="7">
        <f t="shared" si="65"/>
        <v>0</v>
      </c>
      <c r="AC95" s="295">
        <f t="shared" si="66"/>
        <v>0</v>
      </c>
    </row>
    <row r="96" spans="1:29" x14ac:dyDescent="0.3">
      <c r="A96" s="7">
        <f>CEO!A96+CS!A96+CFO!A96+LLA!A96+'C&amp;E'!A96+CES!A96+LLT!A96+GB!A96</f>
        <v>1210.4399999999998</v>
      </c>
      <c r="B96" s="7">
        <f>CEO!B96+CS!B96+CFO!B96+LLA!B96+'C&amp;E'!B96+CES!B96+LLT!B96+GB!B96</f>
        <v>1210.4399999999998</v>
      </c>
      <c r="C96" s="7">
        <f>CEO!C96+CS!C96+CFO!C96+LLA!C96+'C&amp;E'!C96+CES!C96+LLT!C96+GB!C96</f>
        <v>1210.4399999999998</v>
      </c>
      <c r="D96" s="7">
        <f>CEO!D96+CS!D96+CFO!D96+LLA!D96+'C&amp;E'!D96+CES!D96+LLT!D96+GB!D96</f>
        <v>1210.4399999999998</v>
      </c>
      <c r="E96" s="7">
        <f>CEO!E96+CS!E96+CFO!E96+LLA!E96+'C&amp;E'!E96+CES!E96+LLT!E96+GB!E96</f>
        <v>1210.4399999999998</v>
      </c>
      <c r="F96" s="7">
        <f>CEO!F96+CS!F96+CFO!F96+LLA!F96+'C&amp;E'!F96+CES!F96+LLT!F96+GB!F96</f>
        <v>1210.4399999999998</v>
      </c>
      <c r="G96" s="7">
        <f>CEO!G96+CS!G96+CFO!G96+LLA!G96+'C&amp;E'!G96+CES!G96+LLT!G96+GB!G96</f>
        <v>1210.4399999999998</v>
      </c>
      <c r="H96" s="7">
        <f>CEO!H96+CS!H96+CFO!H96+LLA!H96+'C&amp;E'!H96+CES!H96+LLT!H96+GB!H96</f>
        <v>1210.4399999999998</v>
      </c>
      <c r="I96" s="7">
        <f>CEO!I96+CS!I96+CFO!I96+LLA!I96+'C&amp;E'!I96+CES!I96+LLT!I96+GB!I96</f>
        <v>1210.4399999999998</v>
      </c>
      <c r="J96" s="7">
        <f>CEO!J96+CS!J96+CFO!J96+LLA!J96+'C&amp;E'!J96+CES!J96+LLT!J96+GB!J96</f>
        <v>1210.4399999999998</v>
      </c>
      <c r="K96" s="7">
        <f>CEO!K96+CS!K96+CFO!K96+LLA!K96+'C&amp;E'!K96+CES!K96+LLT!K96+GB!K96</f>
        <v>1210.4399999999998</v>
      </c>
      <c r="L96" s="7">
        <f>CEO!L96+CS!L96+CFO!L96+LLA!L96+'C&amp;E'!L96+CES!L96+LLT!L96+GB!L96</f>
        <v>1195.7109688880021</v>
      </c>
      <c r="M96" s="13" t="s">
        <v>483</v>
      </c>
      <c r="N96" s="7">
        <f t="shared" si="61"/>
        <v>0</v>
      </c>
      <c r="O96" s="7">
        <f t="shared" si="62"/>
        <v>14510.550968888003</v>
      </c>
      <c r="P96" s="7">
        <f t="shared" si="50"/>
        <v>14510.550968888003</v>
      </c>
      <c r="Q96" s="7">
        <f>CEO!Q96+CS!Q96+CFO!Q96+LLA!Q96+'C&amp;E'!Q96+CES!Q96+LLT!Q96+GB!Q96</f>
        <v>14510.550968888001</v>
      </c>
      <c r="R96" s="7">
        <f t="shared" si="63"/>
        <v>0</v>
      </c>
      <c r="S96" s="7">
        <v>-762.99999999999818</v>
      </c>
      <c r="T96" s="7">
        <f>CEO!T96+CS!T96+CFO!T96+LLA!T96+'C&amp;E'!T96+CES!T96+LLT!T96+GB!T96</f>
        <v>5202</v>
      </c>
      <c r="U96" s="7">
        <f t="shared" si="52"/>
        <v>18949.550968888005</v>
      </c>
      <c r="V96" s="7">
        <f t="shared" si="51"/>
        <v>4439.0000000000018</v>
      </c>
      <c r="W96" s="7"/>
      <c r="X96" s="7">
        <f>CEO!Q96+CS!Q96+CFO!Q96+LLA!Q96+'C&amp;E'!Q96+CES!Q96+LLT!Q96+GB!Q96</f>
        <v>14510.550968888001</v>
      </c>
      <c r="Y96" s="7">
        <f t="shared" si="64"/>
        <v>0</v>
      </c>
      <c r="Z96" s="7">
        <v>14510.550968888001</v>
      </c>
      <c r="AA96" s="7">
        <f t="shared" si="65"/>
        <v>15192.546864425736</v>
      </c>
      <c r="AC96" s="295">
        <f t="shared" si="66"/>
        <v>0</v>
      </c>
    </row>
    <row r="97" spans="1:29" x14ac:dyDescent="0.3">
      <c r="A97" s="7">
        <f>CEO!A97+CS!A97+CFO!A97+LLA!A97+'C&amp;E'!A97+CES!A97+LLT!A97+GB!A97</f>
        <v>15157.224</v>
      </c>
      <c r="B97" s="7">
        <f>CEO!B97+CS!B97+CFO!B97+LLA!B97+'C&amp;E'!B97+CES!B97+LLT!B97+GB!B97</f>
        <v>15157.224</v>
      </c>
      <c r="C97" s="7">
        <f>CEO!C97+CS!C97+CFO!C97+LLA!C97+'C&amp;E'!C97+CES!C97+LLT!C97+GB!C97</f>
        <v>15157.224</v>
      </c>
      <c r="D97" s="7">
        <f>CEO!D97+CS!D97+CFO!D97+LLA!D97+'C&amp;E'!D97+CES!D97+LLT!D97+GB!D97</f>
        <v>15157.224</v>
      </c>
      <c r="E97" s="7">
        <f>CEO!E97+CS!E97+CFO!E97+LLA!E97+'C&amp;E'!E97+CES!E97+LLT!E97+GB!E97</f>
        <v>15157.224</v>
      </c>
      <c r="F97" s="7">
        <f>CEO!F97+CS!F97+CFO!F97+LLA!F97+'C&amp;E'!F97+CES!F97+LLT!F97+GB!F97</f>
        <v>15157.224</v>
      </c>
      <c r="G97" s="7">
        <f>CEO!G97+CS!G97+CFO!G97+LLA!G97+'C&amp;E'!G97+CES!G97+LLT!G97+GB!G97</f>
        <v>15157.224</v>
      </c>
      <c r="H97" s="7">
        <f>CEO!H97+CS!H97+CFO!H97+LLA!H97+'C&amp;E'!H97+CES!H97+LLT!H97+GB!H97</f>
        <v>15157.224</v>
      </c>
      <c r="I97" s="7">
        <f>CEO!I97+CS!I97+CFO!I97+LLA!I97+'C&amp;E'!I97+CES!I97+LLT!I97+GB!I97</f>
        <v>15157.224</v>
      </c>
      <c r="J97" s="7">
        <f>CEO!J97+CS!J97+CFO!J97+LLA!J97+'C&amp;E'!J97+CES!J97+LLT!J97+GB!J97</f>
        <v>15157.224</v>
      </c>
      <c r="K97" s="7">
        <f>CEO!K97+CS!K97+CFO!K97+LLA!K97+'C&amp;E'!K97+CES!K97+LLT!K97+GB!K97</f>
        <v>15157.224</v>
      </c>
      <c r="L97" s="7">
        <f>CEO!L97+CS!L97+CFO!L97+LLA!L97+'C&amp;E'!L97+CES!L97+LLT!L97+GB!L97</f>
        <v>15149.38081138722</v>
      </c>
      <c r="M97" s="13" t="s">
        <v>484</v>
      </c>
      <c r="N97" s="7">
        <f t="shared" si="61"/>
        <v>0</v>
      </c>
      <c r="O97" s="7">
        <f t="shared" si="62"/>
        <v>181878.84481138719</v>
      </c>
      <c r="P97" s="7">
        <f t="shared" si="50"/>
        <v>181878.84481138719</v>
      </c>
      <c r="Q97" s="7">
        <f>CEO!Q97+CS!Q97+CFO!Q97+LLA!Q97+'C&amp;E'!Q97+CES!Q97+LLT!Q97+GB!Q97</f>
        <v>181878.84481138721</v>
      </c>
      <c r="R97" s="7">
        <f t="shared" si="63"/>
        <v>0</v>
      </c>
      <c r="S97" s="7">
        <v>0</v>
      </c>
      <c r="T97" s="7">
        <f>CEO!T97+CS!T97+CFO!T97+LLA!T97+'C&amp;E'!T97+CES!T97+LLT!T97+GB!T97</f>
        <v>0</v>
      </c>
      <c r="U97" s="7">
        <f t="shared" si="52"/>
        <v>181878.84481138721</v>
      </c>
      <c r="V97" s="7">
        <f t="shared" si="51"/>
        <v>0</v>
      </c>
      <c r="W97" s="7"/>
      <c r="X97" s="7">
        <f>CEO!Q97+CS!Q97+CFO!Q97+LLA!Q97+'C&amp;E'!Q97+CES!Q97+LLT!Q97+GB!Q97</f>
        <v>181878.84481138721</v>
      </c>
      <c r="Y97" s="7">
        <f t="shared" si="64"/>
        <v>0</v>
      </c>
      <c r="Z97" s="7">
        <v>181878.84481138721</v>
      </c>
      <c r="AA97" s="7">
        <f t="shared" si="65"/>
        <v>190427.15051752242</v>
      </c>
      <c r="AC97" s="295">
        <f t="shared" si="66"/>
        <v>0</v>
      </c>
    </row>
    <row r="98" spans="1:29" x14ac:dyDescent="0.3">
      <c r="A98" s="7">
        <f>CEO!A98+CS!A98+CFO!A98+LLA!A98+'C&amp;E'!A98+CES!A98+LLT!A98+GB!A98</f>
        <v>442.25600000000009</v>
      </c>
      <c r="B98" s="7">
        <f>CEO!B98+CS!B98+CFO!B98+LLA!B98+'C&amp;E'!B98+CES!B98+LLT!B98+GB!B98</f>
        <v>442.25600000000009</v>
      </c>
      <c r="C98" s="7">
        <f>CEO!C98+CS!C98+CFO!C98+LLA!C98+'C&amp;E'!C98+CES!C98+LLT!C98+GB!C98</f>
        <v>442.25600000000009</v>
      </c>
      <c r="D98" s="7">
        <f>CEO!D98+CS!D98+CFO!D98+LLA!D98+'C&amp;E'!D98+CES!D98+LLT!D98+GB!D98</f>
        <v>442.25600000000009</v>
      </c>
      <c r="E98" s="7">
        <f>CEO!E98+CS!E98+CFO!E98+LLA!E98+'C&amp;E'!E98+CES!E98+LLT!E98+GB!E98</f>
        <v>442.25600000000009</v>
      </c>
      <c r="F98" s="7">
        <f>CEO!F98+CS!F98+CFO!F98+LLA!F98+'C&amp;E'!F98+CES!F98+LLT!F98+GB!F98</f>
        <v>442.25600000000009</v>
      </c>
      <c r="G98" s="7">
        <f>CEO!G98+CS!G98+CFO!G98+LLA!G98+'C&amp;E'!G98+CES!G98+LLT!G98+GB!G98</f>
        <v>442.25600000000009</v>
      </c>
      <c r="H98" s="7">
        <f>CEO!H98+CS!H98+CFO!H98+LLA!H98+'C&amp;E'!H98+CES!H98+LLT!H98+GB!H98</f>
        <v>442.25600000000009</v>
      </c>
      <c r="I98" s="7">
        <f>CEO!I98+CS!I98+CFO!I98+LLA!I98+'C&amp;E'!I98+CES!I98+LLT!I98+GB!I98</f>
        <v>442.25600000000009</v>
      </c>
      <c r="J98" s="7">
        <f>CEO!J98+CS!J98+CFO!J98+LLA!J98+'C&amp;E'!J98+CES!J98+LLT!J98+GB!J98</f>
        <v>442.25600000000009</v>
      </c>
      <c r="K98" s="7">
        <f>CEO!K98+CS!K98+CFO!K98+LLA!K98+'C&amp;E'!K98+CES!K98+LLT!K98+GB!K98</f>
        <v>442.25600000000009</v>
      </c>
      <c r="L98" s="7">
        <f>CEO!L98+CS!L98+CFO!L98+LLA!L98+'C&amp;E'!L98+CES!L98+LLT!L98+GB!L98</f>
        <v>435.92780448400094</v>
      </c>
      <c r="M98" s="13" t="s">
        <v>485</v>
      </c>
      <c r="N98" s="7">
        <f t="shared" si="61"/>
        <v>0</v>
      </c>
      <c r="O98" s="7">
        <f t="shared" si="62"/>
        <v>5300.7438044840037</v>
      </c>
      <c r="P98" s="7">
        <f t="shared" si="50"/>
        <v>5300.7438044840037</v>
      </c>
      <c r="Q98" s="7">
        <f>CEO!Q98+CS!Q98+CFO!Q98+LLA!Q98+'C&amp;E'!Q98+CES!Q98+LLT!Q98+GB!Q98</f>
        <v>5300.7438044840001</v>
      </c>
      <c r="R98" s="7">
        <f t="shared" si="63"/>
        <v>0</v>
      </c>
      <c r="S98" s="7">
        <v>453</v>
      </c>
      <c r="T98" s="7">
        <f>CEO!T98+CS!T98+CFO!T98+LLA!T98+'C&amp;E'!T98+CES!T98+LLT!T98+GB!T98</f>
        <v>-6956</v>
      </c>
      <c r="U98" s="7">
        <f t="shared" si="52"/>
        <v>-1202.2561955159999</v>
      </c>
      <c r="V98" s="7">
        <f t="shared" si="51"/>
        <v>-6503.0000000000036</v>
      </c>
      <c r="W98" s="7"/>
      <c r="X98" s="7">
        <f>CEO!Q98+CS!Q98+CFO!Q98+LLA!Q98+'C&amp;E'!Q98+CES!Q98+LLT!Q98+GB!Q98</f>
        <v>5300.7438044840001</v>
      </c>
      <c r="Y98" s="7">
        <f t="shared" si="64"/>
        <v>0</v>
      </c>
      <c r="Z98" s="7">
        <v>5300.7438044840001</v>
      </c>
      <c r="AA98" s="7">
        <f t="shared" si="65"/>
        <v>5549.8787632947478</v>
      </c>
      <c r="AC98" s="295">
        <f t="shared" si="66"/>
        <v>0</v>
      </c>
    </row>
    <row r="99" spans="1:29" x14ac:dyDescent="0.3">
      <c r="A99" s="7">
        <f>CEO!A99+CS!A99+CFO!A99+LLA!A99+'C&amp;E'!A99+CES!A99+LLT!A99+GB!A99</f>
        <v>40422.408000000003</v>
      </c>
      <c r="B99" s="7">
        <f>CEO!B99+CS!B99+CFO!B99+LLA!B99+'C&amp;E'!B99+CES!B99+LLT!B99+GB!B99</f>
        <v>40422.408000000003</v>
      </c>
      <c r="C99" s="7">
        <f>CEO!C99+CS!C99+CFO!C99+LLA!C99+'C&amp;E'!C99+CES!C99+LLT!C99+GB!C99</f>
        <v>40422.408000000003</v>
      </c>
      <c r="D99" s="7">
        <f>CEO!D99+CS!D99+CFO!D99+LLA!D99+'C&amp;E'!D99+CES!D99+LLT!D99+GB!D99</f>
        <v>40422.408000000003</v>
      </c>
      <c r="E99" s="7">
        <f>CEO!E99+CS!E99+CFO!E99+LLA!E99+'C&amp;E'!E99+CES!E99+LLT!E99+GB!E99</f>
        <v>40422.408000000003</v>
      </c>
      <c r="F99" s="7">
        <f>CEO!F99+CS!F99+CFO!F99+LLA!F99+'C&amp;E'!F99+CES!F99+LLT!F99+GB!F99</f>
        <v>40422.408000000003</v>
      </c>
      <c r="G99" s="7">
        <f>CEO!G99+CS!G99+CFO!G99+LLA!G99+'C&amp;E'!G99+CES!G99+LLT!G99+GB!G99</f>
        <v>40422.408000000003</v>
      </c>
      <c r="H99" s="7">
        <f>CEO!H99+CS!H99+CFO!H99+LLA!H99+'C&amp;E'!H99+CES!H99+LLT!H99+GB!H99</f>
        <v>40422.408000000003</v>
      </c>
      <c r="I99" s="7">
        <f>CEO!I99+CS!I99+CFO!I99+LLA!I99+'C&amp;E'!I99+CES!I99+LLT!I99+GB!I99</f>
        <v>40422.408000000003</v>
      </c>
      <c r="J99" s="7">
        <f>CEO!J99+CS!J99+CFO!J99+LLA!J99+'C&amp;E'!J99+CES!J99+LLT!J99+GB!J99</f>
        <v>40422.408000000003</v>
      </c>
      <c r="K99" s="7">
        <f>CEO!K99+CS!K99+CFO!K99+LLA!K99+'C&amp;E'!K99+CES!K99+LLT!K99+GB!K99</f>
        <v>40422.408000000003</v>
      </c>
      <c r="L99" s="7">
        <f>CEO!L99+CS!L99+CFO!L99+LLA!L99+'C&amp;E'!L99+CES!L99+LLT!L99+GB!L99</f>
        <v>40423.718000000001</v>
      </c>
      <c r="M99" s="13" t="s">
        <v>486</v>
      </c>
      <c r="N99" s="7">
        <f t="shared" si="61"/>
        <v>0</v>
      </c>
      <c r="O99" s="7">
        <f t="shared" si="62"/>
        <v>485070.20600000001</v>
      </c>
      <c r="P99" s="7">
        <f t="shared" si="50"/>
        <v>485070.20600000001</v>
      </c>
      <c r="Q99" s="7">
        <f>CEO!Q99+CS!Q99+CFO!Q99+LLA!Q99+'C&amp;E'!Q99+CES!Q99+LLT!Q99+GB!Q99</f>
        <v>485070.20600000001</v>
      </c>
      <c r="R99" s="7">
        <f t="shared" si="63"/>
        <v>0</v>
      </c>
      <c r="S99" s="7">
        <v>-38953</v>
      </c>
      <c r="T99" s="7">
        <f>CEO!T99+CS!T99+CFO!T99+LLA!T99+'C&amp;E'!T99+CES!T99+LLT!T99+GB!T99</f>
        <v>-11071</v>
      </c>
      <c r="U99" s="7">
        <f t="shared" si="52"/>
        <v>435046.20600000001</v>
      </c>
      <c r="V99" s="7">
        <f t="shared" si="51"/>
        <v>-50024</v>
      </c>
      <c r="W99" s="7"/>
      <c r="X99" s="7">
        <f>CEO!Q99+CS!Q99+CFO!Q99+LLA!Q99+'C&amp;E'!Q99+CES!Q99+LLT!Q99+GB!Q99</f>
        <v>485070.20600000001</v>
      </c>
      <c r="Y99" s="7">
        <f t="shared" si="64"/>
        <v>0</v>
      </c>
      <c r="Z99" s="7">
        <v>485070.20600000001</v>
      </c>
      <c r="AA99" s="7">
        <f t="shared" si="65"/>
        <v>507868.50568199996</v>
      </c>
      <c r="AC99" s="295">
        <f t="shared" si="66"/>
        <v>0</v>
      </c>
    </row>
    <row r="100" spans="1:29" x14ac:dyDescent="0.3">
      <c r="A100" s="11">
        <f>CEO!A100+CS!A100+CFO!A100+LLA!A100+'C&amp;E'!A100+CES!A100+LLT!A100+GB!A100</f>
        <v>5303.9280000000008</v>
      </c>
      <c r="B100" s="11">
        <f>CEO!B100+CS!B100+CFO!B100+LLA!B100+'C&amp;E'!B100+CES!B100+LLT!B100+GB!B100</f>
        <v>2788.7280000000001</v>
      </c>
      <c r="C100" s="11">
        <f>CEO!C100+CS!C100+CFO!C100+LLA!C100+'C&amp;E'!C100+CES!C100+LLT!C100+GB!C100</f>
        <v>5303.9280000000008</v>
      </c>
      <c r="D100" s="11">
        <f>CEO!D100+CS!D100+CFO!D100+LLA!D100+'C&amp;E'!D100+CES!D100+LLT!D100+GB!D100</f>
        <v>2788.7280000000001</v>
      </c>
      <c r="E100" s="11">
        <f>CEO!E100+CS!E100+CFO!E100+LLA!E100+'C&amp;E'!E100+CES!E100+LLT!E100+GB!E100</f>
        <v>2788.7280000000001</v>
      </c>
      <c r="F100" s="11">
        <f>CEO!F100+CS!F100+CFO!F100+LLA!F100+'C&amp;E'!F100+CES!F100+LLT!F100+GB!F100</f>
        <v>2788.7280000000001</v>
      </c>
      <c r="G100" s="11">
        <f>CEO!G100+CS!G100+CFO!G100+LLA!G100+'C&amp;E'!G100+CES!G100+LLT!G100+GB!G100</f>
        <v>2788.7280000000001</v>
      </c>
      <c r="H100" s="11">
        <f>CEO!H100+CS!H100+CFO!H100+LLA!H100+'C&amp;E'!H100+CES!H100+LLT!H100+GB!H100</f>
        <v>2788.7280000000001</v>
      </c>
      <c r="I100" s="11">
        <f>CEO!I100+CS!I100+CFO!I100+LLA!I100+'C&amp;E'!I100+CES!I100+LLT!I100+GB!I100</f>
        <v>2788.7280000000001</v>
      </c>
      <c r="J100" s="11">
        <f>CEO!J100+CS!J100+CFO!J100+LLA!J100+'C&amp;E'!J100+CES!J100+LLT!J100+GB!J100</f>
        <v>2788.7280000000001</v>
      </c>
      <c r="K100" s="11">
        <f>CEO!K100+CS!K100+CFO!K100+LLA!K100+'C&amp;E'!K100+CES!K100+LLT!K100+GB!K100</f>
        <v>2788.7280000000001</v>
      </c>
      <c r="L100" s="11">
        <f>CEO!L100+CS!L100+CFO!L100+LLA!L100+'C&amp;E'!L100+CES!L100+LLT!L100+GB!L100</f>
        <v>2793.1703939239933</v>
      </c>
      <c r="M100" s="388" t="s">
        <v>487</v>
      </c>
      <c r="N100" s="11">
        <f t="shared" si="61"/>
        <v>0</v>
      </c>
      <c r="O100" s="11">
        <f t="shared" si="62"/>
        <v>38499.578393923999</v>
      </c>
      <c r="P100" s="11">
        <f t="shared" si="50"/>
        <v>38499.578393923999</v>
      </c>
      <c r="Q100" s="11">
        <f>CEO!Q100+CS!Q100+CFO!Q100+LLA!Q100+'C&amp;E'!Q100+CES!Q100+LLT!Q100+GB!Q100</f>
        <v>38499.578393923999</v>
      </c>
      <c r="R100" s="11">
        <f t="shared" si="63"/>
        <v>0</v>
      </c>
      <c r="S100" s="11">
        <v>-9525.9999999999927</v>
      </c>
      <c r="T100" s="11">
        <f>CEO!T100+CS!T100+CFO!T100+LLA!T100+'C&amp;E'!T100+CES!T100+LLT!T100+GB!T100</f>
        <v>0</v>
      </c>
      <c r="U100" s="11">
        <f t="shared" si="52"/>
        <v>28973.578393924006</v>
      </c>
      <c r="V100" s="11">
        <f t="shared" si="51"/>
        <v>-9525.9999999999927</v>
      </c>
      <c r="W100" s="11"/>
      <c r="X100" s="11">
        <f>CEO!Q100+CS!Q100+CFO!Q100+LLA!Q100+'C&amp;E'!Q100+CES!Q100+LLT!Q100+GB!Q100</f>
        <v>38499.578393923999</v>
      </c>
      <c r="Y100" s="11">
        <f t="shared" si="64"/>
        <v>0</v>
      </c>
      <c r="Z100" s="11">
        <v>38499.578393923999</v>
      </c>
      <c r="AA100" s="11">
        <f t="shared" si="65"/>
        <v>40309.058578438424</v>
      </c>
      <c r="AC100" s="295">
        <f t="shared" si="66"/>
        <v>0</v>
      </c>
    </row>
    <row r="101" spans="1:29" ht="6" customHeight="1" thickBot="1" x14ac:dyDescent="0.35">
      <c r="A101" s="89"/>
      <c r="B101" s="89"/>
      <c r="C101" s="89"/>
      <c r="D101" s="90"/>
      <c r="E101" s="91"/>
      <c r="F101" s="91"/>
      <c r="G101" s="91"/>
      <c r="H101" s="91"/>
      <c r="I101" s="91"/>
      <c r="J101" s="91"/>
      <c r="K101" s="91"/>
      <c r="L101" s="91"/>
      <c r="M101" s="13"/>
      <c r="N101" s="91">
        <f t="shared" si="53"/>
        <v>0</v>
      </c>
      <c r="O101" s="91">
        <f t="shared" si="54"/>
        <v>0</v>
      </c>
      <c r="P101" s="91">
        <f t="shared" si="50"/>
        <v>0</v>
      </c>
      <c r="Q101" s="91"/>
      <c r="R101" s="91">
        <f t="shared" si="55"/>
        <v>0</v>
      </c>
      <c r="S101" s="91">
        <v>0</v>
      </c>
      <c r="T101" s="89">
        <f>CEO!T101+CS!T101+CFO!T101+LLA!T101+'C&amp;E'!T101+CES!T101+LLT!T101+GB!T101</f>
        <v>0</v>
      </c>
      <c r="U101" s="89">
        <f t="shared" si="52"/>
        <v>0</v>
      </c>
      <c r="V101" s="89">
        <f t="shared" si="51"/>
        <v>0</v>
      </c>
      <c r="W101" s="89"/>
      <c r="X101" s="91">
        <f>CEO!Q101+CS!Q101+CFO!Q101+LLA!Q101+'C&amp;E'!Q101+CES!Q101+LLT!Q101+GB!Q101</f>
        <v>0</v>
      </c>
      <c r="Y101" s="91">
        <f t="shared" si="56"/>
        <v>0</v>
      </c>
      <c r="Z101" s="91"/>
      <c r="AA101" s="91"/>
      <c r="AC101" s="295">
        <f t="shared" si="66"/>
        <v>0</v>
      </c>
    </row>
    <row r="102" spans="1:29" x14ac:dyDescent="0.3">
      <c r="A102" s="4">
        <f>SUM(A93:A100)</f>
        <v>72728.948921239338</v>
      </c>
      <c r="B102" s="4">
        <f>SUM(B93:B100)</f>
        <v>68468.828921239343</v>
      </c>
      <c r="C102" s="4">
        <f t="shared" ref="C102:L102" si="67">SUM(C93:C100)</f>
        <v>72728.948921239338</v>
      </c>
      <c r="D102" s="4">
        <f t="shared" si="67"/>
        <v>68468.828921239343</v>
      </c>
      <c r="E102" s="4">
        <f t="shared" si="67"/>
        <v>68468.828921239343</v>
      </c>
      <c r="F102" s="4">
        <f t="shared" si="67"/>
        <v>68468.828921239343</v>
      </c>
      <c r="G102" s="4">
        <f t="shared" si="67"/>
        <v>68468.828921239343</v>
      </c>
      <c r="H102" s="4">
        <f t="shared" si="67"/>
        <v>68468.828921239343</v>
      </c>
      <c r="I102" s="4">
        <f t="shared" si="67"/>
        <v>68468.828921239343</v>
      </c>
      <c r="J102" s="4">
        <f t="shared" si="67"/>
        <v>68468.828921239343</v>
      </c>
      <c r="K102" s="4">
        <f t="shared" si="67"/>
        <v>68468.828921239343</v>
      </c>
      <c r="L102" s="4">
        <f t="shared" si="67"/>
        <v>232944.43289992257</v>
      </c>
      <c r="M102" s="13" t="s">
        <v>166</v>
      </c>
      <c r="N102" s="4">
        <f t="shared" ref="N102:O102" si="68">SUM(N93:N100)</f>
        <v>0</v>
      </c>
      <c r="O102" s="4">
        <f t="shared" si="68"/>
        <v>994621.79103355529</v>
      </c>
      <c r="P102" s="4">
        <f t="shared" ref="P102" si="69">SUM(P93:P100)</f>
        <v>994621.79103355529</v>
      </c>
      <c r="Q102" s="4">
        <f>SUM(Q93:Q100)</f>
        <v>994621.79103355529</v>
      </c>
      <c r="R102" s="4">
        <f t="shared" ref="R102:S102" si="70">SUM(R93:R100)</f>
        <v>0</v>
      </c>
      <c r="S102" s="4">
        <f t="shared" si="70"/>
        <v>-52579.999999999993</v>
      </c>
      <c r="T102" s="4">
        <f>CEO!T102+CS!T102+CFO!T102+LLA!T102+'C&amp;E'!T102+CES!T102+LLT!T102+GB!T102</f>
        <v>15417</v>
      </c>
      <c r="U102" s="4">
        <f t="shared" si="52"/>
        <v>957458.79103355529</v>
      </c>
      <c r="V102" s="4">
        <f t="shared" si="51"/>
        <v>-37163</v>
      </c>
      <c r="W102" s="4"/>
      <c r="X102" s="4">
        <f>CEO!Q102+CS!Q102+CFO!Q102+LLA!Q102+'C&amp;E'!Q102+CES!Q102+LLT!Q102+GB!Q102</f>
        <v>994621.79103355517</v>
      </c>
      <c r="Y102" s="4">
        <f t="shared" si="56"/>
        <v>0</v>
      </c>
      <c r="Z102" s="4">
        <f>SUM(Z93:Z100)</f>
        <v>994621.6289192033</v>
      </c>
      <c r="AA102" s="4">
        <f>SUM(AA93:AA100)</f>
        <v>1041368.8454784058</v>
      </c>
      <c r="AC102" s="295">
        <f t="shared" si="66"/>
        <v>0.16211435198783875</v>
      </c>
    </row>
    <row r="103" spans="1:29" ht="6" customHeight="1" x14ac:dyDescent="0.3">
      <c r="A103" s="81"/>
      <c r="B103" s="81"/>
      <c r="C103" s="81"/>
      <c r="D103" s="82"/>
      <c r="E103" s="86"/>
      <c r="F103" s="86"/>
      <c r="G103" s="86"/>
      <c r="H103" s="86"/>
      <c r="I103" s="86"/>
      <c r="J103" s="86"/>
      <c r="K103" s="86"/>
      <c r="L103" s="86"/>
      <c r="M103" s="80"/>
      <c r="N103" s="86">
        <f t="shared" si="53"/>
        <v>0</v>
      </c>
      <c r="O103" s="86">
        <f t="shared" si="54"/>
        <v>0</v>
      </c>
      <c r="P103" s="86">
        <f t="shared" si="50"/>
        <v>0</v>
      </c>
      <c r="Q103" s="86"/>
      <c r="R103" s="86">
        <f t="shared" si="55"/>
        <v>0</v>
      </c>
      <c r="S103" s="86">
        <v>0</v>
      </c>
      <c r="T103" s="81">
        <f>CEO!T103+CS!T103+CFO!T103+LLA!T103+'C&amp;E'!T103+CES!T103+LLT!T103+GB!T103</f>
        <v>0</v>
      </c>
      <c r="U103" s="81">
        <f t="shared" si="52"/>
        <v>0</v>
      </c>
      <c r="V103" s="81">
        <f t="shared" si="51"/>
        <v>0</v>
      </c>
      <c r="W103" s="81"/>
      <c r="X103" s="86">
        <f>CEO!Q103+CS!Q103+CFO!Q103+LLA!Q103+'C&amp;E'!Q103+CES!Q103+LLT!Q103+GB!Q103</f>
        <v>0</v>
      </c>
      <c r="Y103" s="86">
        <f t="shared" si="56"/>
        <v>0</v>
      </c>
      <c r="Z103" s="86"/>
      <c r="AA103" s="86"/>
      <c r="AC103" s="295">
        <f t="shared" si="66"/>
        <v>0</v>
      </c>
    </row>
    <row r="104" spans="1:29" x14ac:dyDescent="0.3">
      <c r="A104" s="8">
        <f>CEO!A104+CS!A104+CFO!A104+LLA!A104+'C&amp;E'!A104+CES!A104+LLT!A104+GB!A104</f>
        <v>874.03200000000015</v>
      </c>
      <c r="B104" s="8">
        <f>CEO!B104+CS!B104+CFO!B104+LLA!B104+'C&amp;E'!B104+CES!B104+LLT!B104+GB!B104</f>
        <v>874.03200000000015</v>
      </c>
      <c r="C104" s="8">
        <f>CEO!C104+CS!C104+CFO!C104+LLA!C104+'C&amp;E'!C104+CES!C104+LLT!C104+GB!C104</f>
        <v>874.03200000000015</v>
      </c>
      <c r="D104" s="8">
        <f>CEO!D104+CS!D104+CFO!D104+LLA!D104+'C&amp;E'!D104+CES!D104+LLT!D104+GB!D104</f>
        <v>874.03200000000015</v>
      </c>
      <c r="E104" s="8">
        <f>CEO!E104+CS!E104+CFO!E104+LLA!E104+'C&amp;E'!E104+CES!E104+LLT!E104+GB!E104</f>
        <v>2970.0320000000002</v>
      </c>
      <c r="F104" s="8">
        <f>CEO!F104+CS!F104+CFO!F104+LLA!F104+'C&amp;E'!F104+CES!F104+LLT!F104+GB!F104</f>
        <v>874.03200000000015</v>
      </c>
      <c r="G104" s="8">
        <f>CEO!G104+CS!G104+CFO!G104+LLA!G104+'C&amp;E'!G104+CES!G104+LLT!G104+GB!G104</f>
        <v>874.03200000000015</v>
      </c>
      <c r="H104" s="8">
        <f>CEO!H104+CS!H104+CFO!H104+LLA!H104+'C&amp;E'!H104+CES!H104+LLT!H104+GB!H104</f>
        <v>874.03200000000015</v>
      </c>
      <c r="I104" s="8">
        <f>CEO!I104+CS!I104+CFO!I104+LLA!I104+'C&amp;E'!I104+CES!I104+LLT!I104+GB!I104</f>
        <v>874.03200000000015</v>
      </c>
      <c r="J104" s="8">
        <f>CEO!J104+CS!J104+CFO!J104+LLA!J104+'C&amp;E'!J104+CES!J104+LLT!J104+GB!J104</f>
        <v>874.03200000000015</v>
      </c>
      <c r="K104" s="8">
        <f>CEO!K104+CS!K104+CFO!K104+LLA!K104+'C&amp;E'!K104+CES!K104+LLT!K104+GB!K104</f>
        <v>874.03200000000015</v>
      </c>
      <c r="L104" s="8">
        <f>CEO!L104+CS!L104+CFO!L104+LLA!L104+'C&amp;E'!L104+CES!L104+LLT!L104+GB!L104</f>
        <v>2961.6479999999983</v>
      </c>
      <c r="M104" s="388" t="s">
        <v>488</v>
      </c>
      <c r="N104" s="8">
        <f t="shared" ref="N104:N106" si="71">SUM(0)</f>
        <v>0</v>
      </c>
      <c r="O104" s="8">
        <f t="shared" ref="O104:O106" si="72">SUM(A104:L104)</f>
        <v>14671.999999999996</v>
      </c>
      <c r="P104" s="8">
        <f t="shared" si="50"/>
        <v>14671.999999999996</v>
      </c>
      <c r="Q104" s="8">
        <f>CEO!Q104+CS!Q104+CFO!Q104+LLA!Q104+'C&amp;E'!Q104+CES!Q104+LLT!Q104+GB!Q104</f>
        <v>14672</v>
      </c>
      <c r="R104" s="8">
        <f t="shared" ref="R104:R106" si="73">Q104-P104</f>
        <v>0</v>
      </c>
      <c r="S104" s="8">
        <v>0</v>
      </c>
      <c r="T104" s="8">
        <f>CEO!T104+CS!T104+CFO!T104+LLA!T104+'C&amp;E'!T104+CES!T104+LLT!T104+GB!T104</f>
        <v>0</v>
      </c>
      <c r="U104" s="8">
        <f t="shared" si="52"/>
        <v>14672</v>
      </c>
      <c r="V104" s="8">
        <f t="shared" si="51"/>
        <v>0</v>
      </c>
      <c r="W104" s="8"/>
      <c r="X104" s="8">
        <f>CEO!Q104+CS!Q104+CFO!Q104+LLA!Q104+'C&amp;E'!Q104+CES!Q104+LLT!Q104+GB!Q104</f>
        <v>14672</v>
      </c>
      <c r="Y104" s="8">
        <f t="shared" ref="Y104:Y106" si="74">X104-Q104</f>
        <v>0</v>
      </c>
      <c r="Z104" s="8">
        <v>14672</v>
      </c>
      <c r="AA104" s="8">
        <f t="shared" ref="AA104:AA106" si="75">Z104*(1+AA$3)</f>
        <v>15361.583999999999</v>
      </c>
      <c r="AC104" s="295">
        <f t="shared" si="66"/>
        <v>0</v>
      </c>
    </row>
    <row r="105" spans="1:29" x14ac:dyDescent="0.3">
      <c r="A105" s="7">
        <f>CEO!A105+CS!A105+CFO!A105+LLA!A105+'C&amp;E'!A105+CES!A105+LLT!A105+GB!A105</f>
        <v>162.44</v>
      </c>
      <c r="B105" s="7">
        <f>CEO!B105+CS!B105+CFO!B105+LLA!B105+'C&amp;E'!B105+CES!B105+LLT!B105+GB!B105</f>
        <v>162.44</v>
      </c>
      <c r="C105" s="7">
        <f>CEO!C105+CS!C105+CFO!C105+LLA!C105+'C&amp;E'!C105+CES!C105+LLT!C105+GB!C105</f>
        <v>162.44</v>
      </c>
      <c r="D105" s="7">
        <f>CEO!D105+CS!D105+CFO!D105+LLA!D105+'C&amp;E'!D105+CES!D105+LLT!D105+GB!D105</f>
        <v>162.44</v>
      </c>
      <c r="E105" s="7">
        <f>CEO!E105+CS!E105+CFO!E105+LLA!E105+'C&amp;E'!E105+CES!E105+LLT!E105+GB!E105</f>
        <v>162.44</v>
      </c>
      <c r="F105" s="7">
        <f>CEO!F105+CS!F105+CFO!F105+LLA!F105+'C&amp;E'!F105+CES!F105+LLT!F105+GB!F105</f>
        <v>162.44</v>
      </c>
      <c r="G105" s="7">
        <f>CEO!G105+CS!G105+CFO!G105+LLA!G105+'C&amp;E'!G105+CES!G105+LLT!G105+GB!G105</f>
        <v>162.44</v>
      </c>
      <c r="H105" s="7">
        <f>CEO!H105+CS!H105+CFO!H105+LLA!H105+'C&amp;E'!H105+CES!H105+LLT!H105+GB!H105</f>
        <v>162.44</v>
      </c>
      <c r="I105" s="7">
        <f>CEO!I105+CS!I105+CFO!I105+LLA!I105+'C&amp;E'!I105+CES!I105+LLT!I105+GB!I105</f>
        <v>162.44</v>
      </c>
      <c r="J105" s="7">
        <f>CEO!J105+CS!J105+CFO!J105+LLA!J105+'C&amp;E'!J105+CES!J105+LLT!J105+GB!J105</f>
        <v>162.44</v>
      </c>
      <c r="K105" s="7">
        <f>CEO!K105+CS!K105+CFO!K105+LLA!K105+'C&amp;E'!K105+CES!K105+LLT!K105+GB!K105</f>
        <v>162.44</v>
      </c>
      <c r="L105" s="7">
        <f>CEO!L105+CS!L105+CFO!L105+LLA!L105+'C&amp;E'!L105+CES!L105+LLT!L105+GB!L105</f>
        <v>158.24799999999976</v>
      </c>
      <c r="M105" s="13" t="s">
        <v>489</v>
      </c>
      <c r="N105" s="7">
        <f t="shared" si="71"/>
        <v>0</v>
      </c>
      <c r="O105" s="7">
        <f t="shared" si="72"/>
        <v>1945.0880000000002</v>
      </c>
      <c r="P105" s="7">
        <f t="shared" si="50"/>
        <v>1945.0880000000002</v>
      </c>
      <c r="Q105" s="7">
        <f>CEO!Q105+CS!Q105+CFO!Q105+LLA!Q105+'C&amp;E'!Q105+CES!Q105+LLT!Q105+GB!Q105</f>
        <v>1945.0880000000002</v>
      </c>
      <c r="R105" s="7">
        <f t="shared" si="73"/>
        <v>0</v>
      </c>
      <c r="S105" s="7">
        <v>1856</v>
      </c>
      <c r="T105" s="7">
        <f>CEO!T105+CS!T105+CFO!T105+LLA!T105+'C&amp;E'!T105+CES!T105+LLT!T105+GB!T105</f>
        <v>0</v>
      </c>
      <c r="U105" s="7">
        <f t="shared" si="52"/>
        <v>3801.0880000000002</v>
      </c>
      <c r="V105" s="7">
        <f t="shared" si="51"/>
        <v>1856</v>
      </c>
      <c r="W105" s="7"/>
      <c r="X105" s="7">
        <f>CEO!Q105+CS!Q105+CFO!Q105+LLA!Q105+'C&amp;E'!Q105+CES!Q105+LLT!Q105+GB!Q105</f>
        <v>1945.0880000000002</v>
      </c>
      <c r="Y105" s="7">
        <f t="shared" si="74"/>
        <v>0</v>
      </c>
      <c r="Z105" s="7">
        <v>1945.0880000000002</v>
      </c>
      <c r="AA105" s="7">
        <f t="shared" si="75"/>
        <v>2036.5071360000002</v>
      </c>
      <c r="AC105" s="295">
        <f t="shared" si="66"/>
        <v>0</v>
      </c>
    </row>
    <row r="106" spans="1:29" x14ac:dyDescent="0.3">
      <c r="A106" s="11">
        <f>CEO!A106+CS!A106+CFO!A106+LLA!A106+'C&amp;E'!A106+CES!A106+LLT!A106+GB!A106</f>
        <v>325.928</v>
      </c>
      <c r="B106" s="11">
        <f>CEO!B106+CS!B106+CFO!B106+LLA!B106+'C&amp;E'!B106+CES!B106+LLT!B106+GB!B106</f>
        <v>325.928</v>
      </c>
      <c r="C106" s="11">
        <f>CEO!C106+CS!C106+CFO!C106+LLA!C106+'C&amp;E'!C106+CES!C106+LLT!C106+GB!C106</f>
        <v>325.928</v>
      </c>
      <c r="D106" s="11">
        <f>CEO!D106+CS!D106+CFO!D106+LLA!D106+'C&amp;E'!D106+CES!D106+LLT!D106+GB!D106</f>
        <v>325.928</v>
      </c>
      <c r="E106" s="11">
        <f>CEO!E106+CS!E106+CFO!E106+LLA!E106+'C&amp;E'!E106+CES!E106+LLT!E106+GB!E106</f>
        <v>325.928</v>
      </c>
      <c r="F106" s="11">
        <f>CEO!F106+CS!F106+CFO!F106+LLA!F106+'C&amp;E'!F106+CES!F106+LLT!F106+GB!F106</f>
        <v>325.928</v>
      </c>
      <c r="G106" s="11">
        <f>CEO!G106+CS!G106+CFO!G106+LLA!G106+'C&amp;E'!G106+CES!G106+LLT!G106+GB!G106</f>
        <v>325.928</v>
      </c>
      <c r="H106" s="11">
        <f>CEO!H106+CS!H106+CFO!H106+LLA!H106+'C&amp;E'!H106+CES!H106+LLT!H106+GB!H106</f>
        <v>325.928</v>
      </c>
      <c r="I106" s="11">
        <f>CEO!I106+CS!I106+CFO!I106+LLA!I106+'C&amp;E'!I106+CES!I106+LLT!I106+GB!I106</f>
        <v>325.928</v>
      </c>
      <c r="J106" s="11">
        <f>CEO!J106+CS!J106+CFO!J106+LLA!J106+'C&amp;E'!J106+CES!J106+LLT!J106+GB!J106</f>
        <v>325.928</v>
      </c>
      <c r="K106" s="11">
        <f>CEO!K106+CS!K106+CFO!K106+LLA!K106+'C&amp;E'!K106+CES!K106+LLT!K106+GB!K106</f>
        <v>325.928</v>
      </c>
      <c r="L106" s="11">
        <f>CEO!L106+CS!L106+CFO!L106+LLA!L106+'C&amp;E'!L106+CES!L106+LLT!L106+GB!L106</f>
        <v>324.88000000000113</v>
      </c>
      <c r="M106" s="13" t="s">
        <v>490</v>
      </c>
      <c r="N106" s="11">
        <f t="shared" si="71"/>
        <v>0</v>
      </c>
      <c r="O106" s="11">
        <f t="shared" si="72"/>
        <v>3910.0880000000002</v>
      </c>
      <c r="P106" s="11">
        <f t="shared" si="50"/>
        <v>3910.0880000000002</v>
      </c>
      <c r="Q106" s="11">
        <f>CEO!Q106+CS!Q106+CFO!Q106+LLA!Q106+'C&amp;E'!Q106+CES!Q106+LLT!Q106+GB!Q106</f>
        <v>3910.0880000000002</v>
      </c>
      <c r="R106" s="11">
        <f t="shared" si="73"/>
        <v>0</v>
      </c>
      <c r="S106" s="11">
        <v>3731</v>
      </c>
      <c r="T106" s="11">
        <f>CEO!T106+CS!T106+CFO!T106+LLA!T106+'C&amp;E'!T106+CES!T106+LLT!T106+GB!T106</f>
        <v>0</v>
      </c>
      <c r="U106" s="11">
        <f t="shared" si="52"/>
        <v>7641.0879999999997</v>
      </c>
      <c r="V106" s="11">
        <f t="shared" si="51"/>
        <v>3730.9999999999995</v>
      </c>
      <c r="W106" s="11"/>
      <c r="X106" s="11">
        <f>CEO!Q106+CS!Q106+CFO!Q106+LLA!Q106+'C&amp;E'!Q106+CES!Q106+LLT!Q106+GB!Q106</f>
        <v>3910.0880000000002</v>
      </c>
      <c r="Y106" s="11">
        <f t="shared" si="74"/>
        <v>0</v>
      </c>
      <c r="Z106" s="11">
        <v>3910.0880000000002</v>
      </c>
      <c r="AA106" s="11">
        <f t="shared" si="75"/>
        <v>4093.8621359999997</v>
      </c>
      <c r="AC106" s="295">
        <f t="shared" si="66"/>
        <v>0</v>
      </c>
    </row>
    <row r="107" spans="1:29" ht="3.6" customHeight="1" thickBot="1" x14ac:dyDescent="0.35">
      <c r="A107" s="89"/>
      <c r="B107" s="89"/>
      <c r="C107" s="89"/>
      <c r="D107" s="90"/>
      <c r="E107" s="91"/>
      <c r="F107" s="91"/>
      <c r="G107" s="91"/>
      <c r="H107" s="91"/>
      <c r="I107" s="91"/>
      <c r="J107" s="91"/>
      <c r="K107" s="91"/>
      <c r="L107" s="91"/>
      <c r="M107" s="13"/>
      <c r="N107" s="91">
        <f t="shared" si="53"/>
        <v>0</v>
      </c>
      <c r="O107" s="91">
        <f t="shared" si="54"/>
        <v>0</v>
      </c>
      <c r="P107" s="91">
        <f t="shared" si="50"/>
        <v>0</v>
      </c>
      <c r="Q107" s="91"/>
      <c r="R107" s="91">
        <f t="shared" ref="R107:R130" si="76">P107-Q107</f>
        <v>0</v>
      </c>
      <c r="S107" s="91">
        <v>0</v>
      </c>
      <c r="T107" s="89">
        <f>CEO!T107+CS!T107+CFO!T107+LLA!T107+'C&amp;E'!T107+CES!T107+LLT!T107+GB!T107</f>
        <v>0</v>
      </c>
      <c r="U107" s="89">
        <f t="shared" si="52"/>
        <v>0</v>
      </c>
      <c r="V107" s="89">
        <f t="shared" si="51"/>
        <v>0</v>
      </c>
      <c r="W107" s="89"/>
      <c r="X107" s="91">
        <f>CEO!Q107+CS!Q107+CFO!Q107+LLA!Q107+'C&amp;E'!Q107+CES!Q107+LLT!Q107+GB!Q107</f>
        <v>0</v>
      </c>
      <c r="Y107" s="91">
        <f t="shared" si="56"/>
        <v>0</v>
      </c>
      <c r="Z107" s="91"/>
      <c r="AA107" s="91"/>
      <c r="AC107" s="295">
        <f t="shared" si="66"/>
        <v>0</v>
      </c>
    </row>
    <row r="108" spans="1:29" x14ac:dyDescent="0.3">
      <c r="A108" s="4">
        <f>SUM(A104:A106)</f>
        <v>1362.4</v>
      </c>
      <c r="B108" s="4">
        <f>SUM(B104:B106)</f>
        <v>1362.4</v>
      </c>
      <c r="C108" s="4">
        <f t="shared" ref="C108:L108" si="77">SUM(C104:C106)</f>
        <v>1362.4</v>
      </c>
      <c r="D108" s="4">
        <f t="shared" si="77"/>
        <v>1362.4</v>
      </c>
      <c r="E108" s="4">
        <f t="shared" si="77"/>
        <v>3458.4</v>
      </c>
      <c r="F108" s="4">
        <f t="shared" si="77"/>
        <v>1362.4</v>
      </c>
      <c r="G108" s="4">
        <f t="shared" si="77"/>
        <v>1362.4</v>
      </c>
      <c r="H108" s="4">
        <f t="shared" si="77"/>
        <v>1362.4</v>
      </c>
      <c r="I108" s="4">
        <f t="shared" si="77"/>
        <v>1362.4</v>
      </c>
      <c r="J108" s="4">
        <f t="shared" si="77"/>
        <v>1362.4</v>
      </c>
      <c r="K108" s="4">
        <f t="shared" si="77"/>
        <v>1362.4</v>
      </c>
      <c r="L108" s="4">
        <f t="shared" si="77"/>
        <v>3444.7759999999989</v>
      </c>
      <c r="M108" s="13" t="s">
        <v>170</v>
      </c>
      <c r="N108" s="4">
        <f t="shared" ref="N108:O108" si="78">SUM(N104:N106)</f>
        <v>0</v>
      </c>
      <c r="O108" s="4">
        <f t="shared" si="78"/>
        <v>20527.175999999996</v>
      </c>
      <c r="P108" s="4">
        <f t="shared" ref="P108" si="79">SUM(P104:P106)</f>
        <v>20527.175999999996</v>
      </c>
      <c r="Q108" s="4">
        <f>SUM(Q104:Q106)</f>
        <v>20527.175999999999</v>
      </c>
      <c r="R108" s="4">
        <f>SUM(R104:R106)</f>
        <v>0</v>
      </c>
      <c r="S108" s="4">
        <f>SUM(S104:S106)</f>
        <v>5587</v>
      </c>
      <c r="T108" s="4">
        <f t="shared" ref="T108" si="80">SUM(T104:T106)</f>
        <v>0</v>
      </c>
      <c r="U108" s="4">
        <f t="shared" si="52"/>
        <v>26114.175999999999</v>
      </c>
      <c r="V108" s="4">
        <f t="shared" si="51"/>
        <v>5587.0000000000036</v>
      </c>
      <c r="W108" s="4"/>
      <c r="X108" s="4">
        <f>CEO!Q108+CS!Q108+CFO!Q108+LLA!Q108+'C&amp;E'!Q108+CES!Q108+LLT!Q108+GB!Q108</f>
        <v>20527.175999999999</v>
      </c>
      <c r="Y108" s="4">
        <f t="shared" si="56"/>
        <v>0</v>
      </c>
      <c r="Z108" s="4">
        <f>SUM(Z104:Z106)</f>
        <v>20527.175999999999</v>
      </c>
      <c r="AA108" s="4">
        <f>SUM(AA104:AA106)</f>
        <v>21491.953271999999</v>
      </c>
      <c r="AC108" s="295">
        <f t="shared" si="66"/>
        <v>0</v>
      </c>
    </row>
    <row r="109" spans="1:29" ht="6" customHeight="1" x14ac:dyDescent="0.3">
      <c r="A109" s="81"/>
      <c r="B109" s="81"/>
      <c r="C109" s="81"/>
      <c r="D109" s="82"/>
      <c r="E109" s="81"/>
      <c r="F109" s="81"/>
      <c r="G109" s="81"/>
      <c r="H109" s="81"/>
      <c r="I109" s="81"/>
      <c r="J109" s="81"/>
      <c r="K109" s="81"/>
      <c r="L109" s="81"/>
      <c r="M109" s="80"/>
      <c r="N109" s="81">
        <f t="shared" si="53"/>
        <v>0</v>
      </c>
      <c r="O109" s="81">
        <f t="shared" si="54"/>
        <v>0</v>
      </c>
      <c r="P109" s="81">
        <f t="shared" si="50"/>
        <v>0</v>
      </c>
      <c r="Q109" s="81"/>
      <c r="R109" s="81">
        <f t="shared" si="76"/>
        <v>0</v>
      </c>
      <c r="S109" s="81">
        <v>0</v>
      </c>
      <c r="T109" s="81">
        <f>CEO!T109+CS!T109+CFO!T109+LLA!T109+'C&amp;E'!T109+CES!T109+LLT!T109+GB!T109</f>
        <v>0</v>
      </c>
      <c r="U109" s="81">
        <f t="shared" si="52"/>
        <v>0</v>
      </c>
      <c r="V109" s="81">
        <f t="shared" si="51"/>
        <v>0</v>
      </c>
      <c r="W109" s="81"/>
      <c r="X109" s="81">
        <f>CEO!Q109+CS!Q109+CFO!Q109+LLA!Q109+'C&amp;E'!Q109+CES!Q109+LLT!Q109+GB!Q109</f>
        <v>0</v>
      </c>
      <c r="Y109" s="81">
        <f t="shared" si="56"/>
        <v>0</v>
      </c>
      <c r="Z109" s="81"/>
      <c r="AA109" s="81"/>
      <c r="AC109" s="295">
        <f t="shared" si="66"/>
        <v>0</v>
      </c>
    </row>
    <row r="110" spans="1:29" x14ac:dyDescent="0.3">
      <c r="A110" s="4">
        <f>A28+A46+A65+A91+A102+A108</f>
        <v>1423581.0651890058</v>
      </c>
      <c r="B110" s="4">
        <f>B28+B46+B65+B91+B102+B108</f>
        <v>1720081.3928690059</v>
      </c>
      <c r="C110" s="4">
        <f t="shared" ref="C110:L110" si="81">C28+C46+C65+C91+C102+C108</f>
        <v>1952740.3167890057</v>
      </c>
      <c r="D110" s="4">
        <f t="shared" si="81"/>
        <v>2089175.475349006</v>
      </c>
      <c r="E110" s="4">
        <f t="shared" si="81"/>
        <v>1685449.3211090059</v>
      </c>
      <c r="F110" s="4">
        <f t="shared" si="81"/>
        <v>1781748.4971890058</v>
      </c>
      <c r="G110" s="4">
        <f t="shared" si="81"/>
        <v>1484550.5192690059</v>
      </c>
      <c r="H110" s="4">
        <f t="shared" si="81"/>
        <v>1428147.6171890059</v>
      </c>
      <c r="I110" s="4">
        <f t="shared" si="81"/>
        <v>1467864.4362335387</v>
      </c>
      <c r="J110" s="4">
        <f t="shared" si="81"/>
        <v>1421303.7611890058</v>
      </c>
      <c r="K110" s="4">
        <f t="shared" si="81"/>
        <v>1451446.8370509287</v>
      </c>
      <c r="L110" s="4">
        <f t="shared" si="81"/>
        <v>1617284.9293441731</v>
      </c>
      <c r="M110" s="388" t="s">
        <v>171</v>
      </c>
      <c r="N110" s="4">
        <f t="shared" ref="N110:P110" si="82">N28+N46+N65+N91+N102+N108</f>
        <v>0</v>
      </c>
      <c r="O110" s="4">
        <f>O28+O46+O65+O91+O102+O108</f>
        <v>19523374.168769691</v>
      </c>
      <c r="P110" s="4">
        <f t="shared" si="82"/>
        <v>19523374.168769691</v>
      </c>
      <c r="Q110" s="4">
        <f>Q28+Q46+Q65+Q91+Q102+Q108</f>
        <v>19523374.423487693</v>
      </c>
      <c r="R110" s="4">
        <f t="shared" ref="R110:S110" si="83">R28+R46+R65+R91+R102+R108</f>
        <v>0.25471799998194911</v>
      </c>
      <c r="S110" s="4">
        <f t="shared" si="83"/>
        <v>4886209.8100000005</v>
      </c>
      <c r="T110" s="4">
        <f>CEO!T110+CS!T110+CFO!T110+LLA!T110+'C&amp;E'!T110+CES!T110+LLT!T110+GB!T110</f>
        <v>572974.11440532445</v>
      </c>
      <c r="U110" s="4">
        <f t="shared" si="52"/>
        <v>24982558.347893018</v>
      </c>
      <c r="V110" s="4">
        <f t="shared" si="51"/>
        <v>5459184.1791233271</v>
      </c>
      <c r="W110" s="4"/>
      <c r="X110" s="4">
        <f>CEO!Q110+CS!Q110+CFO!Q110+LLA!Q110+'C&amp;E'!Q110+CES!Q110+LLT!Q110+GB!Q110</f>
        <v>19523374.423487697</v>
      </c>
      <c r="Y110" s="4">
        <f t="shared" si="56"/>
        <v>0</v>
      </c>
      <c r="Z110" s="4">
        <f>Z28+Z46+Z65+Z91+Z102+Z108</f>
        <v>19523374.627546668</v>
      </c>
      <c r="AA110" s="4">
        <f>AA28+AA46+AA65+AA91+AA102+AA108</f>
        <v>20555667.235041361</v>
      </c>
      <c r="AC110" s="295">
        <f t="shared" si="66"/>
        <v>-0.20405897498130798</v>
      </c>
    </row>
    <row r="111" spans="1:29" ht="5.4" customHeight="1" x14ac:dyDescent="0.3">
      <c r="A111" s="81"/>
      <c r="B111" s="81"/>
      <c r="C111" s="81"/>
      <c r="D111" s="82"/>
      <c r="E111" s="81"/>
      <c r="F111" s="81"/>
      <c r="G111" s="81"/>
      <c r="H111" s="81"/>
      <c r="I111" s="81"/>
      <c r="J111" s="81"/>
      <c r="K111" s="81"/>
      <c r="L111" s="81"/>
      <c r="M111" s="122"/>
      <c r="N111" s="81">
        <f t="shared" si="53"/>
        <v>0</v>
      </c>
      <c r="O111" s="81">
        <f t="shared" si="54"/>
        <v>0</v>
      </c>
      <c r="P111" s="81">
        <f t="shared" si="50"/>
        <v>0</v>
      </c>
      <c r="Q111" s="81"/>
      <c r="R111" s="81">
        <f t="shared" si="76"/>
        <v>0</v>
      </c>
      <c r="S111" s="81">
        <v>0</v>
      </c>
      <c r="T111" s="81">
        <f>CEO!T111+CS!T111+CFO!T111+LLA!T111+'C&amp;E'!T111+CES!T111+LLT!T111+GB!T111</f>
        <v>0</v>
      </c>
      <c r="U111" s="81">
        <f t="shared" si="52"/>
        <v>0</v>
      </c>
      <c r="V111" s="81">
        <f t="shared" si="51"/>
        <v>0</v>
      </c>
      <c r="W111" s="81"/>
      <c r="X111" s="81">
        <f>CEO!Q111+CS!Q111+CFO!Q111+LLA!Q111+'C&amp;E'!Q111+CES!Q111+LLT!Q111+GB!Q111</f>
        <v>0</v>
      </c>
      <c r="Y111" s="81">
        <f t="shared" si="56"/>
        <v>0</v>
      </c>
      <c r="Z111" s="81"/>
      <c r="AA111" s="81"/>
      <c r="AC111" s="295">
        <f t="shared" si="66"/>
        <v>0</v>
      </c>
    </row>
    <row r="112" spans="1:29" x14ac:dyDescent="0.3">
      <c r="A112" s="4">
        <f>A18+A110</f>
        <v>4064528.7562691658</v>
      </c>
      <c r="B112" s="4">
        <f>B18+B110</f>
        <v>4480563.3663893789</v>
      </c>
      <c r="C112" s="4">
        <f t="shared" ref="C112:L112" si="84">C18+C110</f>
        <v>4798216.0338336062</v>
      </c>
      <c r="D112" s="4">
        <f t="shared" si="84"/>
        <v>4996184.9367165798</v>
      </c>
      <c r="E112" s="4">
        <f t="shared" si="84"/>
        <v>4524394.7195936069</v>
      </c>
      <c r="F112" s="4">
        <f t="shared" si="84"/>
        <v>4607873.0095136063</v>
      </c>
      <c r="G112" s="4">
        <f t="shared" si="84"/>
        <v>4379561.1666365806</v>
      </c>
      <c r="H112" s="4">
        <f t="shared" si="84"/>
        <v>5801224.2394790146</v>
      </c>
      <c r="I112" s="4">
        <f t="shared" si="84"/>
        <v>4305084.8162381388</v>
      </c>
      <c r="J112" s="4">
        <f t="shared" si="84"/>
        <v>4332001.6271165796</v>
      </c>
      <c r="K112" s="4">
        <f t="shared" si="84"/>
        <v>4292601.9016155293</v>
      </c>
      <c r="L112" s="4">
        <f t="shared" si="84"/>
        <v>4426178.5066317469</v>
      </c>
      <c r="M112" s="13" t="s">
        <v>240</v>
      </c>
      <c r="N112" s="4">
        <f t="shared" ref="N112" si="85">N18+N110</f>
        <v>0</v>
      </c>
      <c r="O112" s="4">
        <f>O18+O110</f>
        <v>55008413.080033526</v>
      </c>
      <c r="P112" s="4">
        <f>P18+P110</f>
        <v>55008413.080033526</v>
      </c>
      <c r="Q112" s="4">
        <f>Q18+Q110</f>
        <v>55008413.334751531</v>
      </c>
      <c r="R112" s="4">
        <f>R18+R110</f>
        <v>0.25471799998194911</v>
      </c>
      <c r="S112" s="4">
        <f>S18+S110</f>
        <v>6761256.3702114113</v>
      </c>
      <c r="T112" s="224">
        <f>CEO!T112+CS!T112+CFO!T112+LLA!T112+'C&amp;E'!T112+CES!T112+LLT!T112+GB!T112</f>
        <v>-941108.39194171887</v>
      </c>
      <c r="U112" s="224">
        <f t="shared" si="52"/>
        <v>60828561.31302122</v>
      </c>
      <c r="V112" s="224">
        <f t="shared" si="51"/>
        <v>5820148.2329876944</v>
      </c>
      <c r="W112" s="4"/>
      <c r="X112" s="4">
        <f>CEO!Q112+CS!Q112+CFO!Q112+LLA!Q112+'C&amp;E'!Q112+CES!Q112+LLT!Q112+GB!Q112</f>
        <v>55008413.334751539</v>
      </c>
      <c r="Y112" s="4">
        <f t="shared" si="56"/>
        <v>0</v>
      </c>
      <c r="Z112" s="4">
        <f>Z18+Z110</f>
        <v>54966012.495210618</v>
      </c>
      <c r="AA112" s="4">
        <f>AA18+AA110</f>
        <v>57664109.082485512</v>
      </c>
      <c r="AC112" s="295">
        <f t="shared" si="66"/>
        <v>42400.839540913701</v>
      </c>
    </row>
    <row r="113" spans="1:29" ht="6.6" customHeight="1" x14ac:dyDescent="0.3">
      <c r="A113" s="81"/>
      <c r="B113" s="81"/>
      <c r="C113" s="81"/>
      <c r="D113" s="82"/>
      <c r="E113" s="81"/>
      <c r="F113" s="81"/>
      <c r="G113" s="81"/>
      <c r="H113" s="81"/>
      <c r="I113" s="81"/>
      <c r="J113" s="81"/>
      <c r="K113" s="81"/>
      <c r="L113" s="81"/>
      <c r="M113" s="122"/>
      <c r="N113" s="81">
        <f t="shared" si="53"/>
        <v>0</v>
      </c>
      <c r="O113" s="81">
        <f t="shared" si="54"/>
        <v>0</v>
      </c>
      <c r="P113" s="81">
        <f t="shared" si="50"/>
        <v>0</v>
      </c>
      <c r="Q113" s="81"/>
      <c r="R113" s="81">
        <f t="shared" si="76"/>
        <v>0</v>
      </c>
      <c r="S113" s="81">
        <v>0</v>
      </c>
      <c r="T113" s="81">
        <f>CEO!T113+CS!T113+CFO!T113+LLA!T113+'C&amp;E'!T113+CES!T113+LLT!T113+GB!T113</f>
        <v>0</v>
      </c>
      <c r="U113" s="81">
        <f t="shared" si="52"/>
        <v>0</v>
      </c>
      <c r="V113" s="81">
        <f t="shared" si="51"/>
        <v>0</v>
      </c>
      <c r="W113" s="81"/>
      <c r="X113" s="81">
        <f>CEO!Q113+CS!Q113+CFO!Q113+LLA!Q113+'C&amp;E'!Q113+CES!Q113+LLT!Q113+GB!Q113</f>
        <v>0</v>
      </c>
      <c r="Y113" s="81">
        <f t="shared" si="56"/>
        <v>0</v>
      </c>
      <c r="Z113" s="81"/>
      <c r="AA113" s="81"/>
      <c r="AC113" s="295">
        <f t="shared" si="66"/>
        <v>0</v>
      </c>
    </row>
    <row r="114" spans="1:29" x14ac:dyDescent="0.3">
      <c r="A114" s="8">
        <f>CEO!A114+CS!A114+CFO!A114+LLA!A114+'C&amp;E'!A114+CES!A114+LLT!A114+GB!A114</f>
        <v>0</v>
      </c>
      <c r="B114" s="8">
        <f>CEO!B114+CS!B114+CFO!B114+LLA!B114+'C&amp;E'!B114+CES!B114+LLT!B114+GB!B114</f>
        <v>0</v>
      </c>
      <c r="C114" s="8">
        <f>CEO!C114+CS!C114+CFO!C114+LLA!C114+'C&amp;E'!C114+CES!C114+LLT!C114+GB!C114</f>
        <v>0</v>
      </c>
      <c r="D114" s="8">
        <f>CEO!D114+CS!D114+CFO!D114+LLA!D114+'C&amp;E'!D114+CES!D114+LLT!D114+GB!D114</f>
        <v>0</v>
      </c>
      <c r="E114" s="8">
        <f>CEO!E114+CS!E114+CFO!E114+LLA!E114+'C&amp;E'!E114+CES!E114+LLT!E114+GB!E114</f>
        <v>0</v>
      </c>
      <c r="F114" s="8">
        <f>CEO!F114+CS!F114+CFO!F114+LLA!F114+'C&amp;E'!F114+CES!F114+LLT!F114+GB!F114</f>
        <v>0</v>
      </c>
      <c r="G114" s="8">
        <f>CEO!G114+CS!G114+CFO!G114+LLA!G114+'C&amp;E'!G114+CES!G114+LLT!G114+GB!G114</f>
        <v>0</v>
      </c>
      <c r="H114" s="8">
        <f>CEO!H114+CS!H114+CFO!H114+LLA!H114+'C&amp;E'!H114+CES!H114+LLT!H114+GB!H114</f>
        <v>0</v>
      </c>
      <c r="I114" s="8">
        <f>CEO!I114+CS!I114+CFO!I114+LLA!I114+'C&amp;E'!I114+CES!I114+LLT!I114+GB!I114</f>
        <v>0</v>
      </c>
      <c r="J114" s="8">
        <f>CEO!J114+CS!J114+CFO!J114+LLA!J114+'C&amp;E'!J114+CES!J114+LLT!J114+GB!J114</f>
        <v>0</v>
      </c>
      <c r="K114" s="8">
        <f>CEO!K114+CS!K114+CFO!K114+LLA!K114+'C&amp;E'!K114+CES!K114+LLT!K114+GB!K114</f>
        <v>0</v>
      </c>
      <c r="L114" s="8">
        <f>CEO!L114+CS!L114+CFO!L114+LLA!L114+'C&amp;E'!L114+CES!L114+LLT!L114+GB!L114</f>
        <v>50450.720000000001</v>
      </c>
      <c r="M114" s="388" t="s">
        <v>491</v>
      </c>
      <c r="N114" s="8">
        <f t="shared" ref="N114:N125" si="86">SUM(0)</f>
        <v>0</v>
      </c>
      <c r="O114" s="8">
        <f t="shared" ref="O114:O125" si="87">SUM(A114:L114)</f>
        <v>50450.720000000001</v>
      </c>
      <c r="P114" s="8">
        <f t="shared" si="50"/>
        <v>50450.720000000001</v>
      </c>
      <c r="Q114" s="8">
        <f>CEO!Q114+CS!Q114+CFO!Q114+LLA!Q114+'C&amp;E'!Q114+CES!Q114+LLT!Q114+GB!Q114</f>
        <v>50450.720000000001</v>
      </c>
      <c r="R114" s="8">
        <f t="shared" ref="R114:R125" si="88">Q114-P114</f>
        <v>0</v>
      </c>
      <c r="S114" s="8">
        <v>344198</v>
      </c>
      <c r="T114" s="8">
        <f>CEO!T114+CS!T114+CFO!T114+LLA!T114+'C&amp;E'!T114+CES!T114+LLT!T114+GB!T114</f>
        <v>455888</v>
      </c>
      <c r="U114" s="8">
        <f t="shared" si="52"/>
        <v>850536.72</v>
      </c>
      <c r="V114" s="8">
        <f t="shared" si="51"/>
        <v>800086</v>
      </c>
      <c r="W114" s="8"/>
      <c r="X114" s="8">
        <f>CEO!Q114+CS!Q114+CFO!Q114+LLA!Q114+'C&amp;E'!Q114+CES!Q114+LLT!Q114+GB!Q114</f>
        <v>50450.720000000001</v>
      </c>
      <c r="Y114" s="8">
        <f>(X114-Q114)+306469</f>
        <v>306469</v>
      </c>
      <c r="Z114" s="8">
        <v>50450.465351719999</v>
      </c>
      <c r="AA114" s="8">
        <f>(Z114*(1+AA$3))</f>
        <v>52821.637223250837</v>
      </c>
      <c r="AC114" s="295">
        <f t="shared" si="66"/>
        <v>0.25464828000258422</v>
      </c>
    </row>
    <row r="115" spans="1:29" x14ac:dyDescent="0.3">
      <c r="A115" s="7">
        <f>CEO!A115+CS!A115+CFO!A115+LLA!A115+'C&amp;E'!A115+CES!A115+LLT!A115+GB!A115</f>
        <v>0</v>
      </c>
      <c r="B115" s="7">
        <f>CEO!B115+CS!B115+CFO!B115+LLA!B115+'C&amp;E'!B115+CES!B115+LLT!B115+GB!B115</f>
        <v>0</v>
      </c>
      <c r="C115" s="7">
        <f>CEO!C115+CS!C115+CFO!C115+LLA!C115+'C&amp;E'!C115+CES!C115+LLT!C115+GB!C115</f>
        <v>0</v>
      </c>
      <c r="D115" s="7">
        <f>CEO!D115+CS!D115+CFO!D115+LLA!D115+'C&amp;E'!D115+CES!D115+LLT!D115+GB!D115</f>
        <v>0</v>
      </c>
      <c r="E115" s="7">
        <f>CEO!E115+CS!E115+CFO!E115+LLA!E115+'C&amp;E'!E115+CES!E115+LLT!E115+GB!E115</f>
        <v>0</v>
      </c>
      <c r="F115" s="7">
        <f>CEO!F115+CS!F115+CFO!F115+LLA!F115+'C&amp;E'!F115+CES!F115+LLT!F115+GB!F115</f>
        <v>0</v>
      </c>
      <c r="G115" s="7">
        <f>CEO!G115+CS!G115+CFO!G115+LLA!G115+'C&amp;E'!G115+CES!G115+LLT!G115+GB!G115</f>
        <v>0</v>
      </c>
      <c r="H115" s="7">
        <f>CEO!H115+CS!H115+CFO!H115+LLA!H115+'C&amp;E'!H115+CES!H115+LLT!H115+GB!H115</f>
        <v>0</v>
      </c>
      <c r="I115" s="7">
        <f>CEO!I115+CS!I115+CFO!I115+LLA!I115+'C&amp;E'!I115+CES!I115+LLT!I115+GB!I115</f>
        <v>0</v>
      </c>
      <c r="J115" s="7">
        <f>CEO!J115+CS!J115+CFO!J115+LLA!J115+'C&amp;E'!J115+CES!J115+LLT!J115+GB!J115</f>
        <v>0</v>
      </c>
      <c r="K115" s="7">
        <f>CEO!K115+CS!K115+CFO!K115+LLA!K115+'C&amp;E'!K115+CES!K115+LLT!K115+GB!K115</f>
        <v>58233</v>
      </c>
      <c r="L115" s="7">
        <v>0</v>
      </c>
      <c r="M115" s="13" t="s">
        <v>492</v>
      </c>
      <c r="N115" s="7">
        <f t="shared" si="86"/>
        <v>0</v>
      </c>
      <c r="O115" s="7">
        <f t="shared" si="87"/>
        <v>58233</v>
      </c>
      <c r="P115" s="7">
        <f t="shared" si="50"/>
        <v>58233</v>
      </c>
      <c r="Q115" s="7">
        <f>CEO!Q115+CS!Q115+CFO!Q115+LLA!Q115+'C&amp;E'!Q115+CES!Q115+LLT!Q115+GB!Q115</f>
        <v>58233</v>
      </c>
      <c r="R115" s="7">
        <f t="shared" si="88"/>
        <v>0</v>
      </c>
      <c r="S115" s="7">
        <v>0</v>
      </c>
      <c r="T115" s="7">
        <f>CEO!T115+CS!T115+CFO!T115+LLA!T115+'C&amp;E'!T115+CES!T115+LLT!T115+GB!T115</f>
        <v>10280</v>
      </c>
      <c r="U115" s="7">
        <f t="shared" si="52"/>
        <v>68513</v>
      </c>
      <c r="V115" s="7">
        <f t="shared" si="51"/>
        <v>10280</v>
      </c>
      <c r="W115" s="7"/>
      <c r="X115" s="7">
        <f>CEO!Q115+CS!Q115+CFO!Q115+LLA!Q115+'C&amp;E'!Q115+CES!Q115+LLT!Q115+GB!Q115</f>
        <v>58233</v>
      </c>
      <c r="Y115" s="7">
        <f t="shared" ref="Y115:Y125" si="89">X115-Q115</f>
        <v>0</v>
      </c>
      <c r="Z115" s="7">
        <v>58233</v>
      </c>
      <c r="AA115" s="7">
        <f>200000-59471</f>
        <v>140529</v>
      </c>
      <c r="AC115" s="295">
        <f>Q115-Z115</f>
        <v>0</v>
      </c>
    </row>
    <row r="116" spans="1:29" x14ac:dyDescent="0.3">
      <c r="A116" s="7">
        <f>CEO!A116+CS!A116+CFO!A116+LLA!A116+'C&amp;E'!A116+CES!A116+LLT!A116+GB!A116</f>
        <v>0</v>
      </c>
      <c r="B116" s="7">
        <f>CEO!B116+CS!B116+CFO!B116+LLA!B116+'C&amp;E'!B116+CES!B116+LLT!B116+GB!B116</f>
        <v>0</v>
      </c>
      <c r="C116" s="7">
        <f>CEO!C116+CS!C116+CFO!C116+LLA!C116+'C&amp;E'!C116+CES!C116+LLT!C116+GB!C116</f>
        <v>0</v>
      </c>
      <c r="D116" s="7">
        <f>CEO!D116+CS!D116+CFO!D116+LLA!D116+'C&amp;E'!D116+CES!D116+LLT!D116+GB!D116</f>
        <v>0</v>
      </c>
      <c r="E116" s="7">
        <f>CEO!E116+CS!E116+CFO!E116+LLA!E116+'C&amp;E'!E116+CES!E116+LLT!E116+GB!E116</f>
        <v>0</v>
      </c>
      <c r="F116" s="7">
        <f>CEO!F116+CS!F116+CFO!F116+LLA!F116+'C&amp;E'!F116+CES!F116+LLT!F116+GB!F116</f>
        <v>0</v>
      </c>
      <c r="G116" s="7">
        <f>CEO!G116+CS!G116+CFO!G116+LLA!G116+'C&amp;E'!G116+CES!G116+LLT!G116+GB!G116</f>
        <v>0</v>
      </c>
      <c r="H116" s="7">
        <f>CEO!H116+CS!H116+CFO!H116+LLA!H116+'C&amp;E'!H116+CES!H116+LLT!H116+GB!H116</f>
        <v>0</v>
      </c>
      <c r="I116" s="7">
        <f>CEO!I116+CS!I116+CFO!I116+LLA!I116+'C&amp;E'!I116+CES!I116+LLT!I116+GB!I116</f>
        <v>0</v>
      </c>
      <c r="J116" s="7">
        <f>CEO!J116+CS!J116+CFO!J116+LLA!J116+'C&amp;E'!J116+CES!J116+LLT!J116+GB!J116</f>
        <v>0</v>
      </c>
      <c r="K116" s="7">
        <f>CEO!K116+CS!K116+CFO!K116+LLA!K116+'C&amp;E'!K116+CES!K116+LLT!K116+GB!K116</f>
        <v>0</v>
      </c>
      <c r="L116" s="7">
        <f>CEO!L116+CS!L116+CFO!L116+LLA!L116+'C&amp;E'!L116+CES!L116+LLT!L116+GB!L116</f>
        <v>0</v>
      </c>
      <c r="M116" s="13" t="s">
        <v>493</v>
      </c>
      <c r="N116" s="7">
        <f t="shared" si="86"/>
        <v>0</v>
      </c>
      <c r="O116" s="7">
        <f t="shared" si="87"/>
        <v>0</v>
      </c>
      <c r="P116" s="7">
        <f t="shared" si="50"/>
        <v>0</v>
      </c>
      <c r="Q116" s="7">
        <f>CEO!Q116+CS!Q116+CFO!Q116+LLA!Q116+'C&amp;E'!Q116+CES!Q116+LLT!Q116+GB!Q116</f>
        <v>0</v>
      </c>
      <c r="R116" s="7">
        <f t="shared" si="88"/>
        <v>0</v>
      </c>
      <c r="S116" s="7">
        <v>0</v>
      </c>
      <c r="T116" s="7">
        <f>CEO!T116+CS!T116+CFO!T116+LLA!T116+'C&amp;E'!T116+CES!T116+LLT!T116+GB!T116</f>
        <v>0</v>
      </c>
      <c r="U116" s="7">
        <f t="shared" si="52"/>
        <v>0</v>
      </c>
      <c r="V116" s="7">
        <f t="shared" si="51"/>
        <v>0</v>
      </c>
      <c r="W116" s="7"/>
      <c r="X116" s="7">
        <f>CEO!Q116+CS!Q116+CFO!Q116+LLA!Q116+'C&amp;E'!Q116+CES!Q116+LLT!Q116+GB!Q116</f>
        <v>0</v>
      </c>
      <c r="Y116" s="7">
        <f t="shared" si="89"/>
        <v>0</v>
      </c>
      <c r="Z116" s="7">
        <v>0</v>
      </c>
      <c r="AA116" s="7">
        <f t="shared" ref="AA116:AA125" si="90">Z116*(1+AA$3)</f>
        <v>0</v>
      </c>
      <c r="AC116" s="295">
        <f t="shared" si="66"/>
        <v>0</v>
      </c>
    </row>
    <row r="117" spans="1:29" x14ac:dyDescent="0.3">
      <c r="A117" s="7">
        <f>CEO!A117+CS!A117+CFO!A117+LLA!A117+'C&amp;E'!A117+CES!A117+LLT!A117+GB!A117</f>
        <v>0</v>
      </c>
      <c r="B117" s="7">
        <f>CEO!B117+CS!B117+CFO!B117+LLA!B117+'C&amp;E'!B117+CES!B117+LLT!B117+GB!B117</f>
        <v>0</v>
      </c>
      <c r="C117" s="7">
        <f>CEO!C117+CS!C117+CFO!C117+LLA!C117+'C&amp;E'!C117+CES!C117+LLT!C117+GB!C117</f>
        <v>0</v>
      </c>
      <c r="D117" s="7">
        <f>CEO!D117+CS!D117+CFO!D117+LLA!D117+'C&amp;E'!D117+CES!D117+LLT!D117+GB!D117</f>
        <v>0</v>
      </c>
      <c r="E117" s="7">
        <f>CEO!E117+CS!E117+CFO!E117+LLA!E117+'C&amp;E'!E117+CES!E117+LLT!E117+GB!E117</f>
        <v>0</v>
      </c>
      <c r="F117" s="7">
        <f>CEO!F117+CS!F117+CFO!F117+LLA!F117+'C&amp;E'!F117+CES!F117+LLT!F117+GB!F117</f>
        <v>0</v>
      </c>
      <c r="G117" s="7">
        <f>CEO!G117+CS!G117+CFO!G117+LLA!G117+'C&amp;E'!G117+CES!G117+LLT!G117+GB!G117</f>
        <v>0</v>
      </c>
      <c r="H117" s="7">
        <f>CEO!H117+CS!H117+CFO!H117+LLA!H117+'C&amp;E'!H117+CES!H117+LLT!H117+GB!H117</f>
        <v>0</v>
      </c>
      <c r="I117" s="7">
        <f>CEO!I117+CS!I117+CFO!I117+LLA!I117+'C&amp;E'!I117+CES!I117+LLT!I117+GB!I117</f>
        <v>0</v>
      </c>
      <c r="J117" s="7">
        <f>CEO!J117+CS!J117+CFO!J117+LLA!J117+'C&amp;E'!J117+CES!J117+LLT!J117+GB!J117</f>
        <v>0</v>
      </c>
      <c r="K117" s="7">
        <f>CEO!K117+CS!K117+CFO!K117+LLA!K117+'C&amp;E'!K117+CES!K117+LLT!K117+GB!K117</f>
        <v>0</v>
      </c>
      <c r="L117" s="7">
        <f>CEO!L117+CS!L117+CFO!L117+LLA!L117+'C&amp;E'!L117+CES!L117+LLT!L117+GB!L117</f>
        <v>0</v>
      </c>
      <c r="M117" s="388" t="s">
        <v>494</v>
      </c>
      <c r="N117" s="7">
        <f t="shared" si="86"/>
        <v>0</v>
      </c>
      <c r="O117" s="7">
        <f t="shared" si="87"/>
        <v>0</v>
      </c>
      <c r="P117" s="7">
        <f t="shared" si="50"/>
        <v>0</v>
      </c>
      <c r="Q117" s="7">
        <f>CEO!Q117+CS!Q117+CFO!Q117+LLA!Q117+'C&amp;E'!Q117+CES!Q117+LLT!Q117+GB!Q117</f>
        <v>0</v>
      </c>
      <c r="R117" s="7">
        <f t="shared" si="88"/>
        <v>0</v>
      </c>
      <c r="S117" s="7">
        <v>0</v>
      </c>
      <c r="T117" s="7">
        <f>CEO!T117+CS!T117+CFO!T117+LLA!T117+'C&amp;E'!T117+CES!T117+LLT!T117+GB!T117</f>
        <v>46958</v>
      </c>
      <c r="U117" s="7">
        <f t="shared" si="52"/>
        <v>46958</v>
      </c>
      <c r="V117" s="7">
        <f t="shared" si="51"/>
        <v>46958</v>
      </c>
      <c r="W117" s="7"/>
      <c r="X117" s="7">
        <f>CEO!Q117+CS!Q117+CFO!Q117+LLA!Q117+'C&amp;E'!Q117+CES!Q117+LLT!Q117+GB!Q117</f>
        <v>0</v>
      </c>
      <c r="Y117" s="7">
        <f t="shared" si="89"/>
        <v>0</v>
      </c>
      <c r="Z117" s="7">
        <v>0</v>
      </c>
      <c r="AA117" s="7">
        <f t="shared" si="90"/>
        <v>0</v>
      </c>
      <c r="AC117" s="295">
        <f t="shared" si="66"/>
        <v>0</v>
      </c>
    </row>
    <row r="118" spans="1:29" x14ac:dyDescent="0.3">
      <c r="A118" s="7">
        <f>CEO!A118+CS!A118+CFO!A118+LLA!A118+'C&amp;E'!A118+CES!A118+LLT!A118+GB!A118</f>
        <v>0</v>
      </c>
      <c r="B118" s="7">
        <f>CEO!B118+CS!B118+CFO!B118+LLA!B118+'C&amp;E'!B118+CES!B118+LLT!B118+GB!B118</f>
        <v>0</v>
      </c>
      <c r="C118" s="7">
        <f>CEO!C118+CS!C118+CFO!C118+LLA!C118+'C&amp;E'!C118+CES!C118+LLT!C118+GB!C118</f>
        <v>0</v>
      </c>
      <c r="D118" s="7">
        <f>CEO!D118+CS!D118+CFO!D118+LLA!D118+'C&amp;E'!D118+CES!D118+LLT!D118+GB!D118</f>
        <v>0</v>
      </c>
      <c r="E118" s="7">
        <f>CEO!E118+CS!E118+CFO!E118+LLA!E118+'C&amp;E'!E118+CES!E118+LLT!E118+GB!E118</f>
        <v>0</v>
      </c>
      <c r="F118" s="7">
        <f>CEO!F118+CS!F118+CFO!F118+LLA!F118+'C&amp;E'!F118+CES!F118+LLT!F118+GB!F118</f>
        <v>0</v>
      </c>
      <c r="G118" s="7">
        <f>CEO!G118+CS!G118+CFO!G118+LLA!G118+'C&amp;E'!G118+CES!G118+LLT!G118+GB!G118</f>
        <v>0</v>
      </c>
      <c r="H118" s="7">
        <f>CEO!H118+CS!H118+CFO!H118+LLA!H118+'C&amp;E'!H118+CES!H118+LLT!H118+GB!H118</f>
        <v>0</v>
      </c>
      <c r="I118" s="7">
        <f>CEO!I118+CS!I118+CFO!I118+LLA!I118+'C&amp;E'!I118+CES!I118+LLT!I118+GB!I118</f>
        <v>0</v>
      </c>
      <c r="J118" s="7">
        <f>CEO!J118+CS!J118+CFO!J118+LLA!J118+'C&amp;E'!J118+CES!J118+LLT!J118+GB!J118</f>
        <v>0</v>
      </c>
      <c r="K118" s="7">
        <f>CEO!K118+CS!K118+CFO!K118+LLA!K118+'C&amp;E'!K118+CES!K118+LLT!K118+GB!K118</f>
        <v>0</v>
      </c>
      <c r="L118" s="7">
        <f>CEO!L118+CS!L118+CFO!L118+LLA!L118+'C&amp;E'!L118+CES!L118+LLT!L118+GB!L118</f>
        <v>0</v>
      </c>
      <c r="M118" s="13" t="s">
        <v>495</v>
      </c>
      <c r="N118" s="7">
        <f t="shared" si="86"/>
        <v>0</v>
      </c>
      <c r="O118" s="7">
        <f t="shared" si="87"/>
        <v>0</v>
      </c>
      <c r="P118" s="7">
        <f t="shared" si="50"/>
        <v>0</v>
      </c>
      <c r="Q118" s="7">
        <f>CEO!Q118+CS!Q118+CFO!Q118+LLA!Q118+'C&amp;E'!Q118+CES!Q118+LLT!Q118+GB!Q118</f>
        <v>0</v>
      </c>
      <c r="R118" s="7">
        <f t="shared" si="88"/>
        <v>0</v>
      </c>
      <c r="S118" s="7">
        <v>0.23500000000058208</v>
      </c>
      <c r="T118" s="7">
        <f>CEO!T118+CS!T118+CFO!T118+LLA!T118+'C&amp;E'!T118+CES!T118+LLT!T118+GB!T118</f>
        <v>0</v>
      </c>
      <c r="U118" s="7">
        <f t="shared" si="52"/>
        <v>0.23500000000058208</v>
      </c>
      <c r="V118" s="7">
        <f t="shared" si="51"/>
        <v>0.23500000000058208</v>
      </c>
      <c r="W118" s="7"/>
      <c r="X118" s="7">
        <f>CEO!Q118+CS!Q118+CFO!Q118+LLA!Q118+'C&amp;E'!Q118+CES!Q118+LLT!Q118+GB!Q118</f>
        <v>0</v>
      </c>
      <c r="Y118" s="7">
        <f t="shared" si="89"/>
        <v>0</v>
      </c>
      <c r="Z118" s="7">
        <v>0</v>
      </c>
      <c r="AA118" s="7">
        <f t="shared" si="90"/>
        <v>0</v>
      </c>
      <c r="AC118" s="295">
        <f t="shared" si="66"/>
        <v>0</v>
      </c>
    </row>
    <row r="119" spans="1:29" x14ac:dyDescent="0.3">
      <c r="A119" s="7">
        <f>CEO!A119+CS!A119+CFO!A119+LLA!A119+'C&amp;E'!A119+CES!A119+LLT!A119+GB!A119</f>
        <v>47820</v>
      </c>
      <c r="B119" s="7">
        <f>CEO!B119+CS!B119+CFO!B119+LLA!B119+'C&amp;E'!B119+CES!B119+LLT!B119+GB!B119</f>
        <v>47820</v>
      </c>
      <c r="C119" s="7">
        <f>CEO!C119+CS!C119+CFO!C119+LLA!C119+'C&amp;E'!C119+CES!C119+LLT!C119+GB!C119</f>
        <v>47820</v>
      </c>
      <c r="D119" s="7">
        <f>CEO!D119+CS!D119+CFO!D119+LLA!D119+'C&amp;E'!D119+CES!D119+LLT!D119+GB!D119</f>
        <v>47820</v>
      </c>
      <c r="E119" s="7">
        <f>CEO!E119+CS!E119+CFO!E119+LLA!E119+'C&amp;E'!E119+CES!E119+LLT!E119+GB!E119</f>
        <v>47820</v>
      </c>
      <c r="F119" s="7">
        <f>CEO!F119+CS!F119+CFO!F119+LLA!F119+'C&amp;E'!F119+CES!F119+LLT!F119+GB!F119</f>
        <v>47820</v>
      </c>
      <c r="G119" s="7">
        <f>CEO!G119+CS!G119+CFO!G119+LLA!G119+'C&amp;E'!G119+CES!G119+LLT!G119+GB!G119</f>
        <v>47820</v>
      </c>
      <c r="H119" s="7">
        <f>CEO!H119+CS!H119+CFO!H119+LLA!H119+'C&amp;E'!H119+CES!H119+LLT!H119+GB!H119</f>
        <v>47820</v>
      </c>
      <c r="I119" s="7">
        <f>CEO!I119+CS!I119+CFO!I119+LLA!I119+'C&amp;E'!I119+CES!I119+LLT!I119+GB!I119</f>
        <v>47820</v>
      </c>
      <c r="J119" s="7">
        <f>CEO!J119+CS!J119+CFO!J119+LLA!J119+'C&amp;E'!J119+CES!J119+LLT!J119+GB!J119</f>
        <v>47820</v>
      </c>
      <c r="K119" s="7">
        <f>CEO!K119+CS!K119+CFO!K119+LLA!K119+'C&amp;E'!K119+CES!K119+LLT!K119+GB!K119</f>
        <v>47820</v>
      </c>
      <c r="L119" s="7">
        <f>CEO!L119+CS!L119+CFO!L119+LLA!L119+'C&amp;E'!L119+CES!L119+LLT!L119+GB!L119</f>
        <v>47820</v>
      </c>
      <c r="M119" s="13" t="s">
        <v>496</v>
      </c>
      <c r="N119" s="7">
        <f t="shared" si="86"/>
        <v>0</v>
      </c>
      <c r="O119" s="7">
        <f>SUM(A119:L119)</f>
        <v>573840</v>
      </c>
      <c r="P119" s="7">
        <f t="shared" si="50"/>
        <v>573840</v>
      </c>
      <c r="Q119" s="7">
        <f>CEO!Q119+CS!Q119+CFO!Q119+LLA!Q119+'C&amp;E'!Q119+CES!Q119+LLT!Q119+GB!Q119</f>
        <v>573840</v>
      </c>
      <c r="R119" s="7">
        <f t="shared" si="88"/>
        <v>0</v>
      </c>
      <c r="S119" s="7">
        <v>-37729</v>
      </c>
      <c r="T119" s="7">
        <f>CEO!T119+CS!T119+CFO!T119+LLA!T119+'C&amp;E'!T119+CES!T119+LLT!T119+GB!T119</f>
        <v>414418</v>
      </c>
      <c r="U119" s="7">
        <f t="shared" si="52"/>
        <v>950529</v>
      </c>
      <c r="V119" s="7">
        <f t="shared" si="51"/>
        <v>376689</v>
      </c>
      <c r="W119" s="7"/>
      <c r="X119" s="7">
        <f>CEO!Q119+CS!Q119+CFO!Q119+LLA!Q119+'C&amp;E'!Q119+CES!Q119+LLT!Q119+GB!Q119</f>
        <v>573840</v>
      </c>
      <c r="Y119" s="7">
        <f t="shared" si="89"/>
        <v>0</v>
      </c>
      <c r="Z119" s="7">
        <v>573840.44863999996</v>
      </c>
      <c r="AA119" s="7">
        <f t="shared" si="90"/>
        <v>600810.94972607994</v>
      </c>
      <c r="AC119" s="295">
        <f t="shared" si="66"/>
        <v>-0.44863999995868653</v>
      </c>
    </row>
    <row r="120" spans="1:29" x14ac:dyDescent="0.3">
      <c r="A120" s="7">
        <f>CEO!A120+CS!A120+CFO!A120+LLA!A120+'C&amp;E'!A120+CES!A120+LLT!A120+GB!A120</f>
        <v>0</v>
      </c>
      <c r="B120" s="7">
        <f>CEO!B120+CS!B120+CFO!B120+LLA!B120+'C&amp;E'!B120+CES!B120+LLT!B120+GB!B120</f>
        <v>0</v>
      </c>
      <c r="C120" s="7">
        <f>CEO!C120+CS!C120+CFO!C120+LLA!C120+'C&amp;E'!C120+CES!C120+LLT!C120+GB!C120</f>
        <v>0</v>
      </c>
      <c r="D120" s="7">
        <f>CEO!D120+CS!D120+CFO!D120+LLA!D120+'C&amp;E'!D120+CES!D120+LLT!D120+GB!D120</f>
        <v>0</v>
      </c>
      <c r="E120" s="7"/>
      <c r="F120" s="7"/>
      <c r="G120" s="7"/>
      <c r="H120" s="7"/>
      <c r="I120" s="7">
        <f>CEO!I120+CS!I120+CFO!I120+LLA!I120+'C&amp;E'!I120+CES!I120+LLT!I120+GB!I120</f>
        <v>0</v>
      </c>
      <c r="J120" s="7">
        <f>CEO!J120+CS!J120+CFO!J120+LLA!J120+'C&amp;E'!J120+CES!J120+LLT!J120+GB!J120</f>
        <v>0</v>
      </c>
      <c r="K120" s="7">
        <f>CEO!K120+CS!K120+CFO!K120+LLA!K120+'C&amp;E'!K120+CES!K120+LLT!K120+GB!K120</f>
        <v>0</v>
      </c>
      <c r="L120" s="7">
        <f>CEO!L120+CS!L120+CFO!L120+LLA!L120+'C&amp;E'!L120+CES!L120+LLT!L120+GB!L120</f>
        <v>0</v>
      </c>
      <c r="M120" s="388" t="s">
        <v>497</v>
      </c>
      <c r="N120" s="7">
        <f t="shared" si="86"/>
        <v>0</v>
      </c>
      <c r="O120" s="7">
        <f t="shared" si="87"/>
        <v>0</v>
      </c>
      <c r="P120" s="7">
        <f t="shared" si="50"/>
        <v>0</v>
      </c>
      <c r="Q120" s="7">
        <f>CEO!Q120+CS!Q120+CFO!Q120+LLA!Q120+'C&amp;E'!Q120+CES!Q120+LLT!Q120+GB!Q120</f>
        <v>0</v>
      </c>
      <c r="R120" s="7">
        <f t="shared" si="88"/>
        <v>0</v>
      </c>
      <c r="S120" s="7">
        <v>0</v>
      </c>
      <c r="T120" s="7">
        <f>CEO!T120+CS!T120+CFO!T120+LLA!T120+'C&amp;E'!T120+CES!T120+LLT!T120+GB!T120</f>
        <v>0</v>
      </c>
      <c r="U120" s="7">
        <f t="shared" si="52"/>
        <v>0</v>
      </c>
      <c r="V120" s="7">
        <f t="shared" si="51"/>
        <v>0</v>
      </c>
      <c r="W120" s="7"/>
      <c r="X120" s="7">
        <f>CEO!Q120+CS!Q120+CFO!Q120+LLA!Q120+'C&amp;E'!Q120+CES!Q120+LLT!Q120+GB!Q120</f>
        <v>0</v>
      </c>
      <c r="Y120" s="7">
        <f t="shared" si="89"/>
        <v>0</v>
      </c>
      <c r="Z120" s="7">
        <v>0</v>
      </c>
      <c r="AA120" s="7">
        <f t="shared" si="90"/>
        <v>0</v>
      </c>
      <c r="AC120" s="295">
        <f t="shared" si="66"/>
        <v>0</v>
      </c>
    </row>
    <row r="121" spans="1:29" x14ac:dyDescent="0.3">
      <c r="A121" s="7">
        <f>CEO!A121+CS!A121+CFO!A121+LLA!A121+'C&amp;E'!A121+CES!A121+LLT!A121+GB!A121</f>
        <v>0</v>
      </c>
      <c r="B121" s="7">
        <f>CEO!B121+CS!B121+CFO!B121+LLA!B121+'C&amp;E'!B121+CES!B121+LLT!B121+GB!B121</f>
        <v>0</v>
      </c>
      <c r="C121" s="7">
        <f>CEO!C121+CS!C121+CFO!C121+LLA!C121+'C&amp;E'!C121+CES!C121+LLT!C121+GB!C121</f>
        <v>0</v>
      </c>
      <c r="D121" s="7">
        <f>CEO!D121+CS!D121+CFO!D121+LLA!D121+'C&amp;E'!D121+CES!D121+LLT!D121+GB!D121</f>
        <v>0</v>
      </c>
      <c r="E121" s="7"/>
      <c r="F121" s="7"/>
      <c r="G121" s="7"/>
      <c r="H121" s="7"/>
      <c r="I121" s="7">
        <f>CEO!I121+CS!I121+CFO!I121+LLA!I121+'C&amp;E'!I121+CES!I121+LLT!I121+GB!I121</f>
        <v>0</v>
      </c>
      <c r="J121" s="7">
        <f>CEO!J121+CS!J121+CFO!J121+LLA!J121+'C&amp;E'!J121+CES!J121+LLT!J121+GB!J121</f>
        <v>0</v>
      </c>
      <c r="K121" s="7">
        <f>CEO!K121+CS!K121+CFO!K121+LLA!K121+'C&amp;E'!K121+CES!K121+LLT!K121+GB!K121</f>
        <v>0</v>
      </c>
      <c r="L121" s="7">
        <f>CEO!L121+CS!L121+CFO!L121+LLA!L121+'C&amp;E'!L121+CES!L121+LLT!L121+GB!L121</f>
        <v>0</v>
      </c>
      <c r="M121" s="13" t="s">
        <v>498</v>
      </c>
      <c r="N121" s="7">
        <f t="shared" si="86"/>
        <v>0</v>
      </c>
      <c r="O121" s="7">
        <f t="shared" si="87"/>
        <v>0</v>
      </c>
      <c r="P121" s="7">
        <f t="shared" si="50"/>
        <v>0</v>
      </c>
      <c r="Q121" s="7">
        <f>CEO!Q121+CS!Q121+CFO!Q121+LLA!Q121+'C&amp;E'!Q121+CES!Q121+LLT!Q121+GB!Q121</f>
        <v>0</v>
      </c>
      <c r="R121" s="7">
        <f t="shared" si="88"/>
        <v>0</v>
      </c>
      <c r="S121" s="7">
        <v>0</v>
      </c>
      <c r="T121" s="7">
        <f>CEO!T121+CS!T121+CFO!T121+LLA!T121+'C&amp;E'!T121+CES!T121+LLT!T121+GB!T121</f>
        <v>0</v>
      </c>
      <c r="U121" s="7">
        <f t="shared" si="52"/>
        <v>0</v>
      </c>
      <c r="V121" s="7">
        <f t="shared" si="51"/>
        <v>0</v>
      </c>
      <c r="W121" s="7"/>
      <c r="X121" s="7">
        <f>CEO!Q121+CS!Q121+CFO!Q121+LLA!Q121+'C&amp;E'!Q121+CES!Q121+LLT!Q121+GB!Q121</f>
        <v>0</v>
      </c>
      <c r="Y121" s="7">
        <f t="shared" si="89"/>
        <v>0</v>
      </c>
      <c r="Z121" s="7">
        <v>0</v>
      </c>
      <c r="AA121" s="7">
        <f t="shared" si="90"/>
        <v>0</v>
      </c>
      <c r="AC121" s="295">
        <f t="shared" si="66"/>
        <v>0</v>
      </c>
    </row>
    <row r="122" spans="1:29" x14ac:dyDescent="0.3">
      <c r="A122" s="7">
        <f>CEO!A122+CS!A122+CFO!A122+LLA!A122+'C&amp;E'!A122+CES!A122+LLT!A122+GB!A122</f>
        <v>31699.904000000002</v>
      </c>
      <c r="B122" s="7">
        <f>CEO!B122+CS!B122+CFO!B122+LLA!B122+'C&amp;E'!B122+CES!B122+LLT!B122+GB!B122</f>
        <v>31699.904000000002</v>
      </c>
      <c r="C122" s="7">
        <f>CEO!C122+CS!C122+CFO!C122+LLA!C122+'C&amp;E'!C122+CES!C122+LLT!C122+GB!C122</f>
        <v>31699.904000000002</v>
      </c>
      <c r="D122" s="7">
        <f>CEO!D122+CS!D122+CFO!D122+LLA!D122+'C&amp;E'!D122+CES!D122+LLT!D122+GB!D122</f>
        <v>31699.904000000002</v>
      </c>
      <c r="E122" s="7">
        <f>CEO!E122+CS!E122+CFO!E122+LLA!E122+'C&amp;E'!E122+CES!E122+LLT!E122+GB!E122</f>
        <v>31699.904000000002</v>
      </c>
      <c r="F122" s="7">
        <f>CEO!F122+CS!F122+CFO!F122+LLA!F122+'C&amp;E'!F122+CES!F122+LLT!F122+GB!F122</f>
        <v>31699.904000000002</v>
      </c>
      <c r="G122" s="7">
        <f>CEO!G122+CS!G122+CFO!G122+LLA!G122+'C&amp;E'!G122+CES!G122+LLT!G122+GB!G122</f>
        <v>31699.904000000002</v>
      </c>
      <c r="H122" s="7">
        <f>CEO!H122+CS!H122+CFO!H122+LLA!H122+'C&amp;E'!H122+CES!H122+LLT!H122+GB!H122</f>
        <v>31699.904000000002</v>
      </c>
      <c r="I122" s="7">
        <f>CEO!I122+CS!I122+CFO!I122+LLA!I122+'C&amp;E'!I122+CES!I122+LLT!I122+GB!I122</f>
        <v>31699.904000000002</v>
      </c>
      <c r="J122" s="7">
        <f>CEO!J122+CS!J122+CFO!J122+LLA!J122+'C&amp;E'!J122+CES!J122+LLT!J122+GB!J122</f>
        <v>31699.904000000002</v>
      </c>
      <c r="K122" s="7">
        <f>CEO!K122+CS!K122+CFO!K122+LLA!K122+'C&amp;E'!K122+CES!K122+LLT!K122+GB!K122</f>
        <v>31699.904000000002</v>
      </c>
      <c r="L122" s="7">
        <f>CEO!L122+CS!L122+CFO!L122+LLA!L122+'C&amp;E'!L122+CES!L122+LLT!L122+GB!L122</f>
        <v>31695.904000000002</v>
      </c>
      <c r="M122" s="13" t="s">
        <v>499</v>
      </c>
      <c r="N122" s="7">
        <f t="shared" si="86"/>
        <v>0</v>
      </c>
      <c r="O122" s="7">
        <f t="shared" si="87"/>
        <v>380394.848</v>
      </c>
      <c r="P122" s="7">
        <f t="shared" si="50"/>
        <v>380394.848</v>
      </c>
      <c r="Q122" s="7">
        <f>CEO!Q122+CS!Q122+CFO!Q122+LLA!Q122+'C&amp;E'!Q122+CES!Q122+LLT!Q122+GB!Q122</f>
        <v>380394.848</v>
      </c>
      <c r="R122" s="7">
        <f t="shared" si="88"/>
        <v>0</v>
      </c>
      <c r="S122" s="7">
        <v>-198733</v>
      </c>
      <c r="T122" s="7">
        <f>CEO!T122+CS!T122+CFO!T122+LLA!T122+'C&amp;E'!T122+CES!T122+LLT!T122+GB!T122</f>
        <v>13564</v>
      </c>
      <c r="U122" s="7">
        <f t="shared" si="52"/>
        <v>195225.848</v>
      </c>
      <c r="V122" s="7">
        <f t="shared" si="51"/>
        <v>-185169</v>
      </c>
      <c r="W122" s="7"/>
      <c r="X122" s="7">
        <f>CEO!Q122+CS!Q122+CFO!Q122+LLA!Q122+'C&amp;E'!Q122+CES!Q122+LLT!Q122+GB!Q122</f>
        <v>380394.848</v>
      </c>
      <c r="Y122" s="7">
        <f t="shared" si="89"/>
        <v>0</v>
      </c>
      <c r="Z122" s="7">
        <v>380395.07520000002</v>
      </c>
      <c r="AA122" s="7">
        <f t="shared" si="90"/>
        <v>398273.64373439999</v>
      </c>
      <c r="AC122" s="295">
        <f t="shared" si="66"/>
        <v>-0.22720000002300367</v>
      </c>
    </row>
    <row r="123" spans="1:29" x14ac:dyDescent="0.3">
      <c r="A123" s="7">
        <f>CEO!A123+CS!A123+CFO!A123+LLA!A123+'C&amp;E'!A123+CES!A123+LLT!A123+GB!A123</f>
        <v>105337.62400000001</v>
      </c>
      <c r="B123" s="7">
        <f>CEO!B123+CS!B123+CFO!B123+LLA!B123+'C&amp;E'!B123+CES!B123+LLT!B123+GB!B123</f>
        <v>105337.62400000001</v>
      </c>
      <c r="C123" s="7">
        <f>CEO!C123+CS!C123+CFO!C123+LLA!C123+'C&amp;E'!C123+CES!C123+LLT!C123+GB!C123</f>
        <v>105337.62400000001</v>
      </c>
      <c r="D123" s="7">
        <f>CEO!D123+CS!D123+CFO!D123+LLA!D123+'C&amp;E'!D123+CES!D123+LLT!D123+GB!D123</f>
        <v>105337.62400000001</v>
      </c>
      <c r="E123" s="7">
        <f>CEO!E123+CS!E123+CFO!E123+LLA!E123+'C&amp;E'!E123+CES!E123+LLT!E123+GB!E123</f>
        <v>105337.62400000001</v>
      </c>
      <c r="F123" s="7">
        <f>CEO!F123+CS!F123+CFO!F123+LLA!F123+'C&amp;E'!F123+CES!F123+LLT!F123+GB!F123</f>
        <v>105337.62400000001</v>
      </c>
      <c r="G123" s="7">
        <f>CEO!G123+CS!G123+CFO!G123+LLA!G123+'C&amp;E'!G123+CES!G123+LLT!G123+GB!G123</f>
        <v>105337.62400000001</v>
      </c>
      <c r="H123" s="7">
        <f>CEO!H123+CS!H123+CFO!H123+LLA!H123+'C&amp;E'!H123+CES!H123+LLT!H123+GB!H123</f>
        <v>105337.62400000001</v>
      </c>
      <c r="I123" s="7">
        <f>CEO!I123+CS!I123+CFO!I123+LLA!I123+'C&amp;E'!I123+CES!I123+LLT!I123+GB!I123</f>
        <v>105337.62400000001</v>
      </c>
      <c r="J123" s="7">
        <f>CEO!J123+CS!J123+CFO!J123+LLA!J123+'C&amp;E'!J123+CES!J123+LLT!J123+GB!J123</f>
        <v>105337.62400000001</v>
      </c>
      <c r="K123" s="7">
        <f>CEO!K123+CS!K123+CFO!K123+LLA!K123+'C&amp;E'!K123+CES!K123+LLT!K123+GB!K123</f>
        <v>105337.62400000001</v>
      </c>
      <c r="L123" s="7">
        <f>CEO!L123+CS!L123+CFO!L123+LLA!L123+'C&amp;E'!L123+CES!L123+LLT!L123+GB!L123</f>
        <v>105339.62400000001</v>
      </c>
      <c r="M123" s="388" t="s">
        <v>500</v>
      </c>
      <c r="N123" s="7">
        <f t="shared" si="86"/>
        <v>0</v>
      </c>
      <c r="O123" s="7">
        <f t="shared" si="87"/>
        <v>1264053.4880000006</v>
      </c>
      <c r="P123" s="7">
        <f t="shared" si="50"/>
        <v>1264053.4880000006</v>
      </c>
      <c r="Q123" s="7">
        <f>CEO!Q123+CS!Q123+CFO!Q123+LLA!Q123+'C&amp;E'!Q123+CES!Q123+LLT!Q123+GB!Q123</f>
        <v>1264053.4880000006</v>
      </c>
      <c r="R123" s="7">
        <f t="shared" si="88"/>
        <v>0</v>
      </c>
      <c r="S123" s="7">
        <v>0</v>
      </c>
      <c r="T123" s="7">
        <f>CEO!T123+CS!T123+CFO!T123+LLA!T123+'C&amp;E'!T123+CES!T123+LLT!T123+GB!T123</f>
        <v>0</v>
      </c>
      <c r="U123" s="7">
        <f t="shared" si="52"/>
        <v>1264053.4880000006</v>
      </c>
      <c r="V123" s="7">
        <f t="shared" si="51"/>
        <v>0</v>
      </c>
      <c r="W123" s="7"/>
      <c r="X123" s="7">
        <f>CEO!Q123+CS!Q123+CFO!Q123+LLA!Q123+'C&amp;E'!Q123+CES!Q123+LLT!Q123+GB!Q123</f>
        <v>1264053.4880000006</v>
      </c>
      <c r="Y123" s="7">
        <f t="shared" si="89"/>
        <v>0</v>
      </c>
      <c r="Z123" s="7">
        <v>1264053.2554576593</v>
      </c>
      <c r="AA123" s="7">
        <f t="shared" si="90"/>
        <v>1323463.7584641692</v>
      </c>
      <c r="AC123" s="295">
        <f t="shared" si="66"/>
        <v>0.23254234134219587</v>
      </c>
    </row>
    <row r="124" spans="1:29" x14ac:dyDescent="0.3">
      <c r="A124" s="7">
        <f>CEO!A124+CS!A124+CFO!A124+LLA!A124+'C&amp;E'!A124+CES!A124+LLT!A124+GB!A124</f>
        <v>0</v>
      </c>
      <c r="B124" s="7">
        <f>CEO!B124+CS!B124+CFO!B124+LLA!B124+'C&amp;E'!B124+CES!B124+LLT!B124+GB!B124</f>
        <v>0</v>
      </c>
      <c r="C124" s="7">
        <f>CEO!C124+CS!C124+CFO!C124+LLA!C124+'C&amp;E'!C124+CES!C124+LLT!C124+GB!C124</f>
        <v>0</v>
      </c>
      <c r="D124" s="7">
        <f>CEO!D124+CS!D124+CFO!D124+LLA!D124+'C&amp;E'!D124+CES!D124+LLT!D124+GB!D124</f>
        <v>0</v>
      </c>
      <c r="E124" s="7">
        <f>CEO!E124+CS!E124+CFO!E124+LLA!E124+'C&amp;E'!E124+CES!E124+LLT!E124+GB!E124</f>
        <v>0</v>
      </c>
      <c r="F124" s="7">
        <f>CEO!F124+CS!F124+CFO!F124+LLA!F124+'C&amp;E'!F124+CES!F124+LLT!F124+GB!F124</f>
        <v>0</v>
      </c>
      <c r="G124" s="7">
        <f>CEO!G124+CS!G124+CFO!G124+LLA!G124+'C&amp;E'!G124+CES!G124+LLT!G124+GB!G124</f>
        <v>0</v>
      </c>
      <c r="H124" s="7">
        <f>CEO!H124+CS!H124+CFO!H124+LLA!H124+'C&amp;E'!H124+CES!H124+LLT!H124+GB!H124</f>
        <v>0</v>
      </c>
      <c r="I124" s="7">
        <f>CEO!I124+CS!I124+CFO!I124+LLA!I124+'C&amp;E'!I124+CES!I124+LLT!I124+GB!I124</f>
        <v>0</v>
      </c>
      <c r="J124" s="7">
        <f>CEO!J124+CS!J124+CFO!J124+LLA!J124+'C&amp;E'!J124+CES!J124+LLT!J124+GB!J124</f>
        <v>0</v>
      </c>
      <c r="K124" s="7">
        <f>CEO!K124+CS!K124+CFO!K124+LLA!K124+'C&amp;E'!K124+CES!K124+LLT!K124+GB!K124</f>
        <v>0</v>
      </c>
      <c r="L124" s="7">
        <f>CEO!L124+CS!L124+CFO!L124+LLA!L124+'C&amp;E'!L124+CES!L124+LLT!L124+GB!L124</f>
        <v>0</v>
      </c>
      <c r="M124" s="13" t="s">
        <v>501</v>
      </c>
      <c r="N124" s="7">
        <f t="shared" si="86"/>
        <v>0</v>
      </c>
      <c r="O124" s="7">
        <f t="shared" si="87"/>
        <v>0</v>
      </c>
      <c r="P124" s="7">
        <f t="shared" si="50"/>
        <v>0</v>
      </c>
      <c r="Q124" s="7">
        <f>CEO!Q124+CS!Q124+CFO!Q124+LLA!Q124+'C&amp;E'!Q124+CES!Q124+LLT!Q124+GB!Q124</f>
        <v>0</v>
      </c>
      <c r="R124" s="7">
        <f t="shared" si="88"/>
        <v>0</v>
      </c>
      <c r="S124" s="7">
        <v>0</v>
      </c>
      <c r="T124" s="7">
        <f>CEO!T124+CS!T124+CFO!T124+LLA!T124+'C&amp;E'!T124+CES!T124+LLT!T124+GB!T124</f>
        <v>0</v>
      </c>
      <c r="U124" s="7">
        <f t="shared" si="52"/>
        <v>0</v>
      </c>
      <c r="V124" s="7">
        <f t="shared" si="51"/>
        <v>0</v>
      </c>
      <c r="W124" s="7"/>
      <c r="X124" s="7">
        <f>CEO!Q124+CS!Q124+CFO!Q124+LLA!Q124+'C&amp;E'!Q124+CES!Q124+LLT!Q124+GB!Q124</f>
        <v>0</v>
      </c>
      <c r="Y124" s="7">
        <f t="shared" si="89"/>
        <v>0</v>
      </c>
      <c r="Z124" s="7">
        <v>0</v>
      </c>
      <c r="AA124" s="7">
        <f t="shared" si="90"/>
        <v>0</v>
      </c>
      <c r="AC124" s="295">
        <f t="shared" si="66"/>
        <v>0</v>
      </c>
    </row>
    <row r="125" spans="1:29" x14ac:dyDescent="0.3">
      <c r="A125" s="11">
        <f>CEO!A125+CS!A125+CFO!A125+LLA!A125+'C&amp;E'!A125+CES!A125+LLT!A125+GB!A125</f>
        <v>0</v>
      </c>
      <c r="B125" s="11">
        <f>CEO!B125+CS!B125+CFO!B125+LLA!B125+'C&amp;E'!B125+CES!B125+LLT!B125+GB!B125</f>
        <v>0</v>
      </c>
      <c r="C125" s="11">
        <f>CEO!C125+CS!C125+CFO!C125+LLA!C125+'C&amp;E'!C125+CES!C125+LLT!C125+GB!C125</f>
        <v>0</v>
      </c>
      <c r="D125" s="11">
        <f>CEO!D125+CS!D125+CFO!D125+LLA!D125+'C&amp;E'!D125+CES!D125+LLT!D125+GB!D125</f>
        <v>0</v>
      </c>
      <c r="E125" s="11">
        <f>CEO!E125+CS!E125+CFO!E125+LLA!E125+'C&amp;E'!E125+CES!E125+LLT!E125+GB!E125</f>
        <v>0</v>
      </c>
      <c r="F125" s="11">
        <f>CEO!F125+CS!F125+CFO!F125+LLA!F125+'C&amp;E'!F125+CES!F125+LLT!F125+GB!F125</f>
        <v>0</v>
      </c>
      <c r="G125" s="11">
        <f>CEO!G125+CS!G125+CFO!G125+LLA!G125+'C&amp;E'!G125+CES!G125+LLT!G125+GB!G125</f>
        <v>0</v>
      </c>
      <c r="H125" s="11">
        <f>CEO!H125+CS!H125+CFO!H125+LLA!H125+'C&amp;E'!H125+CES!H125+LLT!H125+GB!H125</f>
        <v>0</v>
      </c>
      <c r="I125" s="11">
        <f>CEO!I125+CS!I125+CFO!I125+LLA!I125+'C&amp;E'!I125+CES!I125+LLT!I125+GB!I125</f>
        <v>0</v>
      </c>
      <c r="J125" s="11">
        <f>CEO!J125+CS!J125+CFO!J125+LLA!J125+'C&amp;E'!J125+CES!J125+LLT!J125+GB!J125</f>
        <v>0</v>
      </c>
      <c r="K125" s="11">
        <f>CEO!K125+CS!K125+CFO!K125+LLA!K125+'C&amp;E'!K125+CES!K125+LLT!K125+GB!K125</f>
        <v>0</v>
      </c>
      <c r="L125" s="11">
        <f>CEO!L125+CS!L125+CFO!L125+LLA!L125+'C&amp;E'!L125+CES!L125+LLT!L125+GB!L125</f>
        <v>0</v>
      </c>
      <c r="M125" s="13" t="s">
        <v>184</v>
      </c>
      <c r="N125" s="11">
        <f t="shared" si="86"/>
        <v>0</v>
      </c>
      <c r="O125" s="11">
        <f t="shared" si="87"/>
        <v>0</v>
      </c>
      <c r="P125" s="11">
        <f t="shared" si="50"/>
        <v>0</v>
      </c>
      <c r="Q125" s="11">
        <f>CEO!Q125+CS!Q125+CFO!Q125+LLA!Q125+'C&amp;E'!Q125+CES!Q125+LLT!Q125+GB!Q125</f>
        <v>0</v>
      </c>
      <c r="R125" s="11">
        <f t="shared" si="88"/>
        <v>0</v>
      </c>
      <c r="S125" s="11">
        <v>0</v>
      </c>
      <c r="T125" s="11">
        <f>CEO!T125+CS!T125+CFO!T125+LLA!T125+'C&amp;E'!T125+CES!T125+LLT!T125+GB!T125</f>
        <v>0</v>
      </c>
      <c r="U125" s="11">
        <f t="shared" si="52"/>
        <v>0</v>
      </c>
      <c r="V125" s="11">
        <f t="shared" si="51"/>
        <v>0</v>
      </c>
      <c r="W125" s="11"/>
      <c r="X125" s="11">
        <f>CEO!Q125+CS!Q125+CFO!Q125+LLA!Q125+'C&amp;E'!Q125+CES!Q125+LLT!Q125+GB!Q125</f>
        <v>0</v>
      </c>
      <c r="Y125" s="11">
        <f t="shared" si="89"/>
        <v>0</v>
      </c>
      <c r="Z125" s="11"/>
      <c r="AA125" s="11">
        <f t="shared" si="90"/>
        <v>0</v>
      </c>
      <c r="AC125" s="295">
        <f t="shared" si="66"/>
        <v>0</v>
      </c>
    </row>
    <row r="126" spans="1:29" ht="5.4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13"/>
      <c r="N126" s="7">
        <f t="shared" si="53"/>
        <v>0</v>
      </c>
      <c r="O126" s="7">
        <f t="shared" si="54"/>
        <v>0</v>
      </c>
      <c r="P126" s="7">
        <f t="shared" si="50"/>
        <v>0</v>
      </c>
      <c r="Q126" s="7"/>
      <c r="R126" s="7">
        <f t="shared" si="76"/>
        <v>0</v>
      </c>
      <c r="S126" s="7">
        <v>0</v>
      </c>
      <c r="T126" s="7">
        <f>CEO!T126+CS!T126+CFO!T126+LLA!T126+'C&amp;E'!T126+CES!T126+LLT!T126+GB!T126</f>
        <v>0</v>
      </c>
      <c r="U126" s="7">
        <f t="shared" si="52"/>
        <v>0</v>
      </c>
      <c r="V126" s="7">
        <f t="shared" si="51"/>
        <v>0</v>
      </c>
      <c r="W126" s="7"/>
      <c r="X126" s="7">
        <f>CEO!Q126+CS!Q126+CFO!Q126+LLA!Q126+'C&amp;E'!Q126+CES!Q126+LLT!Q126+GB!Q126</f>
        <v>0</v>
      </c>
      <c r="Y126" s="7">
        <f t="shared" si="56"/>
        <v>0</v>
      </c>
      <c r="Z126" s="7"/>
      <c r="AA126" s="7"/>
      <c r="AC126" s="295">
        <f t="shared" si="66"/>
        <v>0</v>
      </c>
    </row>
    <row r="127" spans="1:29" x14ac:dyDescent="0.3">
      <c r="A127" s="4">
        <f>SUM(A114:A125)</f>
        <v>184857.52800000002</v>
      </c>
      <c r="B127" s="4">
        <f>SUM(B114:B125)</f>
        <v>184857.52800000002</v>
      </c>
      <c r="C127" s="4">
        <f t="shared" ref="C127:L127" si="91">SUM(C114:C125)</f>
        <v>184857.52800000002</v>
      </c>
      <c r="D127" s="4">
        <f t="shared" si="91"/>
        <v>184857.52800000002</v>
      </c>
      <c r="E127" s="4">
        <f t="shared" si="91"/>
        <v>184857.52800000002</v>
      </c>
      <c r="F127" s="4">
        <f t="shared" si="91"/>
        <v>184857.52800000002</v>
      </c>
      <c r="G127" s="4">
        <f t="shared" si="91"/>
        <v>184857.52800000002</v>
      </c>
      <c r="H127" s="4">
        <f t="shared" si="91"/>
        <v>184857.52800000002</v>
      </c>
      <c r="I127" s="4">
        <f t="shared" si="91"/>
        <v>184857.52800000002</v>
      </c>
      <c r="J127" s="4">
        <f t="shared" si="91"/>
        <v>184857.52800000002</v>
      </c>
      <c r="K127" s="4">
        <f t="shared" si="91"/>
        <v>243090.52800000002</v>
      </c>
      <c r="L127" s="4">
        <f t="shared" si="91"/>
        <v>235306.24800000002</v>
      </c>
      <c r="M127" s="13" t="s">
        <v>185</v>
      </c>
      <c r="N127" s="4">
        <f t="shared" ref="N127:O127" si="92">SUM(N114:N125)</f>
        <v>0</v>
      </c>
      <c r="O127" s="4">
        <f t="shared" si="92"/>
        <v>2326972.0560000008</v>
      </c>
      <c r="P127" s="4">
        <f>SUM(P114:P125)</f>
        <v>2326972.0560000008</v>
      </c>
      <c r="Q127" s="4">
        <f>SUM(Q114:Q125)</f>
        <v>2326972.0560000008</v>
      </c>
      <c r="R127" s="4">
        <f>SUM(R114:R125)</f>
        <v>0</v>
      </c>
      <c r="S127" s="4">
        <f>SUM(S114:S125)</f>
        <v>107736.23499999999</v>
      </c>
      <c r="T127" s="4">
        <f>CEO!T127+CS!T127+CFO!T127+LLA!T127+'C&amp;E'!T127+CES!T127+LLT!T127+GB!T127</f>
        <v>941108</v>
      </c>
      <c r="U127" s="4">
        <f t="shared" si="52"/>
        <v>3375816.2910000007</v>
      </c>
      <c r="V127" s="4">
        <f t="shared" si="51"/>
        <v>1048844.2349999999</v>
      </c>
      <c r="W127" s="4"/>
      <c r="X127" s="4">
        <f>CEO!Q127+CS!Q127+CFO!Q127+LLA!Q127+'C&amp;E'!Q127+CES!Q127+LLT!Q127+GB!Q127</f>
        <v>2326972.0560000008</v>
      </c>
      <c r="Y127" s="4">
        <f t="shared" si="56"/>
        <v>0</v>
      </c>
      <c r="Z127" s="4">
        <f>SUM(Z114:Z125)</f>
        <v>2326972.2446493795</v>
      </c>
      <c r="AA127" s="4">
        <f>SUM(AA114:AA125)</f>
        <v>2515898.9891478997</v>
      </c>
      <c r="AC127" s="295">
        <f t="shared" si="66"/>
        <v>-0.18864937871694565</v>
      </c>
    </row>
    <row r="128" spans="1:29" ht="5.4" customHeight="1" x14ac:dyDescent="0.3">
      <c r="A128" s="82"/>
      <c r="B128" s="81"/>
      <c r="C128" s="81"/>
      <c r="D128" s="82"/>
      <c r="E128" s="86"/>
      <c r="F128" s="86"/>
      <c r="G128" s="86"/>
      <c r="H128" s="86"/>
      <c r="I128" s="86"/>
      <c r="J128" s="86"/>
      <c r="K128" s="86"/>
      <c r="L128" s="86"/>
      <c r="M128" s="122"/>
      <c r="N128" s="86">
        <f t="shared" si="53"/>
        <v>0</v>
      </c>
      <c r="O128" s="86">
        <f t="shared" si="54"/>
        <v>0</v>
      </c>
      <c r="P128" s="86">
        <f t="shared" si="50"/>
        <v>0</v>
      </c>
      <c r="Q128" s="86"/>
      <c r="R128" s="86">
        <f t="shared" si="76"/>
        <v>0</v>
      </c>
      <c r="S128" s="86">
        <v>0</v>
      </c>
      <c r="T128" s="81">
        <f>CEO!T128+CS!T128+CFO!T128+LLA!T128+'C&amp;E'!T128+CES!T128+LLT!T128+GB!T128</f>
        <v>0</v>
      </c>
      <c r="U128" s="81">
        <f t="shared" si="52"/>
        <v>0</v>
      </c>
      <c r="V128" s="81">
        <f t="shared" si="51"/>
        <v>0</v>
      </c>
      <c r="W128" s="81"/>
      <c r="X128" s="86">
        <f>CEO!Q128+CS!Q128+CFO!Q128+LLA!Q128+'C&amp;E'!Q128+CES!Q128+LLT!Q128+GB!Q128</f>
        <v>0</v>
      </c>
      <c r="Y128" s="86">
        <f t="shared" si="56"/>
        <v>0</v>
      </c>
      <c r="Z128" s="86"/>
      <c r="AA128" s="86"/>
      <c r="AC128" s="295">
        <f t="shared" si="66"/>
        <v>0</v>
      </c>
    </row>
    <row r="129" spans="1:29" x14ac:dyDescent="0.3">
      <c r="A129" s="4">
        <f>A112+A127</f>
        <v>4249386.2842691662</v>
      </c>
      <c r="B129" s="4">
        <f>B112+B127</f>
        <v>4665420.8943893788</v>
      </c>
      <c r="C129" s="4">
        <f t="shared" ref="C129:L129" si="93">C112+C127</f>
        <v>4983073.5618336061</v>
      </c>
      <c r="D129" s="4">
        <f t="shared" si="93"/>
        <v>5181042.4647165798</v>
      </c>
      <c r="E129" s="4">
        <f t="shared" si="93"/>
        <v>4709252.2475936068</v>
      </c>
      <c r="F129" s="4">
        <f t="shared" si="93"/>
        <v>4792730.5375136063</v>
      </c>
      <c r="G129" s="4">
        <f>G112+G127</f>
        <v>4564418.6946365805</v>
      </c>
      <c r="H129" s="4">
        <f t="shared" si="93"/>
        <v>5986081.7674790146</v>
      </c>
      <c r="I129" s="4">
        <f t="shared" si="93"/>
        <v>4489942.3442381388</v>
      </c>
      <c r="J129" s="4">
        <f t="shared" si="93"/>
        <v>4516859.1551165795</v>
      </c>
      <c r="K129" s="4">
        <f t="shared" si="93"/>
        <v>4535692.4296155293</v>
      </c>
      <c r="L129" s="4">
        <f t="shared" si="93"/>
        <v>4661484.7546317466</v>
      </c>
      <c r="M129" s="13" t="s">
        <v>186</v>
      </c>
      <c r="N129" s="4">
        <f t="shared" ref="N129:O129" si="94">N112+N127</f>
        <v>0</v>
      </c>
      <c r="O129" s="4">
        <f t="shared" si="94"/>
        <v>57335385.136033528</v>
      </c>
      <c r="P129" s="4">
        <f>P112+P127</f>
        <v>57335385.136033528</v>
      </c>
      <c r="Q129" s="4">
        <f>Q112+Q127</f>
        <v>57335385.390751533</v>
      </c>
      <c r="R129" s="4">
        <f>R112+R127</f>
        <v>0.25471799998194911</v>
      </c>
      <c r="S129" s="4">
        <f>S112+S127</f>
        <v>6868992.6052114116</v>
      </c>
      <c r="T129" s="4">
        <f>CEO!T129+CS!T129+CFO!T129+LLA!T129+'C&amp;E'!T129+CES!T129+LLT!T129+GB!T129</f>
        <v>-0.39194171888175333</v>
      </c>
      <c r="U129" s="4">
        <f>S129+Q129+T129</f>
        <v>64204377.604021229</v>
      </c>
      <c r="V129" s="4">
        <f t="shared" si="51"/>
        <v>6868992.4679877013</v>
      </c>
      <c r="W129" s="4"/>
      <c r="X129" s="4">
        <f>CEO!Q129+CS!Q129+CFO!Q129+LLA!Q129+'C&amp;E'!Q129+CES!Q129+LLT!Q129+GB!Q129</f>
        <v>57335385.390751533</v>
      </c>
      <c r="Y129" s="4">
        <f t="shared" si="56"/>
        <v>0</v>
      </c>
      <c r="Z129" s="4">
        <f>Z112+Z127</f>
        <v>57292984.739859998</v>
      </c>
      <c r="AA129" s="4">
        <f>AA112+AA127</f>
        <v>60180008.071633413</v>
      </c>
      <c r="AC129" s="295">
        <f t="shared" si="66"/>
        <v>42400.650891534984</v>
      </c>
    </row>
    <row r="130" spans="1:29" ht="5.4" customHeight="1" x14ac:dyDescent="0.3">
      <c r="A130" s="381"/>
      <c r="B130" s="381"/>
      <c r="C130" s="381"/>
      <c r="D130" s="381"/>
      <c r="E130" s="381"/>
      <c r="F130" s="381"/>
      <c r="G130" s="381"/>
      <c r="H130" s="381"/>
      <c r="I130" s="381"/>
      <c r="J130" s="381"/>
      <c r="K130" s="381"/>
      <c r="L130" s="381"/>
      <c r="M130" s="122"/>
      <c r="N130" s="81">
        <f t="shared" ref="N130" si="95">SUM(A130:J130)</f>
        <v>0</v>
      </c>
      <c r="O130" s="81">
        <f t="shared" ref="O130" si="96">SUM(K130:L130)</f>
        <v>0</v>
      </c>
      <c r="P130" s="81">
        <f t="shared" si="50"/>
        <v>0</v>
      </c>
      <c r="Q130" s="81"/>
      <c r="R130" s="81">
        <f t="shared" si="76"/>
        <v>0</v>
      </c>
      <c r="S130" s="81">
        <f>CEO!S130+CS!S130+CFO!S130+LLA!S130+'C&amp;E'!S130+CES!S130+LLT!S130+GB!S130</f>
        <v>0</v>
      </c>
      <c r="T130" s="81">
        <f>CEO!T130+CS!T130+CFO!T130+LLA!T130+'C&amp;E'!T130+CES!T130+LLT!T130+GB!T130</f>
        <v>0</v>
      </c>
      <c r="U130" s="81">
        <f t="shared" ref="U130" si="97">Q130+T130</f>
        <v>0</v>
      </c>
      <c r="V130" s="81">
        <f t="shared" si="51"/>
        <v>0</v>
      </c>
      <c r="W130" s="81"/>
      <c r="X130" s="81">
        <f>CEO!Q130+CS!Q130+CFO!Q130+LLA!Q130+'C&amp;E'!Q130+CES!Q130+LLT!Q130+GB!Q130</f>
        <v>0</v>
      </c>
      <c r="Y130" s="81">
        <f t="shared" si="56"/>
        <v>0</v>
      </c>
      <c r="Z130" s="81"/>
      <c r="AA130" s="81"/>
      <c r="AC130" s="295">
        <f t="shared" si="66"/>
        <v>0</v>
      </c>
    </row>
    <row r="131" spans="1:29" x14ac:dyDescent="0.3">
      <c r="A131" s="8">
        <f>0*(110/100)</f>
        <v>0</v>
      </c>
      <c r="B131" s="8">
        <f>346500*1.1</f>
        <v>381150.00000000006</v>
      </c>
      <c r="C131" s="8">
        <f>22000*1.1</f>
        <v>24200.000000000004</v>
      </c>
      <c r="D131" s="8">
        <f>0*(110/100)</f>
        <v>0</v>
      </c>
      <c r="E131" s="8">
        <f>114400*1.1</f>
        <v>125840.00000000001</v>
      </c>
      <c r="F131" s="8">
        <v>0</v>
      </c>
      <c r="G131" s="8">
        <f>182050*1.1</f>
        <v>200255.00000000003</v>
      </c>
      <c r="H131" s="8">
        <f>113300*1.1</f>
        <v>124630.00000000001</v>
      </c>
      <c r="I131" s="8">
        <f>100100*1.1</f>
        <v>110110.00000000001</v>
      </c>
      <c r="J131" s="8">
        <f>46200*1.1</f>
        <v>50820.000000000007</v>
      </c>
      <c r="K131" s="8">
        <f>100100*1.1</f>
        <v>110110.00000000001</v>
      </c>
      <c r="L131" s="8">
        <f>100100*1.1</f>
        <v>110110.00000000001</v>
      </c>
      <c r="M131" s="388" t="s">
        <v>187</v>
      </c>
      <c r="N131" s="7">
        <f t="shared" ref="N131:N160" si="98">SUM(0)</f>
        <v>0</v>
      </c>
      <c r="O131" s="7">
        <f t="shared" ref="O131:O160" si="99">SUM(A131:L131)</f>
        <v>1237225.0000000002</v>
      </c>
      <c r="P131" s="8">
        <f t="shared" si="50"/>
        <v>1237225.0000000002</v>
      </c>
      <c r="Q131" s="8">
        <v>1237225.0000000002</v>
      </c>
      <c r="R131" s="8">
        <f t="shared" ref="R131:R160" si="100">Q131-P131</f>
        <v>0</v>
      </c>
      <c r="S131" s="8"/>
      <c r="T131" s="8">
        <f>CEO!T131+CS!T131+CFO!T131+LLA!T131+'C&amp;E'!T131+CES!T131+LLT!T131+GB!T131</f>
        <v>91071</v>
      </c>
      <c r="U131" s="7">
        <f t="shared" ref="U131:U171" si="101">S131+Q131+T131</f>
        <v>1328296.0000000002</v>
      </c>
      <c r="V131" s="8">
        <f t="shared" si="51"/>
        <v>91071</v>
      </c>
      <c r="W131" s="8"/>
      <c r="X131" s="8"/>
      <c r="Y131" s="8"/>
      <c r="Z131" s="8">
        <v>1237225</v>
      </c>
      <c r="AA131" s="8">
        <f t="shared" ref="AA131:AA160" si="102">Z131*1.1</f>
        <v>1360947.5</v>
      </c>
      <c r="AC131" s="295">
        <f>Q131-Z131</f>
        <v>0</v>
      </c>
    </row>
    <row r="132" spans="1:29" x14ac:dyDescent="0.3">
      <c r="A132" s="7">
        <v>150354.6</v>
      </c>
      <c r="B132" s="7">
        <v>15826.800000000003</v>
      </c>
      <c r="C132" s="7">
        <v>0</v>
      </c>
      <c r="D132" s="7">
        <v>0</v>
      </c>
      <c r="E132" s="7">
        <v>18464.600000000002</v>
      </c>
      <c r="F132" s="7">
        <v>9075</v>
      </c>
      <c r="G132" s="7">
        <v>7913.4000000000015</v>
      </c>
      <c r="H132" s="7">
        <v>7913.4000000000015</v>
      </c>
      <c r="I132" s="7">
        <v>0</v>
      </c>
      <c r="J132" s="7">
        <v>452494.62500000012</v>
      </c>
      <c r="K132" s="7">
        <v>605000</v>
      </c>
      <c r="L132" s="7">
        <v>605000</v>
      </c>
      <c r="M132" s="13" t="s">
        <v>188</v>
      </c>
      <c r="N132" s="7">
        <f t="shared" si="98"/>
        <v>0</v>
      </c>
      <c r="O132" s="7">
        <f t="shared" si="99"/>
        <v>1872042.4250000003</v>
      </c>
      <c r="P132" s="7">
        <f t="shared" si="50"/>
        <v>1872042.4250000003</v>
      </c>
      <c r="Q132" s="7">
        <v>1872042.425</v>
      </c>
      <c r="R132" s="7">
        <f t="shared" si="100"/>
        <v>0</v>
      </c>
      <c r="S132" s="7"/>
      <c r="T132" s="7">
        <f>CEO!T132+CS!T132+CFO!T132+LLA!T132+'C&amp;E'!T132+CES!T132+LLT!T132+GB!T132</f>
        <v>0</v>
      </c>
      <c r="U132" s="7">
        <f t="shared" si="101"/>
        <v>1872042.425</v>
      </c>
      <c r="V132" s="7">
        <f t="shared" si="51"/>
        <v>0</v>
      </c>
      <c r="W132" s="7"/>
      <c r="X132" s="7"/>
      <c r="Y132" s="7"/>
      <c r="Z132" s="7">
        <v>1872042.425</v>
      </c>
      <c r="AA132" s="7">
        <f t="shared" si="102"/>
        <v>2059246.6675000002</v>
      </c>
      <c r="AC132" s="295">
        <f t="shared" si="66"/>
        <v>0</v>
      </c>
    </row>
    <row r="133" spans="1:29" x14ac:dyDescent="0.3">
      <c r="A133" s="7">
        <v>3303.3000000000006</v>
      </c>
      <c r="B133" s="7">
        <v>0</v>
      </c>
      <c r="C133" s="7">
        <v>0</v>
      </c>
      <c r="D133" s="7">
        <v>0</v>
      </c>
      <c r="E133" s="7">
        <v>2637.8</v>
      </c>
      <c r="F133" s="7">
        <v>0</v>
      </c>
      <c r="G133" s="7">
        <v>4289.4500000000007</v>
      </c>
      <c r="H133" s="7">
        <v>0</v>
      </c>
      <c r="I133" s="7">
        <v>2637.8</v>
      </c>
      <c r="J133" s="7">
        <v>0</v>
      </c>
      <c r="K133" s="7">
        <v>2637.8</v>
      </c>
      <c r="L133" s="7">
        <v>2637.8</v>
      </c>
      <c r="M133" s="13" t="s">
        <v>189</v>
      </c>
      <c r="N133" s="7">
        <f t="shared" si="98"/>
        <v>0</v>
      </c>
      <c r="O133" s="7">
        <f t="shared" si="99"/>
        <v>18143.95</v>
      </c>
      <c r="P133" s="7">
        <f t="shared" si="50"/>
        <v>18143.95</v>
      </c>
      <c r="Q133" s="7">
        <v>18143.95</v>
      </c>
      <c r="R133" s="7">
        <f t="shared" si="100"/>
        <v>0</v>
      </c>
      <c r="S133" s="7"/>
      <c r="T133" s="7">
        <f>CEO!T133+CS!T133+CFO!T133+LLA!T133+'C&amp;E'!T133+CES!T133+LLT!T133+GB!T133</f>
        <v>0</v>
      </c>
      <c r="U133" s="7">
        <f t="shared" si="101"/>
        <v>18143.95</v>
      </c>
      <c r="V133" s="7">
        <f t="shared" si="51"/>
        <v>0</v>
      </c>
      <c r="W133" s="7"/>
      <c r="X133" s="7"/>
      <c r="Y133" s="7"/>
      <c r="Z133" s="7">
        <v>18143.95</v>
      </c>
      <c r="AA133" s="7">
        <f t="shared" si="102"/>
        <v>19958.345000000001</v>
      </c>
      <c r="AC133" s="295">
        <f t="shared" si="66"/>
        <v>0</v>
      </c>
    </row>
    <row r="134" spans="1:29" x14ac:dyDescent="0.3">
      <c r="A134" s="7">
        <v>116462.50000000003</v>
      </c>
      <c r="B134" s="7">
        <v>184942.45</v>
      </c>
      <c r="C134" s="7">
        <v>42392.350000000006</v>
      </c>
      <c r="D134" s="7">
        <v>51709.350000000013</v>
      </c>
      <c r="E134" s="7">
        <v>148606.15000000002</v>
      </c>
      <c r="F134" s="7">
        <v>230595.75000000006</v>
      </c>
      <c r="G134" s="7">
        <v>140686.70000000004</v>
      </c>
      <c r="H134" s="7">
        <v>241776.15000000005</v>
      </c>
      <c r="I134" s="7">
        <v>140468.90000000002</v>
      </c>
      <c r="J134" s="7">
        <v>115161.75000000003</v>
      </c>
      <c r="K134" s="7">
        <v>140468.90000000002</v>
      </c>
      <c r="L134" s="7">
        <v>140468.90000000002</v>
      </c>
      <c r="M134" s="388" t="s">
        <v>190</v>
      </c>
      <c r="N134" s="7">
        <f t="shared" si="98"/>
        <v>0</v>
      </c>
      <c r="O134" s="7">
        <f t="shared" si="99"/>
        <v>1693739.85</v>
      </c>
      <c r="P134" s="7">
        <f t="shared" si="50"/>
        <v>1693739.85</v>
      </c>
      <c r="Q134" s="7">
        <v>1693739.85</v>
      </c>
      <c r="R134" s="7">
        <f t="shared" si="100"/>
        <v>0</v>
      </c>
      <c r="S134" s="7"/>
      <c r="T134" s="7">
        <f>CEO!T134+CS!T134+CFO!T134+LLA!T134+'C&amp;E'!T134+CES!T134+LLT!T134+GB!T134</f>
        <v>0</v>
      </c>
      <c r="U134" s="7">
        <f t="shared" si="101"/>
        <v>1693739.85</v>
      </c>
      <c r="V134" s="7">
        <f t="shared" si="51"/>
        <v>0</v>
      </c>
      <c r="W134" s="7"/>
      <c r="X134" s="7"/>
      <c r="Y134" s="7"/>
      <c r="Z134" s="7">
        <v>1693739.85</v>
      </c>
      <c r="AA134" s="7">
        <f t="shared" si="102"/>
        <v>1863113.8350000002</v>
      </c>
      <c r="AC134" s="295">
        <f t="shared" si="66"/>
        <v>0</v>
      </c>
    </row>
    <row r="135" spans="1:29" x14ac:dyDescent="0.3">
      <c r="A135" s="7">
        <v>0</v>
      </c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13" t="s">
        <v>191</v>
      </c>
      <c r="N135" s="7">
        <f t="shared" si="98"/>
        <v>0</v>
      </c>
      <c r="O135" s="7">
        <f t="shared" si="99"/>
        <v>0</v>
      </c>
      <c r="P135" s="7">
        <f t="shared" si="50"/>
        <v>0</v>
      </c>
      <c r="Q135" s="7">
        <v>0</v>
      </c>
      <c r="R135" s="7">
        <f t="shared" si="100"/>
        <v>0</v>
      </c>
      <c r="S135" s="7"/>
      <c r="T135" s="7">
        <f>CEO!T135+CS!T135+CFO!T135+LLA!T135+'C&amp;E'!T135+CES!T135+LLT!T135+GB!T135</f>
        <v>0</v>
      </c>
      <c r="U135" s="7">
        <f t="shared" si="101"/>
        <v>0</v>
      </c>
      <c r="V135" s="7">
        <f t="shared" si="51"/>
        <v>0</v>
      </c>
      <c r="W135" s="7"/>
      <c r="X135" s="7"/>
      <c r="Y135" s="7"/>
      <c r="Z135" s="7">
        <v>0</v>
      </c>
      <c r="AA135" s="7">
        <f t="shared" si="102"/>
        <v>0</v>
      </c>
      <c r="AC135" s="295">
        <f t="shared" si="66"/>
        <v>0</v>
      </c>
    </row>
    <row r="136" spans="1:29" x14ac:dyDescent="0.3">
      <c r="A136" s="7">
        <v>1609.3000000000004</v>
      </c>
      <c r="B136" s="7">
        <v>5069.9000000000005</v>
      </c>
      <c r="C136" s="7">
        <v>4314.6180000000013</v>
      </c>
      <c r="D136" s="7">
        <v>6122.6</v>
      </c>
      <c r="E136" s="7">
        <v>5856.4000000000005</v>
      </c>
      <c r="F136" s="7">
        <v>3859.900000000001</v>
      </c>
      <c r="G136" s="7">
        <v>4658.5</v>
      </c>
      <c r="H136" s="7">
        <v>3993.0000000000009</v>
      </c>
      <c r="I136" s="7">
        <v>2347.4</v>
      </c>
      <c r="J136" s="7">
        <v>1379.4</v>
      </c>
      <c r="K136" s="7">
        <v>2347.4</v>
      </c>
      <c r="L136" s="7">
        <v>2347.4</v>
      </c>
      <c r="M136" s="13" t="s">
        <v>192</v>
      </c>
      <c r="N136" s="7">
        <f t="shared" si="98"/>
        <v>0</v>
      </c>
      <c r="O136" s="7">
        <f t="shared" si="99"/>
        <v>43905.818000000014</v>
      </c>
      <c r="P136" s="7">
        <f t="shared" ref="P136:P171" si="103">SUM(N136:O136)</f>
        <v>43905.818000000014</v>
      </c>
      <c r="Q136" s="7">
        <v>43905.818000000007</v>
      </c>
      <c r="R136" s="7">
        <f t="shared" si="100"/>
        <v>0</v>
      </c>
      <c r="S136" s="7"/>
      <c r="T136" s="7">
        <f>CEO!T136+CS!T136+CFO!T136+LLA!T136+'C&amp;E'!T136+CES!T136+LLT!T136+GB!T136</f>
        <v>0</v>
      </c>
      <c r="U136" s="7">
        <f t="shared" si="101"/>
        <v>43905.818000000007</v>
      </c>
      <c r="V136" s="7">
        <f t="shared" ref="V136:V172" si="104">U136-P136</f>
        <v>0</v>
      </c>
      <c r="W136" s="7"/>
      <c r="X136" s="7"/>
      <c r="Y136" s="7"/>
      <c r="Z136" s="7">
        <v>43905.818000000007</v>
      </c>
      <c r="AA136" s="7">
        <f t="shared" si="102"/>
        <v>48296.399800000014</v>
      </c>
      <c r="AC136" s="295">
        <f t="shared" si="66"/>
        <v>0</v>
      </c>
    </row>
    <row r="137" spans="1:29" x14ac:dyDescent="0.3">
      <c r="A137" s="7">
        <v>82522</v>
      </c>
      <c r="B137" s="7">
        <v>133021.35000000003</v>
      </c>
      <c r="C137" s="7">
        <v>122470.15000000002</v>
      </c>
      <c r="D137" s="7">
        <v>133021.35000000003</v>
      </c>
      <c r="E137" s="7">
        <v>162121.85</v>
      </c>
      <c r="F137" s="7">
        <v>131369.70000000004</v>
      </c>
      <c r="G137" s="7">
        <v>90792.35</v>
      </c>
      <c r="H137" s="7">
        <v>103569.95000000003</v>
      </c>
      <c r="I137" s="7">
        <v>37419.25</v>
      </c>
      <c r="J137" s="7">
        <v>90816.55</v>
      </c>
      <c r="K137" s="7">
        <v>37419.25</v>
      </c>
      <c r="L137" s="7">
        <v>37419.25</v>
      </c>
      <c r="M137" s="388" t="s">
        <v>193</v>
      </c>
      <c r="N137" s="7">
        <f t="shared" si="98"/>
        <v>0</v>
      </c>
      <c r="O137" s="7">
        <f t="shared" si="99"/>
        <v>1161963.0000000002</v>
      </c>
      <c r="P137" s="7">
        <f t="shared" si="103"/>
        <v>1161963.0000000002</v>
      </c>
      <c r="Q137" s="7">
        <v>1161963</v>
      </c>
      <c r="R137" s="7">
        <f t="shared" si="100"/>
        <v>0</v>
      </c>
      <c r="S137" s="7"/>
      <c r="T137" s="7">
        <f>CEO!T137+CS!T137+CFO!T137+LLA!T137+'C&amp;E'!T137+CES!T137+LLT!T137+GB!T137</f>
        <v>0</v>
      </c>
      <c r="U137" s="7">
        <f t="shared" si="101"/>
        <v>1161963</v>
      </c>
      <c r="V137" s="7">
        <f t="shared" si="104"/>
        <v>0</v>
      </c>
      <c r="W137" s="7"/>
      <c r="X137" s="7"/>
      <c r="Y137" s="7"/>
      <c r="Z137" s="7">
        <v>1161963</v>
      </c>
      <c r="AA137" s="7">
        <f t="shared" si="102"/>
        <v>1278159.3</v>
      </c>
      <c r="AC137" s="295">
        <f t="shared" si="66"/>
        <v>0</v>
      </c>
    </row>
    <row r="138" spans="1:29" x14ac:dyDescent="0.3">
      <c r="A138" s="7">
        <v>2577.3000000000002</v>
      </c>
      <c r="B138" s="7">
        <v>0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13" t="s">
        <v>194</v>
      </c>
      <c r="N138" s="7">
        <f t="shared" si="98"/>
        <v>0</v>
      </c>
      <c r="O138" s="7">
        <f t="shared" si="99"/>
        <v>2577.3000000000002</v>
      </c>
      <c r="P138" s="7">
        <f t="shared" si="103"/>
        <v>2577.3000000000002</v>
      </c>
      <c r="Q138" s="7">
        <v>2577.3000000000002</v>
      </c>
      <c r="R138" s="7">
        <f t="shared" si="100"/>
        <v>0</v>
      </c>
      <c r="S138" s="7"/>
      <c r="T138" s="7">
        <f>CEO!T138+CS!T138+CFO!T138+LLA!T138+'C&amp;E'!T138+CES!T138+LLT!T138+GB!T138</f>
        <v>0</v>
      </c>
      <c r="U138" s="7">
        <f t="shared" si="101"/>
        <v>2577.3000000000002</v>
      </c>
      <c r="V138" s="7">
        <f t="shared" si="104"/>
        <v>0</v>
      </c>
      <c r="W138" s="7"/>
      <c r="X138" s="7"/>
      <c r="Y138" s="7"/>
      <c r="Z138" s="7">
        <v>2577.3000000000002</v>
      </c>
      <c r="AA138" s="7">
        <f t="shared" si="102"/>
        <v>2835.0300000000007</v>
      </c>
      <c r="AC138" s="295">
        <f t="shared" si="66"/>
        <v>0</v>
      </c>
    </row>
    <row r="139" spans="1:29" x14ac:dyDescent="0.3">
      <c r="A139" s="7">
        <v>1651.6500000000003</v>
      </c>
      <c r="B139" s="7">
        <v>4295.5000000000009</v>
      </c>
      <c r="C139" s="7">
        <v>5941.1</v>
      </c>
      <c r="D139" s="7">
        <v>72.600000000000009</v>
      </c>
      <c r="E139" s="7">
        <v>2577.3000000000002</v>
      </c>
      <c r="F139" s="7">
        <v>1397.5500000000002</v>
      </c>
      <c r="G139" s="7">
        <v>859.10000000000025</v>
      </c>
      <c r="H139" s="7">
        <v>3436.400000000001</v>
      </c>
      <c r="I139" s="7">
        <v>2674.1000000000004</v>
      </c>
      <c r="J139" s="7">
        <v>4495.1500000000005</v>
      </c>
      <c r="K139" s="7">
        <v>2674.1000000000004</v>
      </c>
      <c r="L139" s="7">
        <v>2674.1000000000004</v>
      </c>
      <c r="M139" s="13" t="s">
        <v>195</v>
      </c>
      <c r="N139" s="7">
        <f t="shared" si="98"/>
        <v>0</v>
      </c>
      <c r="O139" s="7">
        <f t="shared" si="99"/>
        <v>32748.65</v>
      </c>
      <c r="P139" s="7">
        <f t="shared" si="103"/>
        <v>32748.65</v>
      </c>
      <c r="Q139" s="7">
        <v>32748.65</v>
      </c>
      <c r="R139" s="7">
        <f t="shared" si="100"/>
        <v>0</v>
      </c>
      <c r="S139" s="7"/>
      <c r="T139" s="7">
        <f>CEO!T139+CS!T139+CFO!T139+LLA!T139+'C&amp;E'!T139+CES!T139+LLT!T139+GB!T139</f>
        <v>0</v>
      </c>
      <c r="U139" s="7">
        <f t="shared" si="101"/>
        <v>32748.65</v>
      </c>
      <c r="V139" s="7">
        <f t="shared" si="104"/>
        <v>0</v>
      </c>
      <c r="W139" s="7"/>
      <c r="X139" s="7"/>
      <c r="Y139" s="7"/>
      <c r="Z139" s="7">
        <v>32748.65</v>
      </c>
      <c r="AA139" s="7">
        <f t="shared" si="102"/>
        <v>36023.515000000007</v>
      </c>
      <c r="AC139" s="295">
        <f t="shared" si="66"/>
        <v>0</v>
      </c>
    </row>
    <row r="140" spans="1:29" x14ac:dyDescent="0.3">
      <c r="A140" s="7">
        <v>12620.300000000003</v>
      </c>
      <c r="B140" s="7">
        <v>4954.9500000000007</v>
      </c>
      <c r="C140" s="7">
        <v>1651.6500000000003</v>
      </c>
      <c r="D140" s="7">
        <v>0</v>
      </c>
      <c r="E140" s="7">
        <v>8258.2500000000018</v>
      </c>
      <c r="F140" s="7">
        <v>1651.6500000000003</v>
      </c>
      <c r="G140" s="7">
        <v>9468.25</v>
      </c>
      <c r="H140" s="7">
        <v>1210</v>
      </c>
      <c r="I140" s="7">
        <v>6691.3000000000011</v>
      </c>
      <c r="J140" s="7">
        <v>3303.3000000000006</v>
      </c>
      <c r="K140" s="7">
        <v>6691.3000000000011</v>
      </c>
      <c r="L140" s="7">
        <v>6691.3000000000011</v>
      </c>
      <c r="M140" s="388" t="s">
        <v>196</v>
      </c>
      <c r="N140" s="7">
        <f t="shared" si="98"/>
        <v>0</v>
      </c>
      <c r="O140" s="7">
        <f t="shared" si="99"/>
        <v>63192.250000000022</v>
      </c>
      <c r="P140" s="7">
        <f t="shared" si="103"/>
        <v>63192.250000000022</v>
      </c>
      <c r="Q140" s="7">
        <v>63192.250000000007</v>
      </c>
      <c r="R140" s="7">
        <f t="shared" si="100"/>
        <v>0</v>
      </c>
      <c r="S140" s="7"/>
      <c r="T140" s="7">
        <f>CEO!T140+CS!T140+CFO!T140+LLA!T140+'C&amp;E'!T140+CES!T140+LLT!T140+GB!T140</f>
        <v>0</v>
      </c>
      <c r="U140" s="7">
        <f t="shared" si="101"/>
        <v>63192.250000000007</v>
      </c>
      <c r="V140" s="7">
        <f t="shared" si="104"/>
        <v>0</v>
      </c>
      <c r="W140" s="7"/>
      <c r="X140" s="7"/>
      <c r="Y140" s="7"/>
      <c r="Z140" s="7">
        <v>63192.250000000007</v>
      </c>
      <c r="AA140" s="7">
        <f t="shared" si="102"/>
        <v>69511.47500000002</v>
      </c>
      <c r="AC140" s="295">
        <f t="shared" si="66"/>
        <v>0</v>
      </c>
    </row>
    <row r="141" spans="1:29" x14ac:dyDescent="0.3">
      <c r="A141" s="7">
        <v>17254.600000000002</v>
      </c>
      <c r="B141" s="7">
        <v>20497.400000000001</v>
      </c>
      <c r="C141" s="7">
        <v>21894.95</v>
      </c>
      <c r="D141" s="7">
        <v>16304.750000000004</v>
      </c>
      <c r="E141" s="7">
        <v>24224.2</v>
      </c>
      <c r="F141" s="7">
        <v>18972.800000000003</v>
      </c>
      <c r="G141" s="7">
        <v>16304.750000000004</v>
      </c>
      <c r="H141" s="7">
        <v>20963.25</v>
      </c>
      <c r="I141" s="7">
        <v>17617.600000000002</v>
      </c>
      <c r="J141" s="7">
        <v>10708.5</v>
      </c>
      <c r="K141" s="7">
        <v>17617.600000000002</v>
      </c>
      <c r="L141" s="7">
        <v>17617.600000000002</v>
      </c>
      <c r="M141" s="13" t="s">
        <v>197</v>
      </c>
      <c r="N141" s="7">
        <f t="shared" si="98"/>
        <v>0</v>
      </c>
      <c r="O141" s="7">
        <f t="shared" si="99"/>
        <v>219978.00000000003</v>
      </c>
      <c r="P141" s="7">
        <f t="shared" si="103"/>
        <v>219978.00000000003</v>
      </c>
      <c r="Q141" s="7">
        <v>219978.00000000003</v>
      </c>
      <c r="R141" s="7">
        <f t="shared" si="100"/>
        <v>0</v>
      </c>
      <c r="S141" s="7"/>
      <c r="T141" s="7">
        <f>CEO!T141+CS!T141+CFO!T141+LLA!T141+'C&amp;E'!T141+CES!T141+LLT!T141+GB!T141</f>
        <v>0</v>
      </c>
      <c r="U141" s="7">
        <f t="shared" si="101"/>
        <v>219978.00000000003</v>
      </c>
      <c r="V141" s="7">
        <f t="shared" si="104"/>
        <v>0</v>
      </c>
      <c r="W141" s="7"/>
      <c r="X141" s="7"/>
      <c r="Y141" s="7"/>
      <c r="Z141" s="7">
        <v>219978.00000000003</v>
      </c>
      <c r="AA141" s="7">
        <f t="shared" si="102"/>
        <v>241975.80000000005</v>
      </c>
      <c r="AC141" s="295">
        <f t="shared" si="66"/>
        <v>0</v>
      </c>
    </row>
    <row r="142" spans="1:29" x14ac:dyDescent="0.3">
      <c r="A142" s="7">
        <v>2238.5000000000005</v>
      </c>
      <c r="B142" s="7">
        <v>16322.900000000003</v>
      </c>
      <c r="C142" s="7">
        <v>19759.300000000003</v>
      </c>
      <c r="D142" s="7">
        <v>20618.400000000001</v>
      </c>
      <c r="E142" s="7">
        <v>35223.100000000006</v>
      </c>
      <c r="F142" s="7">
        <v>33504.900000000009</v>
      </c>
      <c r="G142" s="7">
        <v>28350.300000000007</v>
      </c>
      <c r="H142" s="7">
        <v>22336.600000000002</v>
      </c>
      <c r="I142" s="7">
        <v>16335.000000000004</v>
      </c>
      <c r="J142" s="7">
        <v>9982.5</v>
      </c>
      <c r="K142" s="7">
        <v>16335.000000000004</v>
      </c>
      <c r="L142" s="7">
        <v>16335.000000000004</v>
      </c>
      <c r="M142" s="13" t="s">
        <v>198</v>
      </c>
      <c r="N142" s="7">
        <f t="shared" si="98"/>
        <v>0</v>
      </c>
      <c r="O142" s="7">
        <f t="shared" si="99"/>
        <v>237341.50000000003</v>
      </c>
      <c r="P142" s="7">
        <f t="shared" si="103"/>
        <v>237341.50000000003</v>
      </c>
      <c r="Q142" s="7">
        <v>237341.50000000003</v>
      </c>
      <c r="R142" s="7">
        <f t="shared" si="100"/>
        <v>0</v>
      </c>
      <c r="S142" s="7"/>
      <c r="T142" s="7">
        <f>CEO!T142+CS!T142+CFO!T142+LLA!T142+'C&amp;E'!T142+CES!T142+LLT!T142+GB!T142</f>
        <v>0</v>
      </c>
      <c r="U142" s="7">
        <f t="shared" si="101"/>
        <v>237341.50000000003</v>
      </c>
      <c r="V142" s="7">
        <f t="shared" si="104"/>
        <v>0</v>
      </c>
      <c r="W142" s="7"/>
      <c r="X142" s="7"/>
      <c r="Y142" s="7"/>
      <c r="Z142" s="7">
        <v>237341.50000000003</v>
      </c>
      <c r="AA142" s="7">
        <f t="shared" si="102"/>
        <v>261075.65000000005</v>
      </c>
      <c r="AC142" s="295">
        <f t="shared" si="66"/>
        <v>0</v>
      </c>
    </row>
    <row r="143" spans="1:29" x14ac:dyDescent="0.3">
      <c r="A143" s="7">
        <v>1718.2000000000005</v>
      </c>
      <c r="B143" s="7">
        <v>4198.7000000000007</v>
      </c>
      <c r="C143" s="7">
        <v>1391.5</v>
      </c>
      <c r="D143" s="7">
        <v>2758.8</v>
      </c>
      <c r="E143" s="7">
        <v>2238.5000000000005</v>
      </c>
      <c r="F143" s="7">
        <v>1064.8000000000002</v>
      </c>
      <c r="G143" s="7">
        <v>1851.3000000000004</v>
      </c>
      <c r="H143" s="7">
        <v>3642.1000000000008</v>
      </c>
      <c r="I143" s="7">
        <v>278.30000000000007</v>
      </c>
      <c r="J143" s="7">
        <v>5783.8</v>
      </c>
      <c r="K143" s="7">
        <v>278.30000000000007</v>
      </c>
      <c r="L143" s="7">
        <v>278.30000000000007</v>
      </c>
      <c r="M143" s="388" t="s">
        <v>199</v>
      </c>
      <c r="N143" s="7">
        <f t="shared" si="98"/>
        <v>0</v>
      </c>
      <c r="O143" s="7">
        <f t="shared" si="99"/>
        <v>25482.6</v>
      </c>
      <c r="P143" s="7">
        <f t="shared" si="103"/>
        <v>25482.6</v>
      </c>
      <c r="Q143" s="7">
        <v>25482.600000000002</v>
      </c>
      <c r="R143" s="7">
        <f t="shared" si="100"/>
        <v>0</v>
      </c>
      <c r="S143" s="7"/>
      <c r="T143" s="7">
        <f>CEO!T143+CS!T143+CFO!T143+LLA!T143+'C&amp;E'!T143+CES!T143+LLT!T143+GB!T143</f>
        <v>0</v>
      </c>
      <c r="U143" s="7">
        <f t="shared" si="101"/>
        <v>25482.600000000002</v>
      </c>
      <c r="V143" s="7">
        <f t="shared" si="104"/>
        <v>0</v>
      </c>
      <c r="W143" s="7"/>
      <c r="X143" s="7"/>
      <c r="Y143" s="7"/>
      <c r="Z143" s="7">
        <v>25482.600000000002</v>
      </c>
      <c r="AA143" s="7">
        <f t="shared" si="102"/>
        <v>28030.860000000004</v>
      </c>
      <c r="AC143" s="295">
        <f t="shared" si="66"/>
        <v>0</v>
      </c>
    </row>
    <row r="144" spans="1:29" x14ac:dyDescent="0.3">
      <c r="A144" s="7">
        <v>11688.6</v>
      </c>
      <c r="B144" s="7">
        <v>2577.3000000000002</v>
      </c>
      <c r="C144" s="7">
        <v>5154.6000000000004</v>
      </c>
      <c r="D144" s="7">
        <v>1718.2000000000005</v>
      </c>
      <c r="E144" s="7">
        <v>859.10000000000025</v>
      </c>
      <c r="F144" s="7">
        <v>1718.2000000000005</v>
      </c>
      <c r="G144" s="7">
        <v>4295.5000000000009</v>
      </c>
      <c r="H144" s="7">
        <v>2577.3000000000002</v>
      </c>
      <c r="I144" s="7">
        <v>3630.0000000000009</v>
      </c>
      <c r="J144" s="7">
        <v>0</v>
      </c>
      <c r="K144" s="7">
        <v>3630.0000000000009</v>
      </c>
      <c r="L144" s="7">
        <v>3630.0000000000009</v>
      </c>
      <c r="M144" s="13" t="s">
        <v>200</v>
      </c>
      <c r="N144" s="7">
        <f t="shared" si="98"/>
        <v>0</v>
      </c>
      <c r="O144" s="7">
        <f t="shared" si="99"/>
        <v>41478.800000000003</v>
      </c>
      <c r="P144" s="7">
        <f t="shared" si="103"/>
        <v>41478.800000000003</v>
      </c>
      <c r="Q144" s="7">
        <v>41478.800000000003</v>
      </c>
      <c r="R144" s="7">
        <f t="shared" si="100"/>
        <v>0</v>
      </c>
      <c r="S144" s="7"/>
      <c r="T144" s="7">
        <f>CEO!T144+CS!T144+CFO!T144+LLA!T144+'C&amp;E'!T144+CES!T144+LLT!T144+GB!T144</f>
        <v>0</v>
      </c>
      <c r="U144" s="7">
        <f t="shared" si="101"/>
        <v>41478.800000000003</v>
      </c>
      <c r="V144" s="7">
        <f t="shared" si="104"/>
        <v>0</v>
      </c>
      <c r="W144" s="7"/>
      <c r="X144" s="7"/>
      <c r="Y144" s="7"/>
      <c r="Z144" s="7">
        <v>41478.800000000003</v>
      </c>
      <c r="AA144" s="7">
        <f t="shared" si="102"/>
        <v>45626.680000000008</v>
      </c>
      <c r="AC144" s="295">
        <f t="shared" si="66"/>
        <v>0</v>
      </c>
    </row>
    <row r="145" spans="1:29" x14ac:dyDescent="0.3">
      <c r="A145" s="7">
        <v>4295.5000000000009</v>
      </c>
      <c r="B145" s="7">
        <v>20031.550000000003</v>
      </c>
      <c r="C145" s="7">
        <v>17702.300000000003</v>
      </c>
      <c r="D145" s="7">
        <v>14907.200000000003</v>
      </c>
      <c r="E145" s="7">
        <v>20963.25</v>
      </c>
      <c r="F145" s="7">
        <v>16220.050000000003</v>
      </c>
      <c r="G145" s="7">
        <v>14442.560000000001</v>
      </c>
      <c r="H145" s="7">
        <v>19099.850000000002</v>
      </c>
      <c r="I145" s="7">
        <v>14677.300000000003</v>
      </c>
      <c r="J145" s="7">
        <v>7768.2000000000016</v>
      </c>
      <c r="K145" s="7">
        <v>14677.300000000003</v>
      </c>
      <c r="L145" s="7">
        <v>14677.300000000003</v>
      </c>
      <c r="M145" s="13" t="s">
        <v>201</v>
      </c>
      <c r="N145" s="7">
        <f t="shared" si="98"/>
        <v>0</v>
      </c>
      <c r="O145" s="7">
        <f t="shared" si="99"/>
        <v>179462.36000000004</v>
      </c>
      <c r="P145" s="7">
        <f t="shared" si="103"/>
        <v>179462.36000000004</v>
      </c>
      <c r="Q145" s="7">
        <v>179462.36000000002</v>
      </c>
      <c r="R145" s="7">
        <f t="shared" si="100"/>
        <v>0</v>
      </c>
      <c r="S145" s="7"/>
      <c r="T145" s="7">
        <f>CEO!T145+CS!T145+CFO!T145+LLA!T145+'C&amp;E'!T145+CES!T145+LLT!T145+GB!T145</f>
        <v>0</v>
      </c>
      <c r="U145" s="7">
        <f t="shared" si="101"/>
        <v>179462.36000000002</v>
      </c>
      <c r="V145" s="7">
        <f t="shared" si="104"/>
        <v>0</v>
      </c>
      <c r="W145" s="7"/>
      <c r="X145" s="7"/>
      <c r="Y145" s="7"/>
      <c r="Z145" s="7">
        <v>179462.36000000002</v>
      </c>
      <c r="AA145" s="7">
        <f t="shared" si="102"/>
        <v>197408.59600000002</v>
      </c>
      <c r="AC145" s="295">
        <f t="shared" si="66"/>
        <v>0</v>
      </c>
    </row>
    <row r="146" spans="1:29" x14ac:dyDescent="0.3">
      <c r="A146" s="7">
        <v>0</v>
      </c>
      <c r="B146" s="7">
        <v>7731.9000000000015</v>
      </c>
      <c r="C146" s="7">
        <v>6872.800000000002</v>
      </c>
      <c r="D146" s="7">
        <v>7731.9000000000015</v>
      </c>
      <c r="E146" s="7">
        <v>41236.800000000003</v>
      </c>
      <c r="F146" s="7">
        <v>8663.6000000000022</v>
      </c>
      <c r="G146" s="7">
        <v>27491.200000000008</v>
      </c>
      <c r="H146" s="7">
        <v>12886.500000000004</v>
      </c>
      <c r="I146" s="7">
        <v>7260.0000000000018</v>
      </c>
      <c r="J146" s="7">
        <v>3630.0000000000009</v>
      </c>
      <c r="K146" s="7">
        <v>7260.0000000000018</v>
      </c>
      <c r="L146" s="7">
        <v>7260.0000000000018</v>
      </c>
      <c r="M146" s="388" t="s">
        <v>202</v>
      </c>
      <c r="N146" s="7">
        <f t="shared" si="98"/>
        <v>0</v>
      </c>
      <c r="O146" s="7">
        <f t="shared" si="99"/>
        <v>138024.70000000004</v>
      </c>
      <c r="P146" s="7">
        <f t="shared" si="103"/>
        <v>138024.70000000004</v>
      </c>
      <c r="Q146" s="7">
        <v>138024.70000000001</v>
      </c>
      <c r="R146" s="7">
        <f t="shared" si="100"/>
        <v>0</v>
      </c>
      <c r="S146" s="7"/>
      <c r="T146" s="7">
        <f>CEO!T146+CS!T146+CFO!T146+LLA!T146+'C&amp;E'!T146+CES!T146+LLT!T146+GB!T146</f>
        <v>0</v>
      </c>
      <c r="U146" s="7">
        <f t="shared" si="101"/>
        <v>138024.70000000001</v>
      </c>
      <c r="V146" s="7">
        <f t="shared" si="104"/>
        <v>0</v>
      </c>
      <c r="W146" s="7"/>
      <c r="X146" s="7"/>
      <c r="Y146" s="7"/>
      <c r="Z146" s="7">
        <v>138024.70000000001</v>
      </c>
      <c r="AA146" s="7">
        <f t="shared" si="102"/>
        <v>151827.17000000001</v>
      </c>
      <c r="AC146" s="295">
        <f t="shared" si="66"/>
        <v>0</v>
      </c>
    </row>
    <row r="147" spans="1:29" x14ac:dyDescent="0.3">
      <c r="A147" s="7">
        <v>0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13" t="s">
        <v>203</v>
      </c>
      <c r="N147" s="7">
        <f t="shared" si="98"/>
        <v>0</v>
      </c>
      <c r="O147" s="7">
        <f t="shared" si="99"/>
        <v>0</v>
      </c>
      <c r="P147" s="7">
        <f t="shared" si="103"/>
        <v>0</v>
      </c>
      <c r="Q147" s="7">
        <v>0</v>
      </c>
      <c r="R147" s="7">
        <f t="shared" si="100"/>
        <v>0</v>
      </c>
      <c r="S147" s="7"/>
      <c r="T147" s="7">
        <f>CEO!T147+CS!T147+CFO!T147+LLA!T147+'C&amp;E'!T147+CES!T147+LLT!T147+GB!T147</f>
        <v>0</v>
      </c>
      <c r="U147" s="7">
        <f t="shared" si="101"/>
        <v>0</v>
      </c>
      <c r="V147" s="7">
        <f t="shared" si="104"/>
        <v>0</v>
      </c>
      <c r="W147" s="7"/>
      <c r="X147" s="7"/>
      <c r="Y147" s="7"/>
      <c r="Z147" s="7">
        <v>0</v>
      </c>
      <c r="AA147" s="7">
        <f t="shared" si="102"/>
        <v>0</v>
      </c>
      <c r="AC147" s="295">
        <f t="shared" si="66"/>
        <v>0</v>
      </c>
    </row>
    <row r="148" spans="1:29" x14ac:dyDescent="0.3">
      <c r="A148" s="7">
        <v>0</v>
      </c>
      <c r="B148" s="7">
        <v>1863.4000000000003</v>
      </c>
      <c r="C148" s="7">
        <v>1863.4000000000003</v>
      </c>
      <c r="D148" s="7">
        <v>931.70000000000016</v>
      </c>
      <c r="E148" s="7">
        <v>465.85000000000008</v>
      </c>
      <c r="F148" s="7">
        <v>931.70000000000016</v>
      </c>
      <c r="G148" s="7">
        <v>465.85000000000008</v>
      </c>
      <c r="H148" s="7">
        <v>931.70000000000016</v>
      </c>
      <c r="I148" s="7">
        <v>490.05000000000013</v>
      </c>
      <c r="J148" s="7">
        <v>0</v>
      </c>
      <c r="K148" s="7">
        <v>490.05000000000013</v>
      </c>
      <c r="L148" s="7">
        <v>490.05000000000013</v>
      </c>
      <c r="M148" s="13" t="s">
        <v>204</v>
      </c>
      <c r="N148" s="7">
        <f t="shared" si="98"/>
        <v>0</v>
      </c>
      <c r="O148" s="7">
        <f t="shared" si="99"/>
        <v>8923.75</v>
      </c>
      <c r="P148" s="7">
        <f t="shared" si="103"/>
        <v>8923.75</v>
      </c>
      <c r="Q148" s="7">
        <v>8923.7500000000018</v>
      </c>
      <c r="R148" s="7">
        <f t="shared" si="100"/>
        <v>0</v>
      </c>
      <c r="S148" s="7"/>
      <c r="T148" s="7">
        <f>CEO!T148+CS!T148+CFO!T148+LLA!T148+'C&amp;E'!T148+CES!T148+LLT!T148+GB!T148</f>
        <v>0</v>
      </c>
      <c r="U148" s="7">
        <f t="shared" si="101"/>
        <v>8923.7500000000018</v>
      </c>
      <c r="V148" s="7">
        <f t="shared" si="104"/>
        <v>0</v>
      </c>
      <c r="W148" s="7"/>
      <c r="X148" s="7"/>
      <c r="Y148" s="7"/>
      <c r="Z148" s="7">
        <v>8923.7500000000018</v>
      </c>
      <c r="AA148" s="7">
        <f t="shared" si="102"/>
        <v>9816.1250000000036</v>
      </c>
      <c r="AC148" s="295">
        <f t="shared" si="66"/>
        <v>0</v>
      </c>
    </row>
    <row r="149" spans="1:29" x14ac:dyDescent="0.3">
      <c r="A149" s="7">
        <v>0</v>
      </c>
      <c r="B149" s="7">
        <v>0</v>
      </c>
      <c r="C149" s="7">
        <v>0</v>
      </c>
      <c r="D149" s="7">
        <v>0</v>
      </c>
      <c r="E149" s="7">
        <v>465.85000000000008</v>
      </c>
      <c r="F149" s="7">
        <v>0</v>
      </c>
      <c r="G149" s="7">
        <v>0</v>
      </c>
      <c r="H149" s="7">
        <v>0</v>
      </c>
      <c r="I149" s="7">
        <v>465.85000000000008</v>
      </c>
      <c r="J149" s="7">
        <v>490.05000000000013</v>
      </c>
      <c r="K149" s="7">
        <v>465.85000000000008</v>
      </c>
      <c r="L149" s="7">
        <v>465.85000000000008</v>
      </c>
      <c r="M149" s="388" t="s">
        <v>205</v>
      </c>
      <c r="N149" s="7">
        <f t="shared" si="98"/>
        <v>0</v>
      </c>
      <c r="O149" s="7">
        <f t="shared" si="99"/>
        <v>2353.4500000000003</v>
      </c>
      <c r="P149" s="7">
        <f t="shared" si="103"/>
        <v>2353.4500000000003</v>
      </c>
      <c r="Q149" s="7">
        <v>2353.4500000000007</v>
      </c>
      <c r="R149" s="7">
        <f t="shared" si="100"/>
        <v>0</v>
      </c>
      <c r="S149" s="7"/>
      <c r="T149" s="7">
        <f>CEO!T149+CS!T149+CFO!T149+LLA!T149+'C&amp;E'!T149+CES!T149+LLT!T149+GB!T149</f>
        <v>0</v>
      </c>
      <c r="U149" s="7">
        <f t="shared" si="101"/>
        <v>2353.4500000000007</v>
      </c>
      <c r="V149" s="7">
        <f t="shared" si="104"/>
        <v>0</v>
      </c>
      <c r="W149" s="7"/>
      <c r="X149" s="7"/>
      <c r="Y149" s="7"/>
      <c r="Z149" s="7">
        <v>2353.4500000000007</v>
      </c>
      <c r="AA149" s="7">
        <f t="shared" si="102"/>
        <v>2588.795000000001</v>
      </c>
      <c r="AC149" s="295">
        <f t="shared" si="66"/>
        <v>0</v>
      </c>
    </row>
    <row r="150" spans="1:29" x14ac:dyDescent="0.3">
      <c r="A150" s="7">
        <v>0</v>
      </c>
      <c r="B150" s="7">
        <v>0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13" t="s">
        <v>206</v>
      </c>
      <c r="N150" s="7">
        <f t="shared" si="98"/>
        <v>0</v>
      </c>
      <c r="O150" s="7">
        <f t="shared" si="99"/>
        <v>0</v>
      </c>
      <c r="P150" s="7">
        <f t="shared" si="103"/>
        <v>0</v>
      </c>
      <c r="Q150" s="7">
        <v>0</v>
      </c>
      <c r="R150" s="7">
        <f t="shared" si="100"/>
        <v>0</v>
      </c>
      <c r="S150" s="7"/>
      <c r="T150" s="7">
        <f>CEO!T150+CS!T150+CFO!T150+LLA!T150+'C&amp;E'!T150+CES!T150+LLT!T150+GB!T150</f>
        <v>0</v>
      </c>
      <c r="U150" s="7">
        <f t="shared" si="101"/>
        <v>0</v>
      </c>
      <c r="V150" s="7">
        <f t="shared" si="104"/>
        <v>0</v>
      </c>
      <c r="W150" s="7"/>
      <c r="X150" s="7"/>
      <c r="Y150" s="7"/>
      <c r="Z150" s="7">
        <v>0</v>
      </c>
      <c r="AA150" s="7">
        <f t="shared" si="102"/>
        <v>0</v>
      </c>
      <c r="AC150" s="295">
        <f t="shared" si="66"/>
        <v>0</v>
      </c>
    </row>
    <row r="151" spans="1:29" x14ac:dyDescent="0.3">
      <c r="A151" s="7">
        <v>0</v>
      </c>
      <c r="B151" s="7">
        <v>0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13" t="s">
        <v>207</v>
      </c>
      <c r="N151" s="7">
        <f t="shared" si="98"/>
        <v>0</v>
      </c>
      <c r="O151" s="7">
        <f t="shared" si="99"/>
        <v>0</v>
      </c>
      <c r="P151" s="7">
        <f t="shared" si="103"/>
        <v>0</v>
      </c>
      <c r="Q151" s="7">
        <v>0</v>
      </c>
      <c r="R151" s="7">
        <f t="shared" si="100"/>
        <v>0</v>
      </c>
      <c r="S151" s="7"/>
      <c r="T151" s="7">
        <f>CEO!T151+CS!T151+CFO!T151+LLA!T151+'C&amp;E'!T151+CES!T151+LLT!T151+GB!T151</f>
        <v>0</v>
      </c>
      <c r="U151" s="7">
        <f t="shared" si="101"/>
        <v>0</v>
      </c>
      <c r="V151" s="7">
        <f t="shared" si="104"/>
        <v>0</v>
      </c>
      <c r="W151" s="7"/>
      <c r="X151" s="7"/>
      <c r="Y151" s="7"/>
      <c r="Z151" s="7">
        <v>0</v>
      </c>
      <c r="AA151" s="7">
        <f t="shared" si="102"/>
        <v>0</v>
      </c>
      <c r="AC151" s="295">
        <f t="shared" si="66"/>
        <v>0</v>
      </c>
    </row>
    <row r="152" spans="1:29" x14ac:dyDescent="0.3">
      <c r="A152" s="7">
        <v>0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388" t="s">
        <v>208</v>
      </c>
      <c r="N152" s="7">
        <f t="shared" si="98"/>
        <v>0</v>
      </c>
      <c r="O152" s="7">
        <f t="shared" si="99"/>
        <v>0</v>
      </c>
      <c r="P152" s="7">
        <f t="shared" si="103"/>
        <v>0</v>
      </c>
      <c r="Q152" s="7">
        <v>0</v>
      </c>
      <c r="R152" s="7">
        <f t="shared" si="100"/>
        <v>0</v>
      </c>
      <c r="S152" s="7"/>
      <c r="T152" s="7">
        <f>CEO!T152+CS!T152+CFO!T152+LLA!T152+'C&amp;E'!T152+CES!T152+LLT!T152+GB!T152</f>
        <v>0</v>
      </c>
      <c r="U152" s="7">
        <f t="shared" si="101"/>
        <v>0</v>
      </c>
      <c r="V152" s="7">
        <f t="shared" si="104"/>
        <v>0</v>
      </c>
      <c r="W152" s="7"/>
      <c r="X152" s="7"/>
      <c r="Y152" s="7"/>
      <c r="Z152" s="7">
        <v>0</v>
      </c>
      <c r="AA152" s="7">
        <f t="shared" si="102"/>
        <v>0</v>
      </c>
      <c r="AC152" s="295">
        <f t="shared" si="66"/>
        <v>0</v>
      </c>
    </row>
    <row r="153" spans="1:29" x14ac:dyDescent="0.3">
      <c r="A153" s="7">
        <v>1863.4000000000003</v>
      </c>
      <c r="B153" s="7">
        <v>3260.9500000000007</v>
      </c>
      <c r="C153" s="7">
        <v>2329.25</v>
      </c>
      <c r="D153" s="7">
        <v>3260.9500000000007</v>
      </c>
      <c r="E153" s="7">
        <v>3260.9500000000007</v>
      </c>
      <c r="F153" s="7">
        <v>1397.5500000000002</v>
      </c>
      <c r="G153" s="7">
        <v>1863.4000000000003</v>
      </c>
      <c r="H153" s="7">
        <v>1863.4000000000003</v>
      </c>
      <c r="I153" s="7">
        <v>0</v>
      </c>
      <c r="J153" s="7">
        <v>1373.3500000000001</v>
      </c>
      <c r="K153" s="7">
        <v>0</v>
      </c>
      <c r="L153" s="7">
        <v>0</v>
      </c>
      <c r="M153" s="13" t="s">
        <v>209</v>
      </c>
      <c r="N153" s="7">
        <f t="shared" si="98"/>
        <v>0</v>
      </c>
      <c r="O153" s="7">
        <f t="shared" si="99"/>
        <v>20473.200000000004</v>
      </c>
      <c r="P153" s="7">
        <f t="shared" si="103"/>
        <v>20473.200000000004</v>
      </c>
      <c r="Q153" s="7">
        <v>20473.200000000004</v>
      </c>
      <c r="R153" s="7">
        <f t="shared" si="100"/>
        <v>0</v>
      </c>
      <c r="S153" s="7"/>
      <c r="T153" s="7">
        <f>CEO!T153+CS!T153+CFO!T153+LLA!T153+'C&amp;E'!T153+CES!T153+LLT!T153+GB!T153</f>
        <v>0</v>
      </c>
      <c r="U153" s="7">
        <f t="shared" si="101"/>
        <v>20473.200000000004</v>
      </c>
      <c r="V153" s="7">
        <f t="shared" si="104"/>
        <v>0</v>
      </c>
      <c r="W153" s="7"/>
      <c r="X153" s="7"/>
      <c r="Y153" s="7"/>
      <c r="Z153" s="7">
        <v>20473.200000000004</v>
      </c>
      <c r="AA153" s="7">
        <f t="shared" si="102"/>
        <v>22520.520000000008</v>
      </c>
      <c r="AC153" s="295">
        <f t="shared" si="66"/>
        <v>0</v>
      </c>
    </row>
    <row r="154" spans="1:29" x14ac:dyDescent="0.3">
      <c r="A154" s="7">
        <v>859.10000000000025</v>
      </c>
      <c r="B154" s="7">
        <v>2577.3000000000002</v>
      </c>
      <c r="C154" s="7">
        <v>2577.3000000000002</v>
      </c>
      <c r="D154" s="7">
        <v>5154.6000000000004</v>
      </c>
      <c r="E154" s="7">
        <v>6800.2000000000016</v>
      </c>
      <c r="F154" s="7">
        <v>2577.3000000000002</v>
      </c>
      <c r="G154" s="7">
        <v>7659.300000000002</v>
      </c>
      <c r="H154" s="7">
        <v>6872.800000000002</v>
      </c>
      <c r="I154" s="7">
        <v>859.10000000000025</v>
      </c>
      <c r="J154" s="7">
        <v>1766.6000000000004</v>
      </c>
      <c r="K154" s="7">
        <v>859.10000000000025</v>
      </c>
      <c r="L154" s="7">
        <v>859.10000000000025</v>
      </c>
      <c r="M154" s="13" t="s">
        <v>210</v>
      </c>
      <c r="N154" s="7">
        <f t="shared" si="98"/>
        <v>0</v>
      </c>
      <c r="O154" s="7">
        <f t="shared" si="99"/>
        <v>39421.800000000003</v>
      </c>
      <c r="P154" s="7">
        <f t="shared" si="103"/>
        <v>39421.800000000003</v>
      </c>
      <c r="Q154" s="7">
        <v>39421.800000000003</v>
      </c>
      <c r="R154" s="7">
        <f t="shared" si="100"/>
        <v>0</v>
      </c>
      <c r="S154" s="7"/>
      <c r="T154" s="7">
        <f>CEO!T154+CS!T154+CFO!T154+LLA!T154+'C&amp;E'!T154+CES!T154+LLT!T154+GB!T154</f>
        <v>0</v>
      </c>
      <c r="U154" s="7">
        <f t="shared" si="101"/>
        <v>39421.800000000003</v>
      </c>
      <c r="V154" s="7">
        <f t="shared" si="104"/>
        <v>0</v>
      </c>
      <c r="W154" s="7"/>
      <c r="X154" s="7"/>
      <c r="Y154" s="7"/>
      <c r="Z154" s="7">
        <v>39421.800000000003</v>
      </c>
      <c r="AA154" s="7">
        <f t="shared" si="102"/>
        <v>43363.98</v>
      </c>
      <c r="AC154" s="295">
        <f t="shared" si="66"/>
        <v>0</v>
      </c>
    </row>
    <row r="155" spans="1:29" x14ac:dyDescent="0.3">
      <c r="A155" s="7">
        <v>97598.6</v>
      </c>
      <c r="B155" s="7">
        <v>96775.8</v>
      </c>
      <c r="C155" s="7">
        <v>89685.200000000012</v>
      </c>
      <c r="D155" s="7">
        <v>161075.20000000001</v>
      </c>
      <c r="E155" s="7">
        <v>187283.80000000002</v>
      </c>
      <c r="F155" s="7">
        <v>81771.8</v>
      </c>
      <c r="G155" s="7">
        <v>123758.80000000003</v>
      </c>
      <c r="H155" s="7">
        <v>112602.60000000002</v>
      </c>
      <c r="I155" s="7">
        <v>45816.65</v>
      </c>
      <c r="J155" s="7">
        <v>98161.250000000015</v>
      </c>
      <c r="K155" s="7">
        <v>45816.65</v>
      </c>
      <c r="L155" s="7">
        <v>45816.65</v>
      </c>
      <c r="M155" s="388" t="s">
        <v>211</v>
      </c>
      <c r="N155" s="7">
        <f t="shared" si="98"/>
        <v>0</v>
      </c>
      <c r="O155" s="7">
        <f t="shared" si="99"/>
        <v>1186163</v>
      </c>
      <c r="P155" s="7">
        <f t="shared" si="103"/>
        <v>1186163</v>
      </c>
      <c r="Q155" s="7">
        <v>1296163</v>
      </c>
      <c r="R155" s="7">
        <f>Q155-P155</f>
        <v>110000</v>
      </c>
      <c r="S155" s="7"/>
      <c r="T155" s="7">
        <f>CEO!T155+CS!T155+CFO!T155+LLA!T155+'C&amp;E'!T155+CES!T155+LLT!T155+GB!T155</f>
        <v>0</v>
      </c>
      <c r="U155" s="7">
        <f t="shared" si="101"/>
        <v>1296163</v>
      </c>
      <c r="V155" s="7">
        <f t="shared" si="104"/>
        <v>110000</v>
      </c>
      <c r="W155" s="7"/>
      <c r="X155" s="7"/>
      <c r="Y155" s="7"/>
      <c r="Z155" s="7">
        <v>1296163</v>
      </c>
      <c r="AA155" s="7">
        <f t="shared" si="102"/>
        <v>1425779.3</v>
      </c>
      <c r="AC155" s="295">
        <f t="shared" si="66"/>
        <v>0</v>
      </c>
    </row>
    <row r="156" spans="1:29" x14ac:dyDescent="0.3">
      <c r="A156" s="7">
        <v>199383.80000000005</v>
      </c>
      <c r="B156" s="7">
        <v>208452.75000000006</v>
      </c>
      <c r="C156" s="7">
        <v>109613.90000000002</v>
      </c>
      <c r="D156" s="7">
        <v>166375</v>
      </c>
      <c r="E156" s="7">
        <v>180187.15000000002</v>
      </c>
      <c r="F156" s="7">
        <v>171632.45</v>
      </c>
      <c r="G156" s="7">
        <v>207968.75000000006</v>
      </c>
      <c r="H156" s="7">
        <v>272969.95000000007</v>
      </c>
      <c r="I156" s="7">
        <v>428636.45000000007</v>
      </c>
      <c r="J156" s="7">
        <v>167209.90000000002</v>
      </c>
      <c r="K156" s="7">
        <v>211242.90000000002</v>
      </c>
      <c r="L156" s="7">
        <v>211242.90000000002</v>
      </c>
      <c r="M156" s="13" t="s">
        <v>212</v>
      </c>
      <c r="N156" s="7">
        <f t="shared" si="98"/>
        <v>0</v>
      </c>
      <c r="O156" s="7">
        <f t="shared" si="99"/>
        <v>2534915.9000000004</v>
      </c>
      <c r="P156" s="7">
        <f t="shared" si="103"/>
        <v>2534915.9000000004</v>
      </c>
      <c r="Q156" s="7">
        <v>2534915.9000000004</v>
      </c>
      <c r="R156" s="7">
        <f t="shared" si="100"/>
        <v>0</v>
      </c>
      <c r="S156" s="7">
        <v>371993</v>
      </c>
      <c r="T156" s="7">
        <f>CEO!T156+CS!T156+CFO!T156+LLA!T156+'C&amp;E'!T156+CES!T156+LLT!T156+GB!T156</f>
        <v>0</v>
      </c>
      <c r="U156" s="7">
        <f t="shared" si="101"/>
        <v>2906908.9000000004</v>
      </c>
      <c r="V156" s="7">
        <f t="shared" si="104"/>
        <v>371993</v>
      </c>
      <c r="W156" s="7"/>
      <c r="X156" s="7"/>
      <c r="Y156" s="7"/>
      <c r="Z156" s="7">
        <v>2534915.9000000004</v>
      </c>
      <c r="AA156" s="7">
        <f t="shared" si="102"/>
        <v>2788407.4900000007</v>
      </c>
      <c r="AC156" s="295">
        <f t="shared" si="66"/>
        <v>0</v>
      </c>
    </row>
    <row r="157" spans="1:29" x14ac:dyDescent="0.3">
      <c r="A157" s="7">
        <v>26426.400000000005</v>
      </c>
      <c r="B157" s="7">
        <v>101621.85000000002</v>
      </c>
      <c r="C157" s="7">
        <v>88190.85</v>
      </c>
      <c r="D157" s="7">
        <v>54921.900000000016</v>
      </c>
      <c r="E157" s="7">
        <v>117987.10000000002</v>
      </c>
      <c r="F157" s="7">
        <v>45084.600000000006</v>
      </c>
      <c r="G157" s="7">
        <v>118985.35000000002</v>
      </c>
      <c r="H157" s="7">
        <v>60669.400000000016</v>
      </c>
      <c r="I157" s="7">
        <v>34769.350000000006</v>
      </c>
      <c r="J157" s="7">
        <v>25639.900000000005</v>
      </c>
      <c r="K157" s="7">
        <v>34769.350000000006</v>
      </c>
      <c r="L157" s="7">
        <v>34769.350000000006</v>
      </c>
      <c r="M157" s="13" t="s">
        <v>213</v>
      </c>
      <c r="N157" s="7">
        <f t="shared" si="98"/>
        <v>0</v>
      </c>
      <c r="O157" s="7">
        <f t="shared" si="99"/>
        <v>743835.4</v>
      </c>
      <c r="P157" s="7">
        <f t="shared" si="103"/>
        <v>743835.4</v>
      </c>
      <c r="Q157" s="7">
        <v>743835.4</v>
      </c>
      <c r="R157" s="7">
        <f t="shared" si="100"/>
        <v>0</v>
      </c>
      <c r="S157" s="7"/>
      <c r="T157" s="7">
        <f>CEO!T157+CS!T157+CFO!T157+LLA!T157+'C&amp;E'!T157+CES!T157+LLT!T157+GB!T157</f>
        <v>0</v>
      </c>
      <c r="U157" s="7">
        <f t="shared" si="101"/>
        <v>743835.4</v>
      </c>
      <c r="V157" s="7">
        <f t="shared" si="104"/>
        <v>0</v>
      </c>
      <c r="W157" s="7"/>
      <c r="X157" s="7"/>
      <c r="Y157" s="7"/>
      <c r="Z157" s="7">
        <v>743835.4</v>
      </c>
      <c r="AA157" s="7">
        <f t="shared" si="102"/>
        <v>818218.94000000006</v>
      </c>
      <c r="AC157" s="295">
        <f t="shared" si="66"/>
        <v>0</v>
      </c>
    </row>
    <row r="158" spans="1:29" x14ac:dyDescent="0.3">
      <c r="A158" s="7">
        <v>29348.550000000007</v>
      </c>
      <c r="B158" s="7">
        <v>35404.600000000006</v>
      </c>
      <c r="C158" s="7">
        <v>28882.700000000008</v>
      </c>
      <c r="D158" s="7">
        <v>52175.200000000012</v>
      </c>
      <c r="E158" s="7">
        <v>51546.000000000015</v>
      </c>
      <c r="F158" s="7">
        <v>74300.05</v>
      </c>
      <c r="G158" s="7">
        <v>63355.600000000013</v>
      </c>
      <c r="H158" s="7">
        <v>48448.4</v>
      </c>
      <c r="I158" s="7">
        <v>31097.000000000007</v>
      </c>
      <c r="J158" s="7">
        <v>43614.450000000004</v>
      </c>
      <c r="K158" s="7">
        <v>31097.000000000007</v>
      </c>
      <c r="L158" s="7">
        <v>31097.000000000007</v>
      </c>
      <c r="M158" s="388" t="s">
        <v>214</v>
      </c>
      <c r="N158" s="7">
        <f t="shared" si="98"/>
        <v>0</v>
      </c>
      <c r="O158" s="7">
        <f t="shared" si="99"/>
        <v>520366.5500000001</v>
      </c>
      <c r="P158" s="7">
        <f t="shared" si="103"/>
        <v>520366.5500000001</v>
      </c>
      <c r="Q158" s="7">
        <v>520366.5500000001</v>
      </c>
      <c r="R158" s="7">
        <f t="shared" si="100"/>
        <v>0</v>
      </c>
      <c r="S158" s="7"/>
      <c r="T158" s="7">
        <f>CEO!T158+CS!T158+CFO!T158+LLA!T158+'C&amp;E'!T158+CES!T158+LLT!T158+GB!T158</f>
        <v>0</v>
      </c>
      <c r="U158" s="7">
        <f t="shared" si="101"/>
        <v>520366.5500000001</v>
      </c>
      <c r="V158" s="7">
        <f t="shared" si="104"/>
        <v>0</v>
      </c>
      <c r="W158" s="7"/>
      <c r="X158" s="7"/>
      <c r="Y158" s="7"/>
      <c r="Z158" s="7">
        <v>520366.5500000001</v>
      </c>
      <c r="AA158" s="7">
        <f t="shared" si="102"/>
        <v>572403.20500000019</v>
      </c>
      <c r="AC158" s="295">
        <f t="shared" ref="AC158:AC172" si="105">Q158-Z158</f>
        <v>0</v>
      </c>
    </row>
    <row r="159" spans="1:29" x14ac:dyDescent="0.3">
      <c r="A159" s="7">
        <v>5154.6000000000004</v>
      </c>
      <c r="B159" s="7">
        <v>13600.400000000003</v>
      </c>
      <c r="C159" s="7">
        <v>859.10000000000025</v>
      </c>
      <c r="D159" s="7">
        <v>10309.200000000001</v>
      </c>
      <c r="E159" s="7">
        <v>6872.800000000002</v>
      </c>
      <c r="F159" s="7">
        <v>1718.2000000000005</v>
      </c>
      <c r="G159" s="7">
        <v>3436.400000000001</v>
      </c>
      <c r="H159" s="7">
        <v>859.10000000000025</v>
      </c>
      <c r="I159" s="7">
        <v>0</v>
      </c>
      <c r="J159" s="7">
        <v>859.10000000000025</v>
      </c>
      <c r="K159" s="7">
        <v>0</v>
      </c>
      <c r="L159" s="7">
        <v>0</v>
      </c>
      <c r="M159" s="13" t="s">
        <v>215</v>
      </c>
      <c r="N159" s="7">
        <f t="shared" si="98"/>
        <v>0</v>
      </c>
      <c r="O159" s="7">
        <f t="shared" si="99"/>
        <v>43668.9</v>
      </c>
      <c r="P159" s="7">
        <f t="shared" si="103"/>
        <v>43668.9</v>
      </c>
      <c r="Q159" s="7">
        <v>43668.9</v>
      </c>
      <c r="R159" s="7">
        <f t="shared" si="100"/>
        <v>0</v>
      </c>
      <c r="S159" s="7"/>
      <c r="T159" s="7">
        <f>CEO!T159+CS!T159+CFO!T159+LLA!T159+'C&amp;E'!T159+CES!T159+LLT!T159+GB!T159</f>
        <v>0</v>
      </c>
      <c r="U159" s="7">
        <f t="shared" si="101"/>
        <v>43668.9</v>
      </c>
      <c r="V159" s="7">
        <f t="shared" si="104"/>
        <v>0</v>
      </c>
      <c r="W159" s="7"/>
      <c r="X159" s="7"/>
      <c r="Y159" s="7"/>
      <c r="Z159" s="7">
        <v>43668.9</v>
      </c>
      <c r="AA159" s="7">
        <f t="shared" si="102"/>
        <v>48035.790000000008</v>
      </c>
      <c r="AC159" s="295">
        <f t="shared" si="105"/>
        <v>0</v>
      </c>
    </row>
    <row r="160" spans="1:29" x14ac:dyDescent="0.3">
      <c r="A160" s="11">
        <v>0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3" t="s">
        <v>216</v>
      </c>
      <c r="N160" s="7">
        <f t="shared" si="98"/>
        <v>0</v>
      </c>
      <c r="O160" s="7">
        <f t="shared" si="99"/>
        <v>0</v>
      </c>
      <c r="P160" s="11">
        <f t="shared" si="103"/>
        <v>0</v>
      </c>
      <c r="Q160" s="11">
        <v>0</v>
      </c>
      <c r="R160" s="11">
        <f t="shared" si="100"/>
        <v>0</v>
      </c>
      <c r="S160" s="11"/>
      <c r="T160" s="11">
        <f>CEO!T160+CS!T160+CFO!T160+LLA!T160+'C&amp;E'!T160+CES!T160+LLT!T160+GB!T160</f>
        <v>0</v>
      </c>
      <c r="U160" s="11">
        <f t="shared" si="101"/>
        <v>0</v>
      </c>
      <c r="V160" s="11">
        <f t="shared" si="104"/>
        <v>0</v>
      </c>
      <c r="W160" s="11"/>
      <c r="X160" s="11"/>
      <c r="Y160" s="11"/>
      <c r="Z160" s="11">
        <v>0</v>
      </c>
      <c r="AA160" s="11">
        <f t="shared" si="102"/>
        <v>0</v>
      </c>
      <c r="AC160" s="295">
        <f t="shared" si="105"/>
        <v>0</v>
      </c>
    </row>
    <row r="161" spans="1:29" ht="6" customHeight="1" x14ac:dyDescent="0.3">
      <c r="A161" s="81"/>
      <c r="B161" s="81"/>
      <c r="C161" s="81"/>
      <c r="D161" s="82"/>
      <c r="E161" s="81"/>
      <c r="F161" s="81"/>
      <c r="G161" s="81"/>
      <c r="H161" s="81"/>
      <c r="I161" s="81"/>
      <c r="J161" s="81"/>
      <c r="K161" s="81"/>
      <c r="L161" s="81"/>
      <c r="M161" s="13"/>
      <c r="N161" s="81">
        <f t="shared" ref="N161:N171" si="106">SUM(A161:J161)</f>
        <v>0</v>
      </c>
      <c r="O161" s="81">
        <f t="shared" ref="O161:O171" si="107">SUM(K161:L161)</f>
        <v>0</v>
      </c>
      <c r="P161" s="81">
        <f t="shared" si="103"/>
        <v>0</v>
      </c>
      <c r="Q161" s="81"/>
      <c r="R161" s="81">
        <f t="shared" ref="R161:R171" si="108">P161-Q161</f>
        <v>0</v>
      </c>
      <c r="S161" s="81">
        <f>CEO!S161+CS!S161+CFO!S161+LLA!S161+'C&amp;E'!S161+CES!S161+LLT!S161+GB!S161</f>
        <v>0</v>
      </c>
      <c r="T161" s="81">
        <f>CEO!T161+CS!T161+CFO!T161+LLA!T161+'C&amp;E'!T161+CES!T161+LLT!T161+GB!T161</f>
        <v>0</v>
      </c>
      <c r="U161" s="81">
        <f t="shared" si="101"/>
        <v>0</v>
      </c>
      <c r="V161" s="81">
        <f t="shared" si="104"/>
        <v>0</v>
      </c>
      <c r="W161" s="81"/>
      <c r="X161" s="81"/>
      <c r="Y161" s="81"/>
      <c r="Z161" s="81"/>
      <c r="AA161" s="81"/>
      <c r="AC161" s="295">
        <f t="shared" si="105"/>
        <v>0</v>
      </c>
    </row>
    <row r="162" spans="1:29" x14ac:dyDescent="0.3">
      <c r="A162" s="4">
        <f t="shared" ref="A162:F162" si="109">SUM(A131:A160)</f>
        <v>768930.8</v>
      </c>
      <c r="B162" s="4">
        <f t="shared" si="109"/>
        <v>1264177.7500000002</v>
      </c>
      <c r="C162" s="4">
        <f t="shared" si="109"/>
        <v>597747.01800000004</v>
      </c>
      <c r="D162" s="4">
        <f t="shared" si="109"/>
        <v>709168.90000000014</v>
      </c>
      <c r="E162" s="4">
        <f t="shared" si="109"/>
        <v>1153977</v>
      </c>
      <c r="F162" s="4">
        <f t="shared" si="109"/>
        <v>837507.55000000016</v>
      </c>
      <c r="G162" s="4">
        <f t="shared" ref="G162:L162" si="110">SUM(G131:G160)</f>
        <v>1079151.81</v>
      </c>
      <c r="H162" s="4">
        <f t="shared" si="110"/>
        <v>1073251.8500000003</v>
      </c>
      <c r="I162" s="4">
        <f t="shared" si="110"/>
        <v>904281.4</v>
      </c>
      <c r="J162" s="4">
        <f t="shared" si="110"/>
        <v>1095458.3750000002</v>
      </c>
      <c r="K162" s="4">
        <f t="shared" si="110"/>
        <v>1291887.8500000003</v>
      </c>
      <c r="L162" s="4">
        <f t="shared" si="110"/>
        <v>1291887.8500000003</v>
      </c>
      <c r="M162" s="13" t="s">
        <v>217</v>
      </c>
      <c r="N162" s="4">
        <f t="shared" ref="N162:P162" si="111">SUM(N131:N160)</f>
        <v>0</v>
      </c>
      <c r="O162" s="4">
        <f t="shared" si="111"/>
        <v>12067428.153000005</v>
      </c>
      <c r="P162" s="4">
        <f t="shared" si="111"/>
        <v>12067428.153000005</v>
      </c>
      <c r="Q162" s="4">
        <f>SUM(Q131:Q160)</f>
        <v>12177428.153000003</v>
      </c>
      <c r="R162" s="4">
        <f>SUM(R131:R160)</f>
        <v>110000</v>
      </c>
      <c r="S162" s="4">
        <f>SUM(S131:S160)</f>
        <v>371993</v>
      </c>
      <c r="T162" s="4">
        <f>CEO!T162+CS!T162+CFO!T162+LLA!T162+'C&amp;E'!T162+CES!T162+LLT!T162+GB!T162</f>
        <v>0</v>
      </c>
      <c r="U162" s="4">
        <f t="shared" si="101"/>
        <v>12549421.153000003</v>
      </c>
      <c r="V162" s="4">
        <f t="shared" si="104"/>
        <v>481992.99999999814</v>
      </c>
      <c r="W162" s="4"/>
      <c r="X162" s="4"/>
      <c r="Y162" s="4"/>
      <c r="Z162" s="4">
        <f>SUM(Z131:Z160)</f>
        <v>12177428.153000001</v>
      </c>
      <c r="AA162" s="4">
        <f>SUM(AA131:AA160)</f>
        <v>13395170.9683</v>
      </c>
      <c r="AC162" s="295">
        <f t="shared" si="105"/>
        <v>0</v>
      </c>
    </row>
    <row r="163" spans="1:29" ht="6.6" customHeight="1" x14ac:dyDescent="0.3">
      <c r="A163" s="81"/>
      <c r="B163" s="81"/>
      <c r="C163" s="81"/>
      <c r="D163" s="82"/>
      <c r="E163" s="95"/>
      <c r="F163" s="95"/>
      <c r="G163" s="95"/>
      <c r="H163" s="95"/>
      <c r="I163" s="95"/>
      <c r="J163" s="95"/>
      <c r="K163" s="95"/>
      <c r="L163" s="95"/>
      <c r="M163" s="122"/>
      <c r="N163" s="95">
        <f t="shared" si="106"/>
        <v>0</v>
      </c>
      <c r="O163" s="95">
        <f t="shared" si="107"/>
        <v>0</v>
      </c>
      <c r="P163" s="95">
        <f t="shared" si="103"/>
        <v>0</v>
      </c>
      <c r="Q163" s="95"/>
      <c r="R163" s="95">
        <f t="shared" si="108"/>
        <v>0</v>
      </c>
      <c r="S163" s="95">
        <f>CEO!S163+CS!S163+CFO!S163+LLA!S163+'C&amp;E'!S163+CES!S163+LLT!S163+GB!S163</f>
        <v>0</v>
      </c>
      <c r="T163" s="95">
        <f>CEO!T163+CS!T163+CFO!T163+LLA!T163+'C&amp;E'!T163+CES!T163+LLT!T163+GB!T163</f>
        <v>0</v>
      </c>
      <c r="U163" s="95">
        <f t="shared" si="101"/>
        <v>0</v>
      </c>
      <c r="V163" s="95">
        <f t="shared" si="104"/>
        <v>0</v>
      </c>
      <c r="W163" s="81"/>
      <c r="X163" s="95"/>
      <c r="Y163" s="95"/>
      <c r="Z163" s="95"/>
      <c r="AA163" s="95"/>
      <c r="AC163" s="295">
        <f t="shared" si="105"/>
        <v>0</v>
      </c>
    </row>
    <row r="164" spans="1:29" x14ac:dyDescent="0.3">
      <c r="A164" s="8">
        <f>(42079.89+12394.27)*1.1</f>
        <v>59921.576000000008</v>
      </c>
      <c r="B164" s="8">
        <f>(38698.04+4696.58)*1.1</f>
        <v>47734.082000000009</v>
      </c>
      <c r="C164" s="8">
        <v>49370.541000000005</v>
      </c>
      <c r="D164" s="8">
        <v>40101.589</v>
      </c>
      <c r="E164" s="8">
        <v>67126.62</v>
      </c>
      <c r="F164" s="8">
        <v>44292.754000000001</v>
      </c>
      <c r="G164" s="8">
        <v>80315.796000000002</v>
      </c>
      <c r="H164" s="8">
        <v>69348.257000000012</v>
      </c>
      <c r="I164" s="8">
        <v>110042.944</v>
      </c>
      <c r="J164" s="8">
        <f>(130.52+206445.5+30470.82)*1.1</f>
        <v>260751.524</v>
      </c>
      <c r="K164" s="8">
        <v>77000</v>
      </c>
      <c r="L164" s="8">
        <v>77000</v>
      </c>
      <c r="M164" s="13" t="s">
        <v>218</v>
      </c>
      <c r="N164" s="7">
        <f t="shared" ref="N164:N168" si="112">SUM(0)</f>
        <v>0</v>
      </c>
      <c r="O164" s="7">
        <f t="shared" ref="O164:O168" si="113">SUM(A164:L164)</f>
        <v>983005.68300000008</v>
      </c>
      <c r="P164" s="8">
        <f t="shared" si="103"/>
        <v>983005.68300000008</v>
      </c>
      <c r="Q164" s="8">
        <v>983005.68299999996</v>
      </c>
      <c r="R164" s="8">
        <f t="shared" ref="R164:R168" si="114">Q164-P164</f>
        <v>0</v>
      </c>
      <c r="S164" s="8">
        <v>150000</v>
      </c>
      <c r="T164" s="8">
        <f>CEO!T164+CS!T164+CFO!T164+LLA!T164+'C&amp;E'!T164+CES!T164+LLT!T164+GB!T164</f>
        <v>0</v>
      </c>
      <c r="U164" s="8">
        <f t="shared" si="101"/>
        <v>1133005.683</v>
      </c>
      <c r="V164" s="8">
        <f t="shared" si="104"/>
        <v>149999.99999999988</v>
      </c>
      <c r="W164" s="8"/>
      <c r="X164" s="8"/>
      <c r="Y164" s="8"/>
      <c r="Z164" s="8">
        <v>983005.68299999996</v>
      </c>
      <c r="AA164" s="8">
        <f t="shared" ref="AA164" si="115">Z164*1.1</f>
        <v>1081306.2513000001</v>
      </c>
      <c r="AC164" s="295">
        <f t="shared" si="105"/>
        <v>0</v>
      </c>
    </row>
    <row r="165" spans="1:29" x14ac:dyDescent="0.3">
      <c r="A165" s="7">
        <v>0</v>
      </c>
      <c r="B165" s="7">
        <v>0</v>
      </c>
      <c r="C165" s="7">
        <f>Z165/4</f>
        <v>11036000</v>
      </c>
      <c r="D165" s="7">
        <v>0</v>
      </c>
      <c r="E165" s="7">
        <v>11036000</v>
      </c>
      <c r="F165" s="7">
        <v>0</v>
      </c>
      <c r="G165" s="7">
        <v>0</v>
      </c>
      <c r="H165" s="7">
        <v>11036000</v>
      </c>
      <c r="I165" s="7">
        <v>0</v>
      </c>
      <c r="J165" s="7">
        <v>0</v>
      </c>
      <c r="K165" s="7">
        <v>11036000</v>
      </c>
      <c r="L165" s="7">
        <v>0</v>
      </c>
      <c r="M165" s="388" t="s">
        <v>219</v>
      </c>
      <c r="N165" s="7">
        <f t="shared" si="112"/>
        <v>0</v>
      </c>
      <c r="O165" s="7">
        <f t="shared" si="113"/>
        <v>44144000</v>
      </c>
      <c r="P165" s="7">
        <f t="shared" si="103"/>
        <v>44144000</v>
      </c>
      <c r="Q165" s="7">
        <v>44144000</v>
      </c>
      <c r="R165" s="7">
        <f t="shared" si="114"/>
        <v>0</v>
      </c>
      <c r="S165" s="7">
        <f>CEO!S165+CS!S165+CFO!S165+LLA!S165+'C&amp;E'!S165+CES!S165+LLT!S165+GB!S165</f>
        <v>0</v>
      </c>
      <c r="T165" s="7">
        <f>CEO!T165+CS!T165+CFO!T165+LLA!T165+'C&amp;E'!T165+CES!T165+LLT!T165+GB!T165</f>
        <v>0</v>
      </c>
      <c r="U165" s="7">
        <f t="shared" si="101"/>
        <v>44144000</v>
      </c>
      <c r="V165" s="7">
        <f t="shared" si="104"/>
        <v>0</v>
      </c>
      <c r="W165" s="7"/>
      <c r="X165" s="7"/>
      <c r="Y165" s="7"/>
      <c r="Z165" s="7">
        <v>44144000</v>
      </c>
      <c r="AA165" s="7">
        <v>45688000</v>
      </c>
      <c r="AC165" s="295">
        <f t="shared" si="105"/>
        <v>0</v>
      </c>
    </row>
    <row r="166" spans="1:29" x14ac:dyDescent="0.3">
      <c r="A166" s="7">
        <v>0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13" t="s">
        <v>220</v>
      </c>
      <c r="N166" s="7">
        <f t="shared" si="112"/>
        <v>0</v>
      </c>
      <c r="O166" s="7">
        <f t="shared" si="113"/>
        <v>0</v>
      </c>
      <c r="P166" s="7">
        <f t="shared" si="103"/>
        <v>0</v>
      </c>
      <c r="Q166" s="7">
        <v>0</v>
      </c>
      <c r="R166" s="7">
        <f t="shared" si="114"/>
        <v>0</v>
      </c>
      <c r="S166" s="7">
        <v>2819000</v>
      </c>
      <c r="T166" s="7">
        <f>CEO!T166+CS!T166+CFO!T166+LLA!T166+'C&amp;E'!T166+CES!T166+LLT!T166+GB!T166</f>
        <v>0</v>
      </c>
      <c r="U166" s="7">
        <f t="shared" si="101"/>
        <v>2819000</v>
      </c>
      <c r="V166" s="7">
        <f t="shared" si="104"/>
        <v>2819000</v>
      </c>
      <c r="W166" s="7"/>
      <c r="X166" s="7"/>
      <c r="Y166" s="7"/>
      <c r="Z166" s="7">
        <v>0</v>
      </c>
      <c r="AA166" s="7">
        <v>0</v>
      </c>
      <c r="AC166" s="295">
        <f t="shared" si="105"/>
        <v>0</v>
      </c>
    </row>
    <row r="167" spans="1:29" x14ac:dyDescent="0.3">
      <c r="A167" s="7">
        <v>0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13" t="s">
        <v>221</v>
      </c>
      <c r="N167" s="7">
        <f t="shared" si="112"/>
        <v>0</v>
      </c>
      <c r="O167" s="7">
        <f t="shared" si="113"/>
        <v>0</v>
      </c>
      <c r="P167" s="7">
        <f t="shared" si="103"/>
        <v>0</v>
      </c>
      <c r="Q167" s="7">
        <v>0</v>
      </c>
      <c r="R167" s="7">
        <f t="shared" si="114"/>
        <v>0</v>
      </c>
      <c r="S167" s="7">
        <f>3528000</f>
        <v>3528000</v>
      </c>
      <c r="T167" s="7">
        <f>CEO!T167+CS!T167+CFO!T167+LLA!T167+'C&amp;E'!T167+CES!T167+LLT!T167+GB!T167</f>
        <v>0</v>
      </c>
      <c r="U167" s="7">
        <f t="shared" si="101"/>
        <v>3528000</v>
      </c>
      <c r="V167" s="7">
        <f t="shared" si="104"/>
        <v>3528000</v>
      </c>
      <c r="W167" s="7"/>
      <c r="X167" s="7"/>
      <c r="Y167" s="7"/>
      <c r="Z167" s="7">
        <v>0</v>
      </c>
      <c r="AA167" s="7">
        <v>0</v>
      </c>
      <c r="AC167" s="295">
        <f t="shared" si="105"/>
        <v>0</v>
      </c>
    </row>
    <row r="168" spans="1:29" x14ac:dyDescent="0.3">
      <c r="A168" s="11">
        <v>0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388" t="s">
        <v>222</v>
      </c>
      <c r="N168" s="7">
        <f t="shared" si="112"/>
        <v>0</v>
      </c>
      <c r="O168" s="7">
        <f t="shared" si="113"/>
        <v>0</v>
      </c>
      <c r="P168" s="11">
        <f t="shared" si="103"/>
        <v>0</v>
      </c>
      <c r="Q168" s="11"/>
      <c r="R168" s="11">
        <f t="shared" si="114"/>
        <v>0</v>
      </c>
      <c r="S168" s="11">
        <f>CEO!S168+CS!S168+CFO!S168+LLA!S168+'C&amp;E'!S168+CES!S168+LLT!S168+GB!S168</f>
        <v>0</v>
      </c>
      <c r="T168" s="11">
        <f>CEO!T168+CS!T168+CFO!T168+LLA!T168+'C&amp;E'!T168+CES!T168+LLT!T168+GB!T168</f>
        <v>0</v>
      </c>
      <c r="U168" s="11">
        <f t="shared" si="101"/>
        <v>0</v>
      </c>
      <c r="V168" s="11">
        <f t="shared" si="104"/>
        <v>0</v>
      </c>
      <c r="W168" s="11"/>
      <c r="X168" s="11"/>
      <c r="Y168" s="11"/>
      <c r="Z168" s="11"/>
      <c r="AA168" s="11"/>
      <c r="AC168" s="295">
        <f t="shared" si="105"/>
        <v>0</v>
      </c>
    </row>
    <row r="169" spans="1:29" ht="4.2" customHeight="1" x14ac:dyDescent="0.3">
      <c r="A169" s="81"/>
      <c r="B169" s="81"/>
      <c r="C169" s="81"/>
      <c r="D169" s="82"/>
      <c r="E169" s="97"/>
      <c r="F169" s="96"/>
      <c r="G169" s="96"/>
      <c r="H169" s="96"/>
      <c r="I169" s="96"/>
      <c r="J169" s="96"/>
      <c r="K169" s="96"/>
      <c r="L169" s="96"/>
      <c r="M169" s="13"/>
      <c r="N169" s="96">
        <f t="shared" si="106"/>
        <v>0</v>
      </c>
      <c r="O169" s="96">
        <f t="shared" si="107"/>
        <v>0</v>
      </c>
      <c r="P169" s="96">
        <f t="shared" si="103"/>
        <v>0</v>
      </c>
      <c r="Q169" s="96"/>
      <c r="R169" s="96">
        <f t="shared" si="108"/>
        <v>0</v>
      </c>
      <c r="S169" s="96">
        <f>CEO!S169+CS!S169+CFO!S169+LLA!S169+'C&amp;E'!S169+CES!S169+LLT!S169+GB!S169</f>
        <v>0</v>
      </c>
      <c r="T169" s="96">
        <f>CEO!T169+CS!T169+CFO!T169+LLA!T169+'C&amp;E'!T169+CES!T169+LLT!T169+GB!T169</f>
        <v>0</v>
      </c>
      <c r="U169" s="96">
        <f t="shared" si="101"/>
        <v>0</v>
      </c>
      <c r="V169" s="96">
        <f t="shared" si="104"/>
        <v>0</v>
      </c>
      <c r="W169" s="81"/>
      <c r="X169" s="96"/>
      <c r="Y169" s="96"/>
      <c r="Z169" s="96"/>
      <c r="AA169" s="96"/>
      <c r="AC169" s="295">
        <f t="shared" si="105"/>
        <v>0</v>
      </c>
    </row>
    <row r="170" spans="1:29" x14ac:dyDescent="0.3">
      <c r="A170" s="4">
        <f>A162+SUM(A164:A168)</f>
        <v>828852.37600000005</v>
      </c>
      <c r="B170" s="4">
        <f t="shared" ref="B170:O170" si="116">B162+SUM(B164:B168)</f>
        <v>1311911.8320000002</v>
      </c>
      <c r="C170" s="4">
        <f t="shared" si="116"/>
        <v>11683117.558999998</v>
      </c>
      <c r="D170" s="4">
        <f t="shared" si="116"/>
        <v>749270.48900000018</v>
      </c>
      <c r="E170" s="4">
        <f t="shared" si="116"/>
        <v>12257103.619999999</v>
      </c>
      <c r="F170" s="4">
        <f t="shared" si="116"/>
        <v>881800.30400000012</v>
      </c>
      <c r="G170" s="4">
        <f t="shared" si="116"/>
        <v>1159467.6060000001</v>
      </c>
      <c r="H170" s="4">
        <f>H162+SUM(H164:H168)</f>
        <v>12178600.106999999</v>
      </c>
      <c r="I170" s="4">
        <f t="shared" si="116"/>
        <v>1014324.344</v>
      </c>
      <c r="J170" s="4">
        <f t="shared" si="116"/>
        <v>1356209.8990000002</v>
      </c>
      <c r="K170" s="4">
        <f t="shared" si="116"/>
        <v>12404887.85</v>
      </c>
      <c r="L170" s="4">
        <f t="shared" si="116"/>
        <v>1368887.8500000003</v>
      </c>
      <c r="M170" s="13" t="s">
        <v>223</v>
      </c>
      <c r="N170" s="4">
        <f>N162+SUM(N164:N168)</f>
        <v>0</v>
      </c>
      <c r="O170" s="4">
        <f t="shared" si="116"/>
        <v>57194433.836000003</v>
      </c>
      <c r="P170" s="4">
        <f>P162+SUM(P164:P168)</f>
        <v>57194433.836000003</v>
      </c>
      <c r="Q170" s="4">
        <f>SUM(Q162:Q168)</f>
        <v>57304433.836000003</v>
      </c>
      <c r="R170" s="4">
        <f>SUM(R162:R168)</f>
        <v>110000</v>
      </c>
      <c r="S170" s="4">
        <f>SUM(S162:S168)</f>
        <v>6868993</v>
      </c>
      <c r="T170" s="4">
        <f>CEO!T170+CS!T170+CFO!T170+LLA!T170+'C&amp;E'!T170+CES!T170+LLT!T170+GB!T170</f>
        <v>0</v>
      </c>
      <c r="U170" s="4">
        <f t="shared" si="101"/>
        <v>64173426.836000003</v>
      </c>
      <c r="V170" s="4">
        <f t="shared" si="104"/>
        <v>6978993</v>
      </c>
      <c r="W170" s="4"/>
      <c r="X170" s="4"/>
      <c r="Y170" s="4"/>
      <c r="Z170" s="4">
        <f>SUM(Z162:Z168)</f>
        <v>57304433.836000003</v>
      </c>
      <c r="AA170" s="4">
        <f>SUM(AA162:AA168)</f>
        <v>60164477.219599999</v>
      </c>
      <c r="AC170" s="295">
        <f t="shared" si="105"/>
        <v>0</v>
      </c>
    </row>
    <row r="171" spans="1:29" ht="7.95" customHeight="1" x14ac:dyDescent="0.3">
      <c r="A171" s="99"/>
      <c r="B171" s="99"/>
      <c r="C171" s="99"/>
      <c r="D171" s="100"/>
      <c r="E171" s="98"/>
      <c r="I171" s="78"/>
      <c r="K171" s="78"/>
      <c r="L171" s="78"/>
      <c r="M171" s="13"/>
      <c r="N171" s="78">
        <f t="shared" si="106"/>
        <v>0</v>
      </c>
      <c r="O171" s="78">
        <f t="shared" si="107"/>
        <v>0</v>
      </c>
      <c r="P171" s="78">
        <f t="shared" si="103"/>
        <v>0</v>
      </c>
      <c r="Q171" s="78"/>
      <c r="R171" s="78">
        <f t="shared" si="108"/>
        <v>0</v>
      </c>
      <c r="S171" s="78">
        <f>CEO!S171+CS!S171+CFO!S171+LLA!S171+'C&amp;E'!S171+CES!S171+LLT!S171+GB!S171</f>
        <v>0</v>
      </c>
      <c r="T171" s="78">
        <f>CEO!T171+CS!T171+CFO!T171+LLA!T171+'C&amp;E'!T171+CES!T171+LLT!T171+GB!T171</f>
        <v>0</v>
      </c>
      <c r="U171" s="78">
        <f t="shared" si="101"/>
        <v>0</v>
      </c>
      <c r="V171" s="78">
        <f t="shared" si="104"/>
        <v>0</v>
      </c>
      <c r="W171" s="99"/>
      <c r="X171" s="78"/>
      <c r="Y171" s="78"/>
      <c r="Z171" s="78"/>
      <c r="AA171" s="78"/>
      <c r="AC171" s="295">
        <f t="shared" si="105"/>
        <v>0</v>
      </c>
    </row>
    <row r="172" spans="1:29" x14ac:dyDescent="0.3">
      <c r="A172" s="4">
        <f>A129-A170</f>
        <v>3420533.908269166</v>
      </c>
      <c r="B172" s="4">
        <f>B129-B170</f>
        <v>3353509.0623893784</v>
      </c>
      <c r="C172" s="4">
        <f>C129-C170</f>
        <v>-6700043.9971663924</v>
      </c>
      <c r="D172" s="4">
        <f>D129-D170</f>
        <v>4431771.9757165797</v>
      </c>
      <c r="E172" s="4">
        <f>E129-E170</f>
        <v>-7547851.3724063924</v>
      </c>
      <c r="F172" s="4">
        <f t="shared" ref="F172:L172" si="117">F129-F170</f>
        <v>3910930.2335136062</v>
      </c>
      <c r="G172" s="4">
        <f>G129-G170</f>
        <v>3404951.0886365804</v>
      </c>
      <c r="H172" s="4">
        <f t="shared" si="117"/>
        <v>-6192518.3395209843</v>
      </c>
      <c r="I172" s="4">
        <f>I129-I170</f>
        <v>3475618.0002381387</v>
      </c>
      <c r="J172" s="4">
        <f t="shared" si="117"/>
        <v>3160649.2561165793</v>
      </c>
      <c r="K172" s="4">
        <f t="shared" si="117"/>
        <v>-7869195.4203844704</v>
      </c>
      <c r="L172" s="4">
        <f t="shared" si="117"/>
        <v>3292596.904631746</v>
      </c>
      <c r="M172" s="13" t="s">
        <v>224</v>
      </c>
      <c r="N172" s="4">
        <f>N129-N170</f>
        <v>0</v>
      </c>
      <c r="O172" s="4">
        <f>O129-O170</f>
        <v>140951.30003352463</v>
      </c>
      <c r="P172" s="4">
        <f t="shared" ref="P172" si="118">P129-P170</f>
        <v>140951.30003352463</v>
      </c>
      <c r="Q172" s="4">
        <f>Q129-Q170</f>
        <v>30951.55475153029</v>
      </c>
      <c r="R172" s="4">
        <f>R129-R170</f>
        <v>-109999.74528200002</v>
      </c>
      <c r="S172" s="4">
        <f>S129-S170</f>
        <v>-0.39478858839720488</v>
      </c>
      <c r="T172" s="4">
        <f t="shared" ref="T172" si="119">T129-T170</f>
        <v>-0.39194171888175333</v>
      </c>
      <c r="U172" s="4">
        <f>U129-U170</f>
        <v>30950.768021225929</v>
      </c>
      <c r="V172" s="4">
        <f t="shared" si="104"/>
        <v>-110000.5320122987</v>
      </c>
      <c r="W172" s="4"/>
      <c r="X172" s="4"/>
      <c r="Y172" s="4"/>
      <c r="Z172" s="4">
        <f>Z129-Z170</f>
        <v>-11449.096140004694</v>
      </c>
      <c r="AA172" s="4">
        <f>AA129-AA170</f>
        <v>15530.852033413947</v>
      </c>
      <c r="AC172" s="295">
        <f t="shared" si="105"/>
        <v>42400.650891534984</v>
      </c>
    </row>
    <row r="173" spans="1:29" x14ac:dyDescent="0.3">
      <c r="A173" s="101"/>
      <c r="B173" s="101"/>
      <c r="C173" s="101"/>
      <c r="D173" s="102"/>
      <c r="E173" s="98"/>
      <c r="M173" s="123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</row>
    <row r="174" spans="1:29" x14ac:dyDescent="0.3">
      <c r="A174" s="103"/>
      <c r="B174" s="103"/>
      <c r="C174" s="103"/>
      <c r="D174" s="104"/>
      <c r="M174" s="12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</row>
    <row r="175" spans="1:29" x14ac:dyDescent="0.3">
      <c r="A175" s="103"/>
      <c r="B175" s="103"/>
      <c r="C175" s="103"/>
      <c r="D175" s="104"/>
      <c r="M175" s="12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</row>
    <row r="176" spans="1:29" x14ac:dyDescent="0.3">
      <c r="A176" s="105"/>
      <c r="B176" s="105"/>
      <c r="C176" s="105"/>
      <c r="D176" s="104"/>
      <c r="G176" s="98"/>
      <c r="L176" s="329"/>
      <c r="M176" s="123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</row>
    <row r="177" spans="1:23" x14ac:dyDescent="0.3">
      <c r="A177" s="103"/>
      <c r="B177" s="103"/>
      <c r="C177" s="103"/>
      <c r="D177" s="104"/>
      <c r="G177" s="98"/>
      <c r="L177" s="330"/>
      <c r="M177" s="12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</row>
    <row r="178" spans="1:23" x14ac:dyDescent="0.3">
      <c r="A178" s="105"/>
      <c r="B178" s="105"/>
      <c r="C178" s="105"/>
      <c r="D178" s="104"/>
      <c r="G178" s="98"/>
      <c r="L178" s="330"/>
      <c r="M178" s="123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</row>
    <row r="179" spans="1:23" x14ac:dyDescent="0.3">
      <c r="A179" s="15"/>
      <c r="B179" s="15"/>
      <c r="C179" s="15"/>
      <c r="D179" s="106"/>
      <c r="L179" s="78"/>
      <c r="M179" s="123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:23" x14ac:dyDescent="0.3">
      <c r="A180" s="15"/>
      <c r="B180" s="15"/>
      <c r="C180" s="15"/>
      <c r="D180" s="106"/>
      <c r="L180" s="78"/>
      <c r="M180" s="123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310" spans="194:194" x14ac:dyDescent="0.3">
      <c r="GL310" s="167" t="s">
        <v>404</v>
      </c>
    </row>
  </sheetData>
  <mergeCells count="4">
    <mergeCell ref="M1:N1"/>
    <mergeCell ref="A3:L3"/>
    <mergeCell ref="N3:W3"/>
    <mergeCell ref="M4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GM310"/>
  <sheetViews>
    <sheetView zoomScale="63" zoomScaleNormal="63" workbookViewId="0">
      <pane xSplit="13" ySplit="6" topLeftCell="N7" activePane="bottomRight" state="frozen"/>
      <selection pane="topRight" activeCell="N1" sqref="N1"/>
      <selection pane="bottomLeft" activeCell="A7" sqref="A7"/>
      <selection pane="bottomRight" activeCell="M7" sqref="M7:M129"/>
    </sheetView>
  </sheetViews>
  <sheetFormatPr defaultColWidth="9.109375" defaultRowHeight="14.4" x14ac:dyDescent="0.3"/>
  <cols>
    <col min="1" max="2" width="14.33203125" style="107" customWidth="1"/>
    <col min="3" max="3" width="15.88671875" style="107" bestFit="1" customWidth="1"/>
    <col min="4" max="4" width="14.33203125" style="108" customWidth="1"/>
    <col min="5" max="5" width="15.88671875" style="78" bestFit="1" customWidth="1"/>
    <col min="6" max="7" width="14.33203125" style="78" customWidth="1"/>
    <col min="8" max="8" width="15.44140625" style="78" bestFit="1" customWidth="1"/>
    <col min="9" max="9" width="14.33203125" style="77" customWidth="1"/>
    <col min="10" max="10" width="14.33203125" style="78" customWidth="1"/>
    <col min="11" max="11" width="15.88671875" style="79" bestFit="1" customWidth="1"/>
    <col min="12" max="12" width="14.33203125" style="79" customWidth="1"/>
    <col min="13" max="13" width="64.5546875" style="121" customWidth="1"/>
    <col min="14" max="14" width="17" style="107" hidden="1" customWidth="1"/>
    <col min="15" max="15" width="15.5546875" style="107" hidden="1" customWidth="1"/>
    <col min="16" max="16" width="16" style="107" hidden="1" customWidth="1"/>
    <col min="17" max="17" width="16.6640625" style="107" hidden="1" customWidth="1"/>
    <col min="18" max="18" width="15.109375" style="107" hidden="1" customWidth="1"/>
    <col min="19" max="19" width="15.33203125" style="107" hidden="1" customWidth="1"/>
    <col min="20" max="20" width="13.44140625" style="107" hidden="1" customWidth="1"/>
    <col min="21" max="21" width="16.88671875" style="107" hidden="1" customWidth="1"/>
    <col min="22" max="22" width="15.109375" style="107" hidden="1" customWidth="1"/>
    <col min="23" max="23" width="20.33203125" style="107" hidden="1" customWidth="1"/>
    <col min="24" max="24" width="20.109375" style="18" hidden="1" customWidth="1"/>
    <col min="25" max="25" width="18" style="18" hidden="1" customWidth="1"/>
    <col min="26" max="26" width="17" style="18" bestFit="1" customWidth="1"/>
    <col min="27" max="27" width="17" style="18" customWidth="1"/>
    <col min="28" max="28" width="16.33203125" style="18" customWidth="1"/>
    <col min="29" max="16384" width="9.109375" style="18"/>
  </cols>
  <sheetData>
    <row r="1" spans="1:30" ht="17.399999999999999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>
        <f>110/100</f>
        <v>1.1000000000000001</v>
      </c>
      <c r="L1" s="166">
        <v>1.0999999999999999E-2</v>
      </c>
      <c r="M1" s="407" t="s">
        <v>410</v>
      </c>
      <c r="N1" s="407"/>
      <c r="O1" s="126"/>
      <c r="P1" s="126"/>
      <c r="Q1" s="237"/>
      <c r="R1" s="126"/>
      <c r="S1" s="343"/>
      <c r="T1" s="319"/>
      <c r="U1" s="319"/>
      <c r="V1" s="319"/>
      <c r="W1" s="126"/>
    </row>
    <row r="2" spans="1:30" ht="24.6" hidden="1" customHeight="1" x14ac:dyDescent="0.4">
      <c r="A2" s="75"/>
      <c r="B2" s="75"/>
      <c r="C2" s="75"/>
      <c r="D2" s="76"/>
      <c r="E2" s="75"/>
      <c r="F2" s="75"/>
      <c r="G2" s="75"/>
      <c r="H2" s="75"/>
      <c r="M2" s="120" t="s">
        <v>68</v>
      </c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0" ht="17.399999999999999" customHeight="1" x14ac:dyDescent="0.3">
      <c r="A3" s="408" t="s">
        <v>231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14" t="s">
        <v>69</v>
      </c>
      <c r="N3" s="424" t="s">
        <v>226</v>
      </c>
      <c r="O3" s="425"/>
      <c r="P3" s="425"/>
      <c r="Q3" s="425"/>
      <c r="R3" s="425"/>
      <c r="S3" s="425"/>
      <c r="T3" s="425"/>
      <c r="U3" s="425"/>
      <c r="V3" s="425"/>
      <c r="W3" s="425"/>
      <c r="Z3" s="382">
        <v>4.8000000000000001E-2</v>
      </c>
      <c r="AA3" s="382">
        <v>4.8000000000000001E-2</v>
      </c>
      <c r="AB3" s="382">
        <v>4.7E-2</v>
      </c>
    </row>
    <row r="4" spans="1:30" ht="77.25" customHeight="1" x14ac:dyDescent="0.3">
      <c r="A4" s="125">
        <v>43922</v>
      </c>
      <c r="B4" s="125">
        <v>43952</v>
      </c>
      <c r="C4" s="125">
        <v>43983</v>
      </c>
      <c r="D4" s="125">
        <v>44013</v>
      </c>
      <c r="E4" s="125">
        <v>44044</v>
      </c>
      <c r="F4" s="125">
        <v>44075</v>
      </c>
      <c r="G4" s="125">
        <v>44105</v>
      </c>
      <c r="H4" s="125">
        <v>44136</v>
      </c>
      <c r="I4" s="125">
        <v>44166</v>
      </c>
      <c r="J4" s="125">
        <v>44197</v>
      </c>
      <c r="K4" s="125">
        <v>44228</v>
      </c>
      <c r="L4" s="125">
        <v>44256</v>
      </c>
      <c r="M4" s="395" t="s">
        <v>230</v>
      </c>
      <c r="N4" s="243" t="s">
        <v>367</v>
      </c>
      <c r="O4" s="243" t="s">
        <v>368</v>
      </c>
      <c r="P4" s="243" t="s">
        <v>18</v>
      </c>
      <c r="Q4" s="243" t="s">
        <v>235</v>
      </c>
      <c r="R4" s="243" t="s">
        <v>228</v>
      </c>
      <c r="S4" s="243" t="s">
        <v>378</v>
      </c>
      <c r="T4" s="243" t="s">
        <v>294</v>
      </c>
      <c r="U4" s="243" t="s">
        <v>74</v>
      </c>
      <c r="V4" s="243" t="s">
        <v>295</v>
      </c>
      <c r="W4" s="243" t="s">
        <v>229</v>
      </c>
      <c r="X4" s="243" t="s">
        <v>402</v>
      </c>
      <c r="Y4" s="243" t="s">
        <v>403</v>
      </c>
      <c r="Z4" s="243" t="s">
        <v>406</v>
      </c>
      <c r="AA4" s="243" t="s">
        <v>407</v>
      </c>
      <c r="AB4" s="243" t="s">
        <v>408</v>
      </c>
    </row>
    <row r="5" spans="1:30" ht="42" customHeight="1" x14ac:dyDescent="0.3">
      <c r="A5" s="10" t="s">
        <v>1</v>
      </c>
      <c r="B5" s="10" t="s">
        <v>1</v>
      </c>
      <c r="C5" s="10" t="s">
        <v>1</v>
      </c>
      <c r="D5" s="10" t="s">
        <v>1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396"/>
      <c r="N5" s="10" t="s">
        <v>369</v>
      </c>
      <c r="O5" s="10" t="s">
        <v>1</v>
      </c>
      <c r="P5" s="289" t="s">
        <v>329</v>
      </c>
      <c r="Q5" s="289" t="s">
        <v>241</v>
      </c>
      <c r="R5" s="10" t="s">
        <v>399</v>
      </c>
      <c r="S5" s="289" t="s">
        <v>235</v>
      </c>
      <c r="T5" s="289" t="s">
        <v>235</v>
      </c>
      <c r="U5" s="289" t="s">
        <v>235</v>
      </c>
      <c r="V5" s="10" t="s">
        <v>399</v>
      </c>
      <c r="W5" s="10" t="s">
        <v>400</v>
      </c>
      <c r="X5" s="289" t="s">
        <v>235</v>
      </c>
      <c r="Y5" s="289" t="s">
        <v>401</v>
      </c>
      <c r="Z5" s="289" t="s">
        <v>409</v>
      </c>
      <c r="AA5" s="289" t="s">
        <v>409</v>
      </c>
      <c r="AB5" s="289" t="s">
        <v>409</v>
      </c>
    </row>
    <row r="6" spans="1:30" ht="3" customHeight="1" x14ac:dyDescent="0.3">
      <c r="A6" s="1"/>
      <c r="B6" s="1"/>
      <c r="C6" s="1"/>
      <c r="D6" s="1"/>
      <c r="E6" s="1"/>
      <c r="F6" s="1"/>
      <c r="G6" s="1"/>
      <c r="H6" s="1"/>
      <c r="I6" s="5"/>
      <c r="J6" s="1"/>
      <c r="K6" s="1"/>
      <c r="L6" s="1"/>
      <c r="M6" s="12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0" x14ac:dyDescent="0.3">
      <c r="A7" s="8">
        <f>CEO!A7+CS!A7+CFO!A7+LLA!A7+'C&amp;E'!A7+CES!A7+LLT!A7+GB!A7</f>
        <v>0</v>
      </c>
      <c r="B7" s="8">
        <f>CEO!B7+CS!B7+CFO!B7+LLA!B7+'C&amp;E'!B7+CES!B7+LLT!B7+GB!B7</f>
        <v>60109.515933333336</v>
      </c>
      <c r="C7" s="8">
        <f>CEO!C7+CS!C7+CFO!C7+LLA!C7+'C&amp;E'!C7+CES!C7+LLT!C7+GB!C7</f>
        <v>0</v>
      </c>
      <c r="D7" s="8">
        <f>CEO!D7+CS!D7+CFO!D7+LLA!D7+'C&amp;E'!D7+CES!D7+LLT!D7+GB!D7</f>
        <v>60109.515933333336</v>
      </c>
      <c r="E7" s="8">
        <f>CEO!E7+CS!E7+CFO!E7+LLA!E7+'C&amp;E'!E7+CES!E7+LLT!E7+GB!E7</f>
        <v>0</v>
      </c>
      <c r="F7" s="8">
        <f>CEO!F7+CS!F7+CFO!F7+LLA!F7+'C&amp;E'!F7+CES!F7+LLT!F7+GB!F7</f>
        <v>0</v>
      </c>
      <c r="G7" s="8">
        <f>CEO!G7+CS!G7+CFO!G7+LLA!G7+'C&amp;E'!G7+CES!G7+LLT!G7+GB!G7</f>
        <v>60109.515933333336</v>
      </c>
      <c r="H7" s="8">
        <f>CEO!H7+CS!H7+CFO!H7+LLA!H7+'C&amp;E'!H7+CES!H7+LLT!H7+GB!H7</f>
        <v>60109.515933333336</v>
      </c>
      <c r="I7" s="8">
        <f>CEO!I7+CS!I7+CFO!I7+LLA!I7+'C&amp;E'!I7+CES!I7+LLT!I7+GB!I7</f>
        <v>0</v>
      </c>
      <c r="J7" s="8">
        <f>CEO!J7+CS!J7+CFO!J7+LLA!J7+'C&amp;E'!J7+CES!J7+LLT!J7+GB!J7</f>
        <v>60109.515933333336</v>
      </c>
      <c r="K7" s="8">
        <f>CEO!K7+CS!K7+CFO!K7+LLA!K7+'C&amp;E'!K7+CES!K7+LLT!K7+GB!K7</f>
        <v>0</v>
      </c>
      <c r="L7" s="8">
        <f>CEO!L7+CS!L7+CFO!L7+LLA!L7+'C&amp;E'!L7+CES!L7+LLT!L7+GB!L7</f>
        <v>60109.515933333336</v>
      </c>
      <c r="M7" s="127" t="s">
        <v>414</v>
      </c>
      <c r="N7" s="8">
        <f>SUM(A7:J7)</f>
        <v>300547.57966666669</v>
      </c>
      <c r="O7" s="8">
        <f>SUM(K7:L7)</f>
        <v>60109.515933333336</v>
      </c>
      <c r="P7" s="8">
        <f>SUM(N7:O7)</f>
        <v>360657.0956</v>
      </c>
      <c r="Q7" s="8">
        <f>CEO!Q7+CS!Q7+CFO!Q7+LLA!Q7+'C&amp;E'!Q7+CES!Q7+LLT!Q7+GB!Q7</f>
        <v>360657.0956</v>
      </c>
      <c r="R7" s="8">
        <f>Q7-P7</f>
        <v>0</v>
      </c>
      <c r="S7" s="8">
        <v>0</v>
      </c>
      <c r="T7" s="8">
        <f>CEO!T7+CS!T7+CFO!T7+LLA!T7+'C&amp;E'!T7+CES!T7+LLT!T7+GB!T7</f>
        <v>-5163.7524699999485</v>
      </c>
      <c r="U7" s="8">
        <f>CEO!U7+CS!U7+CFO!U7+LLA!U7+'C&amp;E'!U7+CES!U7+LLT!U7+GB!U7</f>
        <v>355493.34313000005</v>
      </c>
      <c r="V7" s="8">
        <f>U7-P7</f>
        <v>-5163.7524699999485</v>
      </c>
      <c r="W7" s="8"/>
      <c r="X7" s="8">
        <f>CEO!Q7+CS!Q7+CFO!Q7+LLA!Q7+'C&amp;E'!Q7+CES!Q7+LLT!Q7+GB!Q7</f>
        <v>360657.0956</v>
      </c>
      <c r="Y7" s="8">
        <f>X7-Q7</f>
        <v>0</v>
      </c>
      <c r="Z7" s="8">
        <f>Q7</f>
        <v>360657.0956</v>
      </c>
      <c r="AA7" s="8">
        <f>Z7*(1+AA$3)</f>
        <v>377968.63618880004</v>
      </c>
      <c r="AB7" s="8">
        <f t="shared" ref="AB7:AB16" si="0">AA7*(1+AB$3)</f>
        <v>395733.16208967363</v>
      </c>
    </row>
    <row r="8" spans="1:30" x14ac:dyDescent="0.3">
      <c r="A8" s="7">
        <f>CEO!A8+CS!A8+CFO!A8+LLA!A8+'C&amp;E'!A8+CES!A8+LLT!A8+GB!A8</f>
        <v>2610331.1068600002</v>
      </c>
      <c r="B8" s="7">
        <f>CEO!B8+CS!B8+CFO!B8+LLA!B8+'C&amp;E'!B8+CES!B8+LLT!B8+GB!B8</f>
        <v>2655397.64817724</v>
      </c>
      <c r="C8" s="7">
        <f>CEO!C8+CS!C8+CFO!C8+LLA!C8+'C&amp;E'!C8+CES!C8+LLT!C8+GB!C8</f>
        <v>2791140.8284950005</v>
      </c>
      <c r="D8" s="7">
        <f>CEO!D8+CS!D8+CFO!D8+LLA!D8+'C&amp;E'!D8+CES!D8+LLT!D8+GB!D8</f>
        <v>2791140.8284950005</v>
      </c>
      <c r="E8" s="7">
        <f>CEO!E8+CS!E8+CFO!E8+LLA!E8+'C&amp;E'!E8+CES!E8+LLT!E8+GB!E8</f>
        <v>2791140.8284950005</v>
      </c>
      <c r="F8" s="7">
        <f>CEO!F8+CS!F8+CFO!F8+LLA!F8+'C&amp;E'!F8+CES!F8+LLT!F8+GB!F8</f>
        <v>2791140.8284950005</v>
      </c>
      <c r="G8" s="7">
        <f>CEO!G8+CS!G8+CFO!G8+LLA!G8+'C&amp;E'!G8+CES!G8+LLT!G8+GB!G8</f>
        <v>2791140.8284950005</v>
      </c>
      <c r="H8" s="7">
        <f>CEO!H8+CS!H8+CFO!H8+LLA!H8+'C&amp;E'!H8+CES!H8+LLT!H8+GB!H8</f>
        <v>2791140.8284950005</v>
      </c>
      <c r="I8" s="7">
        <f>CEO!I8+CS!I8+CFO!I8+LLA!I8+'C&amp;E'!I8+CES!I8+LLT!I8+GB!I8</f>
        <v>2791140.8284950005</v>
      </c>
      <c r="J8" s="7">
        <f>CEO!J8+CS!J8+CFO!J8+LLA!J8+'C&amp;E'!J8+CES!J8+LLT!J8+GB!J8</f>
        <v>2791140.8284950005</v>
      </c>
      <c r="K8" s="7">
        <f>CEO!K8+CS!K8+CFO!K8+LLA!K8+'C&amp;E'!K8+CES!K8+LLT!K8+GB!K8</f>
        <v>2791140.8284950005</v>
      </c>
      <c r="L8" s="7">
        <f>CEO!L8+CS!L8+CFO!L8+LLA!L8+'C&amp;E'!L8+CES!L8+LLT!L8+GB!L8</f>
        <v>2638715.7084950004</v>
      </c>
      <c r="M8" s="13" t="s">
        <v>415</v>
      </c>
      <c r="N8" s="7">
        <f>SUM(A8:J8)</f>
        <v>27594855.382997241</v>
      </c>
      <c r="O8" s="7">
        <f>SUM(K8:L8)</f>
        <v>5429856.5369900009</v>
      </c>
      <c r="P8" s="7">
        <f t="shared" ref="P8:P71" si="1">SUM(N8:O8)</f>
        <v>33024711.919987243</v>
      </c>
      <c r="Q8" s="7">
        <f>CEO!Q8+CS!Q8+CFO!Q8+LLA!Q8+'C&amp;E'!Q8+CES!Q8+LLT!Q8+GB!Q8</f>
        <v>33024711.919987243</v>
      </c>
      <c r="R8" s="7">
        <f t="shared" ref="R8:R16" si="2">Q8-P8</f>
        <v>0</v>
      </c>
      <c r="S8" s="202">
        <v>1869274</v>
      </c>
      <c r="T8" s="7">
        <f>CEO!T8+CS!T8+CFO!T8+LLA!T8+'C&amp;E'!T8+CES!T8+LLT!T8+GB!T8</f>
        <v>-1186874.3599999999</v>
      </c>
      <c r="U8" s="7">
        <f>S8+Q8+T8</f>
        <v>33707111.559987247</v>
      </c>
      <c r="V8" s="7">
        <f t="shared" ref="V8:V71" si="3">U8-P8</f>
        <v>682399.64000000432</v>
      </c>
      <c r="W8" s="7"/>
      <c r="X8" s="7">
        <f>CEO!Q8+CS!Q8+CFO!Q8+LLA!Q8+'C&amp;E'!Q8+CES!Q8+LLT!Q8+GB!Q8</f>
        <v>33024711.919987243</v>
      </c>
      <c r="Y8" s="202">
        <f>(X8-Q8)+2033523</f>
        <v>2033523</v>
      </c>
      <c r="Z8" s="7">
        <f t="shared" ref="Z8:Z16" si="4">Q8</f>
        <v>33024711.919987243</v>
      </c>
      <c r="AA8" s="7">
        <f>(Z8+(110312.6345*2)+(38264.686*2))*(1+AA3)</f>
        <v>34921316.155914634</v>
      </c>
      <c r="AB8" s="7">
        <f t="shared" si="0"/>
        <v>36562618.015242621</v>
      </c>
      <c r="AD8" s="18">
        <f>(110312.6345*2)+(38264.686*2)</f>
        <v>297154.641</v>
      </c>
    </row>
    <row r="9" spans="1:30" x14ac:dyDescent="0.3">
      <c r="A9" s="7">
        <f>CEO!A9+CS!A9+CFO!A9+LLA!A9+'C&amp;E'!A9+CES!A9+LLT!A9+GB!A9</f>
        <v>0</v>
      </c>
      <c r="B9" s="7">
        <f>CEO!B9+CS!B9+CFO!B9+LLA!B9+'C&amp;E'!B9+CES!B9+LLT!B9+GB!B9</f>
        <v>0</v>
      </c>
      <c r="C9" s="7">
        <f>CEO!C9+CS!C9+CFO!C9+LLA!C9+'C&amp;E'!C9+CES!C9+LLT!C9+GB!C9</f>
        <v>0</v>
      </c>
      <c r="D9" s="7">
        <f>CEO!D9+CS!D9+CFO!D9+LLA!D9+'C&amp;E'!D9+CES!D9+LLT!D9+GB!D9</f>
        <v>0</v>
      </c>
      <c r="E9" s="7">
        <f>CEO!E9+CS!E9+CFO!E9+LLA!E9+'C&amp;E'!E9+CES!E9+LLT!E9+GB!E9</f>
        <v>0</v>
      </c>
      <c r="F9" s="7">
        <f>CEO!F9+CS!F9+CFO!F9+LLA!F9+'C&amp;E'!F9+CES!F9+LLT!F9+GB!F9</f>
        <v>0</v>
      </c>
      <c r="G9" s="7">
        <f>CEO!G9+CS!G9+CFO!G9+LLA!G9+'C&amp;E'!G9+CES!G9+LLT!G9+GB!G9</f>
        <v>0</v>
      </c>
      <c r="H9" s="7">
        <f>CEO!H9+CS!H9+CFO!H9+LLA!H9+'C&amp;E'!H9+CES!H9+LLT!H9+GB!H9</f>
        <v>0</v>
      </c>
      <c r="I9" s="7">
        <f>CEO!I9+CS!I9+CFO!I9+LLA!I9+'C&amp;E'!I9+CES!I9+LLT!I9+GB!I9</f>
        <v>0</v>
      </c>
      <c r="J9" s="7">
        <f>CEO!J9+CS!J9+CFO!J9+LLA!J9+'C&amp;E'!J9+CES!J9+LLT!J9+GB!J9</f>
        <v>0</v>
      </c>
      <c r="K9" s="7">
        <f>CEO!K9+CS!K9+CFO!K9+LLA!K9+'C&amp;E'!K9+CES!K9+LLT!K9+GB!K9</f>
        <v>0</v>
      </c>
      <c r="L9" s="7">
        <f>CEO!L9+CS!L9+CFO!L9+LLA!L9+'C&amp;E'!L9+CES!L9+LLT!L9+GB!L9</f>
        <v>43789.632000000005</v>
      </c>
      <c r="M9" s="13" t="s">
        <v>416</v>
      </c>
      <c r="N9" s="7">
        <f t="shared" ref="N9:N16" si="5">SUM(A9:J9)</f>
        <v>0</v>
      </c>
      <c r="O9" s="7">
        <f t="shared" ref="O9:O71" si="6">SUM(K9:L9)</f>
        <v>43789.632000000005</v>
      </c>
      <c r="P9" s="7">
        <f t="shared" si="1"/>
        <v>43789.632000000005</v>
      </c>
      <c r="Q9" s="7">
        <f>CEO!Q9+CS!Q9+CFO!Q9+LLA!Q9+'C&amp;E'!Q9+CES!Q9+LLT!Q9+GB!Q9</f>
        <v>43789.632000000005</v>
      </c>
      <c r="R9" s="7">
        <f t="shared" si="2"/>
        <v>0</v>
      </c>
      <c r="S9" s="7">
        <v>0.12305581101099961</v>
      </c>
      <c r="T9" s="7">
        <f>CEO!T9+CS!T9+CFO!T9+LLA!T9+'C&amp;E'!T9+CES!T9+LLT!T9+GB!T9</f>
        <v>0</v>
      </c>
      <c r="U9" s="7">
        <f t="shared" ref="U9:U72" si="7">S9+Q9+T9</f>
        <v>43789.755055811016</v>
      </c>
      <c r="V9" s="7">
        <f t="shared" si="3"/>
        <v>0.12305581101099961</v>
      </c>
      <c r="W9" s="7"/>
      <c r="X9" s="7">
        <f>CEO!Q9+CS!Q9+CFO!Q9+LLA!Q9+'C&amp;E'!Q9+CES!Q9+LLT!Q9+GB!Q9</f>
        <v>43789.632000000005</v>
      </c>
      <c r="Y9" s="7">
        <f t="shared" ref="Y9:Y16" si="8">X9-Q9</f>
        <v>0</v>
      </c>
      <c r="Z9" s="7">
        <f t="shared" si="4"/>
        <v>43789.632000000005</v>
      </c>
      <c r="AA9" s="7">
        <f t="shared" ref="AA9:AA16" si="9">Z9*(1+AA$3)</f>
        <v>45891.534336000004</v>
      </c>
      <c r="AB9" s="7">
        <f t="shared" si="0"/>
        <v>48048.436449792003</v>
      </c>
    </row>
    <row r="10" spans="1:30" x14ac:dyDescent="0.3">
      <c r="A10" s="7">
        <f>CEO!A10+CS!A10+CFO!A10+LLA!A10+'C&amp;E'!A10+CES!A10+LLT!A10+GB!A10</f>
        <v>0</v>
      </c>
      <c r="B10" s="7">
        <f>CEO!B10+CS!B10+CFO!B10+LLA!B10+'C&amp;E'!B10+CES!B10+LLT!B10+GB!B10</f>
        <v>9432.509909639999</v>
      </c>
      <c r="C10" s="7">
        <f>CEO!C10+CS!C10+CFO!C10+LLA!C10+'C&amp;E'!C10+CES!C10+LLT!C10+GB!C10</f>
        <v>0</v>
      </c>
      <c r="D10" s="7">
        <f>CEO!D10+CS!D10+CFO!D10+LLA!D10+'C&amp;E'!D10+CES!D10+LLT!D10+GB!D10</f>
        <v>9432.509909639999</v>
      </c>
      <c r="E10" s="7">
        <f>CEO!E10+CS!E10+CFO!E10+LLA!E10+'C&amp;E'!E10+CES!E10+LLT!E10+GB!E10</f>
        <v>0</v>
      </c>
      <c r="F10" s="7">
        <f>CEO!F10+CS!F10+CFO!F10+LLA!F10+'C&amp;E'!F10+CES!F10+LLT!F10+GB!F10</f>
        <v>0</v>
      </c>
      <c r="G10" s="7">
        <f>CEO!G10+CS!G10+CFO!G10+LLA!G10+'C&amp;E'!G10+CES!G10+LLT!G10+GB!G10</f>
        <v>9432.509909639999</v>
      </c>
      <c r="H10" s="7">
        <f>CEO!H10+CS!H10+CFO!H10+LLA!H10+'C&amp;E'!H10+CES!H10+LLT!H10+GB!H10</f>
        <v>9432.509909639999</v>
      </c>
      <c r="I10" s="7">
        <f>CEO!I10+CS!I10+CFO!I10+LLA!I10+'C&amp;E'!I10+CES!I10+LLT!I10+GB!I10</f>
        <v>0</v>
      </c>
      <c r="J10" s="7">
        <f>CEO!J10+CS!J10+CFO!J10+LLA!J10+'C&amp;E'!J10+CES!J10+LLT!J10+GB!J10</f>
        <v>9432.509909639999</v>
      </c>
      <c r="K10" s="7">
        <f>CEO!K10+CS!K10+CFO!K10+LLA!K10+'C&amp;E'!K10+CES!K10+LLT!K10+GB!K10</f>
        <v>0</v>
      </c>
      <c r="L10" s="7">
        <f>CEO!L10+CS!L10+CFO!L10+LLA!L10+'C&amp;E'!L10+CES!L10+LLT!L10+GB!L10</f>
        <v>9432.509909639999</v>
      </c>
      <c r="M10" s="13" t="s">
        <v>417</v>
      </c>
      <c r="N10" s="7">
        <f>SUM(A10:J10)</f>
        <v>47162.549548199997</v>
      </c>
      <c r="O10" s="7">
        <f t="shared" si="6"/>
        <v>9432.509909639999</v>
      </c>
      <c r="P10" s="7">
        <f t="shared" si="1"/>
        <v>56595.059457839998</v>
      </c>
      <c r="Q10" s="7">
        <f>CEO!Q10+CS!Q10+CFO!Q10+LLA!Q10+'C&amp;E'!Q10+CES!Q10+LLT!Q10+GB!Q10</f>
        <v>56595.059457839998</v>
      </c>
      <c r="R10" s="7">
        <f t="shared" si="2"/>
        <v>0</v>
      </c>
      <c r="S10" s="7">
        <v>711</v>
      </c>
      <c r="T10" s="7">
        <f>CEO!T10+CS!T10+CFO!T10+LLA!T10+'C&amp;E'!T10+CES!T10+LLT!T10+GB!T10</f>
        <v>0</v>
      </c>
      <c r="U10" s="7">
        <f t="shared" si="7"/>
        <v>57306.059457839998</v>
      </c>
      <c r="V10" s="7">
        <f t="shared" si="3"/>
        <v>711</v>
      </c>
      <c r="W10" s="7"/>
      <c r="X10" s="7">
        <f>CEO!Q10+CS!Q10+CFO!Q10+LLA!Q10+'C&amp;E'!Q10+CES!Q10+LLT!Q10+GB!Q10</f>
        <v>56595.059457839998</v>
      </c>
      <c r="Y10" s="7">
        <f t="shared" si="8"/>
        <v>0</v>
      </c>
      <c r="Z10" s="7">
        <f t="shared" si="4"/>
        <v>56595.059457839998</v>
      </c>
      <c r="AA10" s="7">
        <f t="shared" si="9"/>
        <v>59311.622311816318</v>
      </c>
      <c r="AB10" s="7">
        <f t="shared" si="0"/>
        <v>62099.268560471683</v>
      </c>
    </row>
    <row r="11" spans="1:30" x14ac:dyDescent="0.3">
      <c r="A11" s="7">
        <f>CEO!A11+CS!A11+CFO!A11+LLA!A11+'C&amp;E'!A11+CES!A11+LLT!A11+GB!A11</f>
        <v>0</v>
      </c>
      <c r="B11" s="7">
        <f>CEO!B11+CS!B11+CFO!B11+LLA!B11+'C&amp;E'!B11+CES!B11+LLT!B11+GB!B11</f>
        <v>0</v>
      </c>
      <c r="C11" s="7">
        <f>CEO!C11+CS!C11+CFO!C11+LLA!C11+'C&amp;E'!C11+CES!C11+LLT!C11+GB!C11</f>
        <v>0</v>
      </c>
      <c r="D11" s="7">
        <f>CEO!D11+CS!D11+CFO!D11+LLA!D11+'C&amp;E'!D11+CES!D11+LLT!D11+GB!D11</f>
        <v>0</v>
      </c>
      <c r="E11" s="7">
        <f>CEO!E11+CS!E11+CFO!E11+LLA!E11+'C&amp;E'!E11+CES!E11+LLT!E11+GB!E11</f>
        <v>0</v>
      </c>
      <c r="F11" s="7">
        <f>CEO!F11+CS!F11+CFO!F11+LLA!F11+'C&amp;E'!F11+CES!F11+LLT!F11+GB!F11</f>
        <v>0</v>
      </c>
      <c r="G11" s="7">
        <f>CEO!G11+CS!G11+CFO!G11+LLA!G11+'C&amp;E'!G11+CES!G11+LLT!G11+GB!G11</f>
        <v>0</v>
      </c>
      <c r="H11" s="7">
        <f>CEO!H11+CS!H11+CFO!H11+LLA!H11+'C&amp;E'!H11+CES!H11+LLT!H11+GB!H11</f>
        <v>0</v>
      </c>
      <c r="I11" s="7">
        <f>CEO!I11+CS!I11+CFO!I11+LLA!I11+'C&amp;E'!I11+CES!I11+LLT!I11+GB!I11</f>
        <v>0</v>
      </c>
      <c r="J11" s="7">
        <f>CEO!J11+CS!J11+CFO!J11+LLA!J11+'C&amp;E'!J11+CES!J11+LLT!J11+GB!J11</f>
        <v>0</v>
      </c>
      <c r="K11" s="7">
        <f>CEO!K11+CS!K11+CFO!K11+LLA!K11+'C&amp;E'!K11+CES!K11+LLT!K11+GB!K11</f>
        <v>0</v>
      </c>
      <c r="L11" s="7">
        <f>CEO!L11+CS!L11+CFO!L11+LLA!L11+'C&amp;E'!L11+CES!L11+LLT!L11+GB!L11</f>
        <v>0</v>
      </c>
      <c r="M11" s="13" t="s">
        <v>418</v>
      </c>
      <c r="N11" s="7">
        <f t="shared" si="5"/>
        <v>0</v>
      </c>
      <c r="O11" s="7">
        <f t="shared" si="6"/>
        <v>0</v>
      </c>
      <c r="P11" s="7">
        <f t="shared" si="1"/>
        <v>0</v>
      </c>
      <c r="Q11" s="7">
        <f>CEO!Q11+CS!Q11+CFO!Q11+LLA!Q11+'C&amp;E'!Q11+CES!Q11+LLT!Q11+GB!Q11</f>
        <v>0</v>
      </c>
      <c r="R11" s="7">
        <f t="shared" si="2"/>
        <v>0</v>
      </c>
      <c r="S11" s="7">
        <v>-710.55892440000014</v>
      </c>
      <c r="T11" s="7">
        <f>CEO!T11+CS!T11+CFO!T11+LLA!T11+'C&amp;E'!T11+CES!T11+LLT!T11+GB!T11</f>
        <v>0</v>
      </c>
      <c r="U11" s="7">
        <f t="shared" si="7"/>
        <v>-710.55892440000014</v>
      </c>
      <c r="V11" s="7">
        <f t="shared" si="3"/>
        <v>-710.55892440000014</v>
      </c>
      <c r="W11" s="7"/>
      <c r="X11" s="7">
        <f>CEO!Q11+CS!Q11+CFO!Q11+LLA!Q11+'C&amp;E'!Q11+CES!Q11+LLT!Q11+GB!Q11</f>
        <v>0</v>
      </c>
      <c r="Y11" s="7">
        <f t="shared" si="8"/>
        <v>0</v>
      </c>
      <c r="Z11" s="7">
        <f t="shared" si="4"/>
        <v>0</v>
      </c>
      <c r="AA11" s="7">
        <f t="shared" si="9"/>
        <v>0</v>
      </c>
      <c r="AB11" s="7">
        <f t="shared" si="0"/>
        <v>0</v>
      </c>
    </row>
    <row r="12" spans="1:30" x14ac:dyDescent="0.3">
      <c r="A12" s="7">
        <f>CEO!A12+CS!A12+CFO!A12+LLA!A12+'C&amp;E'!A12+CES!A12+LLT!A12+GB!A12</f>
        <v>24881.540460159998</v>
      </c>
      <c r="B12" s="7">
        <f>CEO!B12+CS!B12+CFO!B12+LLA!B12+'C&amp;E'!B12+CES!B12+LLT!B12+GB!B12</f>
        <v>24881.540460159998</v>
      </c>
      <c r="C12" s="7">
        <f>CEO!C12+CS!C12+CFO!C12+LLA!C12+'C&amp;E'!C12+CES!C12+LLT!C12+GB!C12</f>
        <v>25910.2360696</v>
      </c>
      <c r="D12" s="7">
        <f>CEO!D12+CS!D12+CFO!D12+LLA!D12+'C&amp;E'!D12+CES!D12+LLT!D12+GB!D12</f>
        <v>25910.2360696</v>
      </c>
      <c r="E12" s="7">
        <f>CEO!E12+CS!E12+CFO!E12+LLA!E12+'C&amp;E'!E12+CES!E12+LLT!E12+GB!E12</f>
        <v>25910.2360696</v>
      </c>
      <c r="F12" s="7">
        <f>CEO!F12+CS!F12+CFO!F12+LLA!F12+'C&amp;E'!F12+CES!F12+LLT!F12+GB!F12</f>
        <v>25910.2360696</v>
      </c>
      <c r="G12" s="7">
        <f>CEO!G12+CS!G12+CFO!G12+LLA!G12+'C&amp;E'!G12+CES!G12+LLT!G12+GB!G12</f>
        <v>25910.2360696</v>
      </c>
      <c r="H12" s="7">
        <f>CEO!H12+CS!H12+CFO!H12+LLA!H12+'C&amp;E'!H12+CES!H12+LLT!H12+GB!H12</f>
        <v>25910.2360696</v>
      </c>
      <c r="I12" s="7">
        <f>CEO!I12+CS!I12+CFO!I12+LLA!I12+'C&amp;E'!I12+CES!I12+LLT!I12+GB!I12</f>
        <v>25910.2360696</v>
      </c>
      <c r="J12" s="7">
        <f>CEO!J12+CS!J12+CFO!J12+LLA!J12+'C&amp;E'!J12+CES!J12+LLT!J12+GB!J12</f>
        <v>25910.2360696</v>
      </c>
      <c r="K12" s="7">
        <f>CEO!K12+CS!K12+CFO!K12+LLA!K12+'C&amp;E'!K12+CES!K12+LLT!K12+GB!K12</f>
        <v>25910.2360696</v>
      </c>
      <c r="L12" s="7">
        <f>CEO!L12+CS!L12+CFO!L12+LLA!L12+'C&amp;E'!L12+CES!L12+LLT!L12+GB!L12</f>
        <v>25910.2360696</v>
      </c>
      <c r="M12" s="13" t="s">
        <v>419</v>
      </c>
      <c r="N12" s="7">
        <f>SUM(A12:J12)</f>
        <v>257044.96947712003</v>
      </c>
      <c r="O12" s="7">
        <f>SUM(K12:L12)</f>
        <v>51820.472139199999</v>
      </c>
      <c r="P12" s="7">
        <f t="shared" si="1"/>
        <v>308865.44161632005</v>
      </c>
      <c r="Q12" s="7">
        <f>CEO!Q12+CS!Q12+CFO!Q12+LLA!Q12+'C&amp;E'!Q12+CES!Q12+LLT!Q12+GB!Q12</f>
        <v>308865.44161632005</v>
      </c>
      <c r="R12" s="7">
        <f t="shared" si="2"/>
        <v>0</v>
      </c>
      <c r="S12" s="7">
        <v>299.99608000001172</v>
      </c>
      <c r="T12" s="7">
        <f>CEO!T12+CS!T12+CFO!T12+LLA!T12+'C&amp;E'!T12+CES!T12+LLT!T12+GB!T12</f>
        <v>5316</v>
      </c>
      <c r="U12" s="7">
        <f t="shared" si="7"/>
        <v>314481.43769632006</v>
      </c>
      <c r="V12" s="7">
        <f t="shared" si="3"/>
        <v>5615.9960800000117</v>
      </c>
      <c r="W12" s="7"/>
      <c r="X12" s="7">
        <f>CEO!Q12+CS!Q12+CFO!Q12+LLA!Q12+'C&amp;E'!Q12+CES!Q12+LLT!Q12+GB!Q12</f>
        <v>308865.44161632005</v>
      </c>
      <c r="Y12" s="7">
        <f t="shared" si="8"/>
        <v>0</v>
      </c>
      <c r="Z12" s="7">
        <f t="shared" si="4"/>
        <v>308865.44161632005</v>
      </c>
      <c r="AA12" s="7">
        <f t="shared" si="9"/>
        <v>323690.98281390342</v>
      </c>
      <c r="AB12" s="7">
        <f t="shared" si="0"/>
        <v>338904.45900615689</v>
      </c>
    </row>
    <row r="13" spans="1:30" x14ac:dyDescent="0.3">
      <c r="A13" s="7">
        <f>CEO!A13+CS!A13+CFO!A13+LLA!A13+'C&amp;E'!A13+CES!A13+LLT!A13+GB!A13</f>
        <v>5735.0437600000005</v>
      </c>
      <c r="B13" s="7">
        <f>CEO!B13+CS!B13+CFO!B13+LLA!B13+'C&amp;E'!B13+CES!B13+LLT!B13+GB!B13</f>
        <v>4372.7590399999999</v>
      </c>
      <c r="C13" s="7">
        <f>CEO!C13+CS!C13+CFO!C13+LLA!C13+'C&amp;E'!C13+CES!C13+LLT!C13+GB!C13</f>
        <v>28424.652480000001</v>
      </c>
      <c r="D13" s="7">
        <f>CEO!D13+CS!D13+CFO!D13+LLA!D13+'C&amp;E'!D13+CES!D13+LLT!D13+GB!D13</f>
        <v>17272.37096</v>
      </c>
      <c r="E13" s="7">
        <f>CEO!E13+CS!E13+CFO!E13+LLA!E13+'C&amp;E'!E13+CES!E13+LLT!E13+GB!E13</f>
        <v>12462.333920000001</v>
      </c>
      <c r="F13" s="7">
        <f>CEO!F13+CS!F13+CFO!F13+LLA!F13+'C&amp;E'!F13+CES!F13+LLT!F13+GB!F13</f>
        <v>9073.4477600000009</v>
      </c>
      <c r="G13" s="7">
        <f>CEO!G13+CS!G13+CFO!G13+LLA!G13+'C&amp;E'!G13+CES!G13+LLT!G13+GB!G13</f>
        <v>8417.5569600000017</v>
      </c>
      <c r="H13" s="7">
        <f>CEO!H13+CS!H13+CFO!H13+LLA!H13+'C&amp;E'!H13+CES!H13+LLT!H13+GB!H13</f>
        <v>0</v>
      </c>
      <c r="I13" s="7">
        <f>CEO!I13+CS!I13+CFO!I13+LLA!I13+'C&amp;E'!I13+CES!I13+LLT!I13+GB!I13</f>
        <v>20169.315439999998</v>
      </c>
      <c r="J13" s="7">
        <f>CEO!J13+CS!J13+CFO!J13+LLA!J13+'C&amp;E'!J13+CES!J13+LLT!J13+GB!J13</f>
        <v>24104.775520000003</v>
      </c>
      <c r="K13" s="7">
        <f>CEO!K13+CS!K13+CFO!K13+LLA!K13+'C&amp;E'!K13+CES!K13+LLT!K13+GB!K13</f>
        <v>24104</v>
      </c>
      <c r="L13" s="7">
        <f>CEO!L13+CS!L13+CFO!L13+LLA!L13+'C&amp;E'!L13+CES!L13+LLT!L13+GB!L13</f>
        <v>24647.974880000002</v>
      </c>
      <c r="M13" s="13" t="s">
        <v>420</v>
      </c>
      <c r="N13" s="7">
        <f>SUM(A13:J13)</f>
        <v>130032.25584</v>
      </c>
      <c r="O13" s="7">
        <f t="shared" si="6"/>
        <v>48751.974880000002</v>
      </c>
      <c r="P13" s="7">
        <f t="shared" si="1"/>
        <v>178784.23071999999</v>
      </c>
      <c r="Q13" s="7">
        <f>CEO!Q13+CS!Q13+CFO!Q13+LLA!Q13+'C&amp;E'!Q13+CES!Q13+LLT!Q13+GB!Q13</f>
        <v>178784.23072000002</v>
      </c>
      <c r="R13" s="7">
        <f t="shared" si="2"/>
        <v>0</v>
      </c>
      <c r="S13" s="7">
        <v>108472</v>
      </c>
      <c r="T13" s="341">
        <f>CEO!T13+CS!T13+CFO!T13+LLA!T13+'C&amp;E'!T13+CES!T13+LLT!T13+GB!T13</f>
        <v>12124</v>
      </c>
      <c r="U13" s="341">
        <f t="shared" si="7"/>
        <v>299380.23071999999</v>
      </c>
      <c r="V13" s="341">
        <f t="shared" si="3"/>
        <v>120596</v>
      </c>
      <c r="W13" s="7"/>
      <c r="X13" s="7">
        <f>CEO!Q13+CS!Q13+CFO!Q13+LLA!Q13+'C&amp;E'!Q13+CES!Q13+LLT!Q13+GB!Q13</f>
        <v>178784.23072000002</v>
      </c>
      <c r="Y13" s="7">
        <f t="shared" si="8"/>
        <v>0</v>
      </c>
      <c r="Z13" s="7">
        <f t="shared" si="4"/>
        <v>178784.23072000002</v>
      </c>
      <c r="AA13" s="7">
        <f t="shared" si="9"/>
        <v>187365.87379456003</v>
      </c>
      <c r="AB13" s="7">
        <f t="shared" si="0"/>
        <v>196172.06986290435</v>
      </c>
    </row>
    <row r="14" spans="1:30" x14ac:dyDescent="0.3">
      <c r="A14" s="7">
        <f>CEO!A14+CS!A14+CFO!A14+LLA!A14+'C&amp;E'!A14+CES!A14+LLT!A14+GB!A14</f>
        <v>0</v>
      </c>
      <c r="B14" s="7">
        <f>CEO!B14+CS!B14+CFO!B14+LLA!B14+'C&amp;E'!B14+CES!B14+LLT!B14+GB!B14</f>
        <v>0</v>
      </c>
      <c r="C14" s="7">
        <f>CEO!C14+CS!C14+CFO!C14+LLA!C14+'C&amp;E'!C14+CES!C14+LLT!C14+GB!C14</f>
        <v>0</v>
      </c>
      <c r="D14" s="7">
        <f>CEO!D14+CS!D14+CFO!D14+LLA!D14+'C&amp;E'!D14+CES!D14+LLT!D14+GB!D14</f>
        <v>0</v>
      </c>
      <c r="E14" s="7">
        <f>CEO!E14+CS!E14+CFO!E14+LLA!E14+'C&amp;E'!E14+CES!E14+LLT!E14+GB!E14</f>
        <v>0</v>
      </c>
      <c r="F14" s="7">
        <f>CEO!F14+CS!F14+CFO!F14+LLA!F14+'C&amp;E'!F14+CES!F14+LLT!F14+GB!F14</f>
        <v>0</v>
      </c>
      <c r="G14" s="7">
        <f>CEO!G14+CS!G14+CFO!G14+LLA!G14+'C&amp;E'!G14+CES!G14+LLT!G14+GB!G14</f>
        <v>0</v>
      </c>
      <c r="H14" s="7" t="e">
        <f>CEO!H14+CS!H14+CFO!H14+LLA!H14+'C&amp;E'!#REF!+CES!H14+LLT!H14+GB!H14</f>
        <v>#REF!</v>
      </c>
      <c r="I14" s="7">
        <f>CEO!I14+CS!I14+CFO!I14+LLA!I14+'C&amp;E'!I14+CES!I14+LLT!I14+GB!I14</f>
        <v>0</v>
      </c>
      <c r="J14" s="7">
        <f>CEO!J14+CS!J14+CFO!J14+LLA!J14+'C&amp;E'!J14+CES!J14+LLT!J14+GB!J14</f>
        <v>0</v>
      </c>
      <c r="K14" s="7">
        <f>CEO!K14+CS!K14+CFO!K14+LLA!K14+'C&amp;E'!K14+CES!K14+LLT!K14+GB!K14</f>
        <v>0</v>
      </c>
      <c r="L14" s="7">
        <f>CEO!L14+CS!L14+CFO!L14+LLA!L14+'C&amp;E'!L14+CES!L14+LLT!L14+GB!L14</f>
        <v>0</v>
      </c>
      <c r="M14" s="13" t="s">
        <v>421</v>
      </c>
      <c r="N14" s="7" t="e">
        <f>SUM(A14:J14)</f>
        <v>#REF!</v>
      </c>
      <c r="O14" s="7">
        <f t="shared" si="6"/>
        <v>0</v>
      </c>
      <c r="P14" s="7" t="e">
        <f t="shared" si="1"/>
        <v>#REF!</v>
      </c>
      <c r="Q14" s="7">
        <f>CEO!Q14+CS!Q14+CFO!Q14+LLA!Q14+'C&amp;E'!Q14+CES!Q14+LLT!Q14+GB!Q14</f>
        <v>1483339.5318824349</v>
      </c>
      <c r="R14" s="7" t="e">
        <f t="shared" si="2"/>
        <v>#REF!</v>
      </c>
      <c r="S14" s="7">
        <v>-103000.00000000023</v>
      </c>
      <c r="T14" s="7">
        <f>CEO!T14+CS!T14+CFO!T14+LLA!T14+'C&amp;E'!T14+CES!T14+LLT!T14+GB!T14</f>
        <v>-311963</v>
      </c>
      <c r="U14" s="7">
        <f t="shared" si="7"/>
        <v>1068376.5318824346</v>
      </c>
      <c r="V14" s="7" t="e">
        <f t="shared" si="3"/>
        <v>#REF!</v>
      </c>
      <c r="W14" s="7"/>
      <c r="X14" s="7">
        <f>CEO!Q14+CS!Q14+CFO!Q14+LLA!Q14+'C&amp;E'!Q14+CES!Q14+LLT!Q14+GB!Q14</f>
        <v>1483339.5318824349</v>
      </c>
      <c r="Y14" s="7">
        <f t="shared" si="8"/>
        <v>0</v>
      </c>
      <c r="Z14" s="7">
        <f t="shared" si="4"/>
        <v>1483339.5318824349</v>
      </c>
      <c r="AA14" s="7">
        <f>(Z14+(110312.6345)+(38264.686*2))*(1+AA3)</f>
        <v>1750350.2522247918</v>
      </c>
      <c r="AB14" s="7">
        <f t="shared" si="0"/>
        <v>1832616.714079357</v>
      </c>
    </row>
    <row r="15" spans="1:30" x14ac:dyDescent="0.3">
      <c r="A15" s="7">
        <f>CEO!A15+CS!A15+CFO!A15+LLA!A15+'C&amp;E'!A15+CES!A15+LLT!A15+GB!A15</f>
        <v>0</v>
      </c>
      <c r="B15" s="7">
        <f>CEO!B15+CS!B15+CFO!B15+LLA!B15+'C&amp;E'!B15+CES!B15+LLT!B15+GB!B15</f>
        <v>6288</v>
      </c>
      <c r="C15" s="7">
        <f>CEO!C15+CS!C15+CFO!C15+LLA!C15+'C&amp;E'!C15+CES!C15+LLT!C15+GB!C15</f>
        <v>0</v>
      </c>
      <c r="D15" s="7">
        <f>CEO!D15+CS!D15+CFO!D15+LLA!D15+'C&amp;E'!D15+CES!D15+LLT!D15+GB!D15</f>
        <v>3144</v>
      </c>
      <c r="E15" s="7">
        <f>CEO!E15+CS!E15+CFO!E15+LLA!E15+'C&amp;E'!E15+CES!E15+LLT!E15+GB!E15</f>
        <v>9432</v>
      </c>
      <c r="F15" s="7">
        <f>CEO!F15+CS!F15+CFO!F15+LLA!F15+'C&amp;E'!F15+CES!F15+LLT!F15+GB!F15</f>
        <v>0</v>
      </c>
      <c r="G15" s="7">
        <f>CEO!G15+CS!G15+CFO!G15+LLA!G15+'C&amp;E'!G15+CES!G15+LLT!G15+GB!G15</f>
        <v>0</v>
      </c>
      <c r="H15" s="7">
        <f>CEO!H15+CS!H15+CFO!H15+LLA!H15+'C&amp;E'!H14+CES!H15+LLT!H15+GB!H15</f>
        <v>419231.66</v>
      </c>
      <c r="I15" s="7">
        <f>CEO!I15+CS!I15+CFO!I15+LLA!I15+'C&amp;E'!I15+CES!I15+LLT!I15+GB!I15</f>
        <v>0</v>
      </c>
      <c r="J15" s="7">
        <f>CEO!J15+CS!J15+CFO!J15+LLA!J15+'C&amp;E'!J15+CES!J15+LLT!J15+GB!J15</f>
        <v>0</v>
      </c>
      <c r="K15" s="7">
        <f>CEO!K15+CS!K15+CFO!K15+LLA!K15+'C&amp;E'!K15+CES!K15+LLT!K15+GB!K15</f>
        <v>0</v>
      </c>
      <c r="L15" s="7">
        <f>CEO!L15+CS!L15+CFO!L15+LLA!L15+'C&amp;E'!L15+CES!L15+LLT!L15+GB!L15</f>
        <v>6288</v>
      </c>
      <c r="M15" s="13" t="s">
        <v>422</v>
      </c>
      <c r="N15" s="7">
        <f>SUM(A15:J15)</f>
        <v>438095.66</v>
      </c>
      <c r="O15" s="7">
        <f>SUM(K15:L15)</f>
        <v>6288</v>
      </c>
      <c r="P15" s="7">
        <f t="shared" si="1"/>
        <v>444383.66</v>
      </c>
      <c r="Q15" s="7">
        <f>CEO!Q15+CS!Q15+CFO!Q15+LLA!Q15+'C&amp;E'!Q15+CES!Q15+LLT!Q15+GB!Q15</f>
        <v>28296</v>
      </c>
      <c r="R15" s="7">
        <f t="shared" si="2"/>
        <v>-416087.66</v>
      </c>
      <c r="S15" s="7">
        <v>0</v>
      </c>
      <c r="T15" s="7">
        <f>CEO!T15+CS!T15+CFO!T15+LLA!T15+'C&amp;E'!T15+CES!T15+LLT!T15+GB!T15</f>
        <v>-26478.395</v>
      </c>
      <c r="U15" s="7">
        <f t="shared" si="7"/>
        <v>1817.6049999999996</v>
      </c>
      <c r="V15" s="7">
        <f t="shared" si="3"/>
        <v>-442566.05499999999</v>
      </c>
      <c r="W15" s="7"/>
      <c r="X15" s="7">
        <f>CEO!Q15+CS!Q15+CFO!Q15+LLA!Q15+'C&amp;E'!Q15+CES!Q15+LLT!Q15+GB!Q15</f>
        <v>28296</v>
      </c>
      <c r="Y15" s="7">
        <f t="shared" si="8"/>
        <v>0</v>
      </c>
      <c r="Z15" s="7">
        <f t="shared" si="4"/>
        <v>28296</v>
      </c>
      <c r="AA15" s="7">
        <f t="shared" si="9"/>
        <v>29654.208000000002</v>
      </c>
      <c r="AB15" s="7">
        <f t="shared" si="0"/>
        <v>31047.955775999999</v>
      </c>
    </row>
    <row r="16" spans="1:30" x14ac:dyDescent="0.3">
      <c r="A16" s="11"/>
      <c r="B16" s="11"/>
      <c r="C16" s="11"/>
      <c r="D16" s="11"/>
      <c r="E16" s="11">
        <v>0</v>
      </c>
      <c r="F16" s="11"/>
      <c r="G16" s="11"/>
      <c r="H16" s="11"/>
      <c r="I16" s="11">
        <f>CEO!I16+CS!I16+CFO!I16+LLA!I16+'C&amp;E'!I16+CES!I16+LLT!I16+GB!I16</f>
        <v>0</v>
      </c>
      <c r="J16" s="11"/>
      <c r="K16" s="11"/>
      <c r="L16" s="11"/>
      <c r="M16" s="13" t="s">
        <v>423</v>
      </c>
      <c r="N16" s="11">
        <f t="shared" si="5"/>
        <v>0</v>
      </c>
      <c r="O16" s="11">
        <f t="shared" si="6"/>
        <v>0</v>
      </c>
      <c r="P16" s="11">
        <f t="shared" si="1"/>
        <v>0</v>
      </c>
      <c r="Q16" s="11">
        <f>CEO!Q16+CS!Q16+CFO!Q16+LLA!Q16+'C&amp;E'!Q16+CES!Q16+LLT!Q16+GB!Q16</f>
        <v>0</v>
      </c>
      <c r="R16" s="11">
        <f t="shared" si="2"/>
        <v>0</v>
      </c>
      <c r="S16" s="11">
        <v>0</v>
      </c>
      <c r="T16" s="11">
        <f>CEO!T16+CS!T16+CFO!T16+LLA!T16+'C&amp;E'!T16+CES!T16+LLT!T16+GB!T16</f>
        <v>0</v>
      </c>
      <c r="U16" s="11">
        <f t="shared" si="7"/>
        <v>0</v>
      </c>
      <c r="V16" s="11">
        <f t="shared" si="3"/>
        <v>0</v>
      </c>
      <c r="W16" s="11"/>
      <c r="X16" s="11">
        <f>CEO!Q16+CS!Q16+CFO!Q16+LLA!Q16+'C&amp;E'!Q16+CES!Q16+LLT!Q16+GB!Q16</f>
        <v>0</v>
      </c>
      <c r="Y16" s="11">
        <f t="shared" si="8"/>
        <v>0</v>
      </c>
      <c r="Z16" s="11">
        <f t="shared" si="4"/>
        <v>0</v>
      </c>
      <c r="AA16" s="11">
        <f t="shared" si="9"/>
        <v>0</v>
      </c>
      <c r="AB16" s="11">
        <f t="shared" si="0"/>
        <v>0</v>
      </c>
    </row>
    <row r="17" spans="1:28" ht="5.4" customHeight="1" x14ac:dyDescent="0.3">
      <c r="A17" s="81"/>
      <c r="B17" s="81"/>
      <c r="C17" s="81"/>
      <c r="D17" s="85"/>
      <c r="E17" s="83"/>
      <c r="F17" s="83"/>
      <c r="G17" s="83"/>
      <c r="H17" s="83"/>
      <c r="I17" s="83"/>
      <c r="J17" s="83"/>
      <c r="K17" s="83"/>
      <c r="L17" s="83"/>
      <c r="M17" s="13"/>
      <c r="N17" s="83">
        <f t="shared" ref="N17:N71" si="10">SUM(A17:J17)</f>
        <v>0</v>
      </c>
      <c r="O17" s="83">
        <f t="shared" si="6"/>
        <v>0</v>
      </c>
      <c r="P17" s="83">
        <f t="shared" si="1"/>
        <v>0</v>
      </c>
      <c r="Q17" s="83"/>
      <c r="R17" s="83">
        <f t="shared" ref="R17:R66" si="11">P17-Q17</f>
        <v>0</v>
      </c>
      <c r="S17" s="83">
        <v>0</v>
      </c>
      <c r="T17" s="81">
        <f>CEO!T17+CS!T17+CFO!T17+LLA!T17+'C&amp;E'!T17+CES!T17+LLT!T17+GB!T17</f>
        <v>0</v>
      </c>
      <c r="U17" s="81">
        <f t="shared" si="7"/>
        <v>0</v>
      </c>
      <c r="V17" s="81">
        <f t="shared" si="3"/>
        <v>0</v>
      </c>
      <c r="W17" s="81"/>
      <c r="X17" s="83">
        <f>CEO!Q17+CS!Q17+CFO!Q17+LLA!Q17+'C&amp;E'!Q17+CES!Q17+LLT!Q17+GB!Q17</f>
        <v>0</v>
      </c>
      <c r="Y17" s="83">
        <f t="shared" ref="Y17:Y66" si="12">Q17-X17</f>
        <v>0</v>
      </c>
      <c r="Z17" s="83"/>
      <c r="AA17" s="83"/>
      <c r="AB17" s="83"/>
    </row>
    <row r="18" spans="1:28" x14ac:dyDescent="0.3">
      <c r="A18" s="4">
        <f>SUM(A7:A16)</f>
        <v>2640947.69108016</v>
      </c>
      <c r="B18" s="4">
        <f>SUM(B7:B16)</f>
        <v>2760481.9735203735</v>
      </c>
      <c r="C18" s="4">
        <f t="shared" ref="C18:L18" si="13">SUM(C7:C16)</f>
        <v>2845475.7170446008</v>
      </c>
      <c r="D18" s="4">
        <f>SUM(D7:D16)</f>
        <v>2907009.4613675741</v>
      </c>
      <c r="E18" s="4">
        <f t="shared" si="13"/>
        <v>2838945.3984846007</v>
      </c>
      <c r="F18" s="4">
        <f t="shared" si="13"/>
        <v>2826124.5123246005</v>
      </c>
      <c r="G18" s="4">
        <f t="shared" si="13"/>
        <v>2895010.6473675743</v>
      </c>
      <c r="H18" s="4" t="e">
        <f t="shared" si="13"/>
        <v>#REF!</v>
      </c>
      <c r="I18" s="4">
        <f t="shared" si="13"/>
        <v>2837220.3800046006</v>
      </c>
      <c r="J18" s="4">
        <f t="shared" si="13"/>
        <v>2910697.8659275742</v>
      </c>
      <c r="K18" s="4">
        <f t="shared" si="13"/>
        <v>2841155.0645646006</v>
      </c>
      <c r="L18" s="4">
        <f t="shared" si="13"/>
        <v>2808893.5772875743</v>
      </c>
      <c r="M18" s="13" t="s">
        <v>89</v>
      </c>
      <c r="N18" s="4" t="e">
        <f>SUM(N7:N17)</f>
        <v>#REF!</v>
      </c>
      <c r="O18" s="4">
        <f t="shared" ref="O18:P18" si="14">SUM(O7:O17)</f>
        <v>5650048.641852174</v>
      </c>
      <c r="P18" s="4" t="e">
        <f t="shared" si="14"/>
        <v>#REF!</v>
      </c>
      <c r="Q18" s="4">
        <f>SUM(Q7:Q17)</f>
        <v>35485038.911263838</v>
      </c>
      <c r="R18" s="4" t="e">
        <f t="shared" ref="R18:S18" si="15">SUM(R7:R17)</f>
        <v>#REF!</v>
      </c>
      <c r="S18" s="4">
        <f t="shared" si="15"/>
        <v>1875046.5602114107</v>
      </c>
      <c r="T18" s="4">
        <f>CEO!T18+CS!T18+CFO!T18+LLA!T18+'C&amp;E'!T18+CES!T18+LLT!T18+GB!T18</f>
        <v>-1514082.5063470432</v>
      </c>
      <c r="U18" s="4">
        <f t="shared" si="7"/>
        <v>35846002.965128206</v>
      </c>
      <c r="V18" s="4" t="e">
        <f t="shared" si="3"/>
        <v>#REF!</v>
      </c>
      <c r="W18" s="4"/>
      <c r="X18" s="4">
        <f>CEO!Q18+CS!Q18+CFO!Q18+LLA!Q18+'C&amp;E'!Q18+CES!Q18+LLT!Q18+GB!Q18</f>
        <v>35485038.911263838</v>
      </c>
      <c r="Y18" s="4">
        <f t="shared" si="12"/>
        <v>0</v>
      </c>
      <c r="Z18" s="4">
        <f>SUM(Z7:Z17)</f>
        <v>35485038.911263838</v>
      </c>
      <c r="AA18" s="4">
        <f>SUM(AA7:AA17)</f>
        <v>37695549.265584506</v>
      </c>
      <c r="AB18" s="4">
        <f>SUM(AB7:AB17)</f>
        <v>39467240.081066974</v>
      </c>
    </row>
    <row r="19" spans="1:28" ht="5.4" customHeight="1" x14ac:dyDescent="0.3">
      <c r="A19" s="81"/>
      <c r="B19" s="81"/>
      <c r="C19" s="81"/>
      <c r="D19" s="82"/>
      <c r="E19" s="86"/>
      <c r="F19" s="86"/>
      <c r="G19" s="86"/>
      <c r="H19" s="86"/>
      <c r="I19" s="86"/>
      <c r="J19" s="86"/>
      <c r="K19" s="86"/>
      <c r="L19" s="86"/>
      <c r="M19" s="122"/>
      <c r="N19" s="86">
        <f t="shared" si="10"/>
        <v>0</v>
      </c>
      <c r="O19" s="86">
        <f t="shared" si="6"/>
        <v>0</v>
      </c>
      <c r="P19" s="86">
        <f t="shared" si="1"/>
        <v>0</v>
      </c>
      <c r="Q19" s="86"/>
      <c r="R19" s="86">
        <f t="shared" si="11"/>
        <v>0</v>
      </c>
      <c r="S19" s="86">
        <v>0</v>
      </c>
      <c r="T19" s="81">
        <f>CEO!T19+CS!T19+CFO!T19+LLA!T19+'C&amp;E'!T19+CES!T19+LLT!T19+GB!T19</f>
        <v>0</v>
      </c>
      <c r="U19" s="81">
        <f t="shared" si="7"/>
        <v>0</v>
      </c>
      <c r="V19" s="81">
        <f t="shared" si="3"/>
        <v>0</v>
      </c>
      <c r="W19" s="81"/>
      <c r="X19" s="86"/>
      <c r="Y19" s="86">
        <f t="shared" si="12"/>
        <v>0</v>
      </c>
      <c r="Z19" s="86"/>
      <c r="AA19" s="86"/>
      <c r="AB19" s="86"/>
    </row>
    <row r="20" spans="1:28" x14ac:dyDescent="0.3">
      <c r="A20" s="7">
        <f>CEO!A20+CS!A20+CFO!A20+LLA!A20+'C&amp;E'!A20+CES!A20+LLT!A20+GB!A20</f>
        <v>10825.84</v>
      </c>
      <c r="B20" s="7">
        <f>CEO!B20+CS!B20+CFO!B20+LLA!B20+'C&amp;E'!B20+CES!B20+LLT!B20+GB!B20</f>
        <v>10825.84</v>
      </c>
      <c r="C20" s="7">
        <f>CEO!C20+CS!C20+CFO!C20+LLA!C20+'C&amp;E'!C20+CES!C20+LLT!C20+GB!C20</f>
        <v>10825.84</v>
      </c>
      <c r="D20" s="7">
        <f>CEO!D20+CS!D20+CFO!D20+LLA!D20+'C&amp;E'!D20+CES!D20+LLT!D20+GB!D20</f>
        <v>10825.84</v>
      </c>
      <c r="E20" s="7">
        <f>CEO!E20+CS!E20+CFO!E20+LLA!E20+'C&amp;E'!E20+CES!E20+LLT!E20+GB!E20</f>
        <v>10825.84</v>
      </c>
      <c r="F20" s="7">
        <f>CEO!F20+CS!F20+CFO!F20+LLA!F20+'C&amp;E'!F20+CES!F20+LLT!F20+GB!F20</f>
        <v>10825.84</v>
      </c>
      <c r="G20" s="7">
        <f>CEO!G20+CS!G20+CFO!G20+LLA!G20+'C&amp;E'!G20+CES!G20+LLT!G20+GB!G20</f>
        <v>10825.84</v>
      </c>
      <c r="H20" s="7">
        <f>CEO!H20+CS!H20+CFO!H20+LLA!H20+'C&amp;E'!H20+CES!H20+LLT!H20+GB!H20</f>
        <v>10825.84</v>
      </c>
      <c r="I20" s="7">
        <f>CEO!I20+CS!I20+CFO!I20+LLA!I20+'C&amp;E'!I20+CES!I20+LLT!I20+GB!I20</f>
        <v>10825.84</v>
      </c>
      <c r="J20" s="7">
        <f>CEO!J20+CS!J20+CFO!J20+LLA!J20+'C&amp;E'!J20+CES!J20+LLT!J20+GB!J20</f>
        <v>10825.84</v>
      </c>
      <c r="K20" s="7">
        <f>CEO!K20+CS!K20+CFO!K20+LLA!K20+'C&amp;E'!K20+CES!K20+LLT!K20+GB!K20</f>
        <v>10825.84</v>
      </c>
      <c r="L20" s="7">
        <f>CEO!L20+CS!L20+CFO!L20+LLA!L20+'C&amp;E'!L20+CES!L20+LLT!L20+GB!L20</f>
        <v>10825.84</v>
      </c>
      <c r="M20" s="127" t="s">
        <v>424</v>
      </c>
      <c r="N20" s="8">
        <f t="shared" ref="N20:N25" si="16">SUM(A20:J20)</f>
        <v>108258.39999999998</v>
      </c>
      <c r="O20" s="8">
        <f t="shared" si="6"/>
        <v>21651.68</v>
      </c>
      <c r="P20" s="8">
        <f t="shared" si="1"/>
        <v>129910.07999999999</v>
      </c>
      <c r="Q20" s="8">
        <f>CEO!Q20+CS!Q20+CFO!Q20+LLA!Q20+'C&amp;E'!Q20+CES!Q20+LLT!Q20+GB!Q20</f>
        <v>129910.07999999997</v>
      </c>
      <c r="R20" s="8">
        <f t="shared" ref="R20:R26" si="17">Q20-P20</f>
        <v>0</v>
      </c>
      <c r="S20" s="210">
        <v>70000</v>
      </c>
      <c r="T20" s="8">
        <f>CEO!T20+CS!T20+CFO!T20+LLA!T20+'C&amp;E'!T20+CES!T20+LLT!T20+GB!T20</f>
        <v>0</v>
      </c>
      <c r="U20" s="8">
        <f t="shared" si="7"/>
        <v>199910.07999999996</v>
      </c>
      <c r="V20" s="8">
        <f t="shared" si="3"/>
        <v>69999.999999999971</v>
      </c>
      <c r="W20" s="8"/>
      <c r="X20" s="8">
        <f>CEO!Q20+CS!Q20+CFO!Q20+LLA!Q20+'C&amp;E'!Q20+CES!Q20+LLT!Q20+GB!Q20</f>
        <v>129910.07999999997</v>
      </c>
      <c r="Y20" s="210">
        <v>70000</v>
      </c>
      <c r="Z20" s="8">
        <f t="shared" ref="Z20:Z26" si="18">Q20</f>
        <v>129910.07999999997</v>
      </c>
      <c r="AA20" s="8">
        <f t="shared" ref="AA20:AB26" si="19">Z20*(1+AA$3)</f>
        <v>136145.76383999997</v>
      </c>
      <c r="AB20" s="8">
        <f t="shared" si="19"/>
        <v>142544.61474047997</v>
      </c>
    </row>
    <row r="21" spans="1:28" x14ac:dyDescent="0.3">
      <c r="A21" s="7">
        <f>CEO!A21+CS!A21+CFO!A21+LLA!A21+'C&amp;E'!A21+CES!A21+LLT!A21+GB!A21</f>
        <v>142166.44</v>
      </c>
      <c r="B21" s="7">
        <f>CEO!B21+CS!B21+CFO!B21+LLA!B21+'C&amp;E'!B21+CES!B21+LLT!B21+GB!B21</f>
        <v>142166.44</v>
      </c>
      <c r="C21" s="7">
        <f>CEO!C21+CS!C21+CFO!C21+LLA!C21+'C&amp;E'!C21+CES!C21+LLT!C21+GB!C21</f>
        <v>142166.44</v>
      </c>
      <c r="D21" s="7">
        <f>CEO!D21+CS!D21+CFO!D21+LLA!D21+'C&amp;E'!D21+CES!D21+LLT!D21+GB!D21</f>
        <v>142166.44</v>
      </c>
      <c r="E21" s="7">
        <f>CEO!E21+CS!E21+CFO!E21+LLA!E21+'C&amp;E'!E21+CES!E21+LLT!E21+GB!E21</f>
        <v>142166.44</v>
      </c>
      <c r="F21" s="7">
        <f>CEO!F21+CS!F21+CFO!F21+LLA!F21+'C&amp;E'!F21+CES!F21+LLT!F21+GB!F21</f>
        <v>142166.44</v>
      </c>
      <c r="G21" s="7">
        <f>CEO!G21+CS!G21+CFO!G21+LLA!G21+'C&amp;E'!G21+CES!G21+LLT!G21+GB!G21</f>
        <v>142166.44</v>
      </c>
      <c r="H21" s="7">
        <f>CEO!H21+CS!H21+CFO!H21+LLA!H21+'C&amp;E'!H21+CES!H21+LLT!H21+GB!H21</f>
        <v>142166.44</v>
      </c>
      <c r="I21" s="7">
        <f>CEO!I21+CS!I21+CFO!I21+LLA!I21+'C&amp;E'!I21+CES!I21+LLT!I21+GB!I21</f>
        <v>142166.44</v>
      </c>
      <c r="J21" s="7">
        <f>CEO!J21+CS!J21+CFO!J21+LLA!J21+'C&amp;E'!J21+CES!J21+LLT!J21+GB!J21</f>
        <v>142166.44</v>
      </c>
      <c r="K21" s="7">
        <f>CEO!K21+CS!K21+CFO!K21+LLA!K21+'C&amp;E'!K21+CES!K21+LLT!K21+GB!K21</f>
        <v>142166.44</v>
      </c>
      <c r="L21" s="7">
        <f>CEO!L21+CS!L21+CFO!L21+LLA!L21+'C&amp;E'!L21+CES!L21+LLT!L21+GB!L21</f>
        <v>152930</v>
      </c>
      <c r="M21" s="13" t="s">
        <v>425</v>
      </c>
      <c r="N21" s="7">
        <f t="shared" si="16"/>
        <v>1421664.3999999997</v>
      </c>
      <c r="O21" s="7">
        <f>SUM(K21:L21)</f>
        <v>295096.44</v>
      </c>
      <c r="P21" s="7">
        <f t="shared" si="1"/>
        <v>1716760.8399999996</v>
      </c>
      <c r="Q21" s="7">
        <f>CEO!Q21+CS!Q21+CFO!Q21+LLA!Q21+'C&amp;E'!Q21+CES!Q21+LLT!Q21+GB!Q21</f>
        <v>1716760.8399999996</v>
      </c>
      <c r="R21" s="7">
        <f t="shared" si="17"/>
        <v>0</v>
      </c>
      <c r="S21" s="202">
        <v>4059000</v>
      </c>
      <c r="T21" s="7">
        <f>CEO!T21+CS!T21+CFO!T21+LLA!T21+'C&amp;E'!T21+CES!T21+LLT!T21+GB!T21</f>
        <v>-715404</v>
      </c>
      <c r="U21" s="7">
        <f t="shared" si="7"/>
        <v>5060356.84</v>
      </c>
      <c r="V21" s="7">
        <f t="shared" si="3"/>
        <v>3343596</v>
      </c>
      <c r="W21" s="7"/>
      <c r="X21" s="7">
        <f>CEO!Q21+CS!Q21+CFO!Q21+LLA!Q21+'C&amp;E'!Q21+CES!Q21+LLT!Q21+GB!Q21</f>
        <v>1716760.8399999996</v>
      </c>
      <c r="Y21" s="202">
        <v>4059000</v>
      </c>
      <c r="Z21" s="7">
        <f t="shared" si="18"/>
        <v>1716760.8399999996</v>
      </c>
      <c r="AA21" s="7">
        <f>Z21*(1+AA$3)+10759</f>
        <v>1809924.3603199997</v>
      </c>
      <c r="AB21" s="7">
        <f>AA21*(1+AB$3)+114694</f>
        <v>2009684.8052550396</v>
      </c>
    </row>
    <row r="22" spans="1:28" x14ac:dyDescent="0.3">
      <c r="A22" s="7">
        <f>CEO!A22+CS!A22+CFO!A22+LLA!A22+'C&amp;E'!A22+CES!A22+LLT!A22+GB!A22</f>
        <v>13768.624</v>
      </c>
      <c r="B22" s="7">
        <f>CEO!B22+CS!B22+CFO!B22+LLA!B22+'C&amp;E'!B22+CES!B22+LLT!B22+GB!B22</f>
        <v>13768.624</v>
      </c>
      <c r="C22" s="7">
        <f>CEO!C22+CS!C22+CFO!C22+LLA!C22+'C&amp;E'!C22+CES!C22+LLT!C22+GB!C22</f>
        <v>13768.624</v>
      </c>
      <c r="D22" s="7">
        <f>CEO!D22+CS!D22+CFO!D22+LLA!D22+'C&amp;E'!D22+CES!D22+LLT!D22+GB!D22</f>
        <v>13768.624</v>
      </c>
      <c r="E22" s="7">
        <f>CEO!E22+CS!E22+CFO!E22+LLA!E22+'C&amp;E'!E22+CES!E22+LLT!E22+GB!E22</f>
        <v>13768.624</v>
      </c>
      <c r="F22" s="7">
        <f>CEO!F22+CS!F22+CFO!F22+LLA!F22+'C&amp;E'!F22+CES!F22+LLT!F22+GB!F22</f>
        <v>13768.624</v>
      </c>
      <c r="G22" s="7">
        <f>CEO!G22+CS!G22+CFO!G22+LLA!G22+'C&amp;E'!G22+CES!G22+LLT!G22+GB!G22</f>
        <v>13768.624</v>
      </c>
      <c r="H22" s="7">
        <f>CEO!H22+CS!H22+CFO!H22+LLA!H22+'C&amp;E'!H22+CES!H22+LLT!H22+GB!H22</f>
        <v>13768.624</v>
      </c>
      <c r="I22" s="7">
        <f>CEO!I22+CS!I22+CFO!I22+LLA!I22+'C&amp;E'!I22+CES!I22+LLT!I22+GB!I22</f>
        <v>13768.624</v>
      </c>
      <c r="J22" s="7">
        <f>CEO!J22+CS!J22+CFO!J22+LLA!J22+'C&amp;E'!J22+CES!J22+LLT!J22+GB!J22</f>
        <v>13768.624</v>
      </c>
      <c r="K22" s="7">
        <f>CEO!K22+CS!K22+CFO!K22+LLA!K22+'C&amp;E'!K22+CES!K22+LLT!K22+GB!K22</f>
        <v>13768.624</v>
      </c>
      <c r="L22" s="7">
        <f>CEO!L22+CS!L22+CFO!L22+LLA!L22+'C&amp;E'!L22+CES!L22+LLT!L22+GB!L22</f>
        <v>13762.624</v>
      </c>
      <c r="M22" s="13" t="s">
        <v>426</v>
      </c>
      <c r="N22" s="7">
        <f t="shared" si="16"/>
        <v>137686.24</v>
      </c>
      <c r="O22" s="7">
        <f t="shared" si="6"/>
        <v>27531.248</v>
      </c>
      <c r="P22" s="7">
        <f t="shared" si="1"/>
        <v>165217.48799999998</v>
      </c>
      <c r="Q22" s="7">
        <f>CEO!Q22+CS!Q22+CFO!Q22+LLA!Q22+'C&amp;E'!Q22+CES!Q22+LLT!Q22+GB!Q22</f>
        <v>165217.48800000001</v>
      </c>
      <c r="R22" s="7">
        <f t="shared" si="17"/>
        <v>0</v>
      </c>
      <c r="S22" s="202">
        <v>400000</v>
      </c>
      <c r="T22" s="7">
        <f>CEO!T22+CS!T22+CFO!T22+LLA!T22+'C&amp;E'!T22+CES!T22+LLT!T22+GB!T22</f>
        <v>0</v>
      </c>
      <c r="U22" s="7">
        <f t="shared" si="7"/>
        <v>565217.48800000001</v>
      </c>
      <c r="V22" s="7">
        <f t="shared" si="3"/>
        <v>400000</v>
      </c>
      <c r="W22" s="7"/>
      <c r="X22" s="7">
        <f>CEO!Q22+CS!Q22+CFO!Q22+LLA!Q22+'C&amp;E'!Q22+CES!Q22+LLT!Q22+GB!Q22</f>
        <v>165217.48800000001</v>
      </c>
      <c r="Y22" s="202">
        <v>400000</v>
      </c>
      <c r="Z22" s="7">
        <f t="shared" si="18"/>
        <v>165217.48800000001</v>
      </c>
      <c r="AA22" s="7">
        <f t="shared" si="19"/>
        <v>173147.92742400002</v>
      </c>
      <c r="AB22" s="7">
        <f t="shared" si="19"/>
        <v>181285.88001292801</v>
      </c>
    </row>
    <row r="23" spans="1:28" x14ac:dyDescent="0.3">
      <c r="A23" s="7">
        <f>CEO!A23+CS!A23+CFO!A23+LLA!A23+'C&amp;E'!A23+CES!A23+LLT!A23+GB!A23</f>
        <v>0</v>
      </c>
      <c r="B23" s="7">
        <f>CEO!B23+CS!B23+CFO!B23+LLA!B23+'C&amp;E'!B23+CES!B23+LLT!B23+GB!B23</f>
        <v>0</v>
      </c>
      <c r="C23" s="7">
        <f>CEO!C23+CS!C23+CFO!C23+LLA!C23+'C&amp;E'!C23+CES!C23+LLT!C23+GB!C23</f>
        <v>0</v>
      </c>
      <c r="D23" s="7">
        <f>CEO!D23+CS!D23+CFO!D23+LLA!D23+'C&amp;E'!D23+CES!D23+LLT!D23+GB!D23</f>
        <v>0</v>
      </c>
      <c r="E23" s="7">
        <f>CEO!E23+CS!E23+CFO!E23+LLA!E23+'C&amp;E'!E23+CES!E23+LLT!E23+GB!E23</f>
        <v>0</v>
      </c>
      <c r="F23" s="7">
        <f>CEO!F23+CS!F23+CFO!F23+LLA!F23+'C&amp;E'!F23+CES!F23+LLT!F23+GB!F23</f>
        <v>0</v>
      </c>
      <c r="G23" s="7">
        <f>CEO!G23+CS!G23+CFO!G23+LLA!G23+'C&amp;E'!G23+CES!G23+LLT!G23+GB!G23</f>
        <v>0</v>
      </c>
      <c r="H23" s="7">
        <f>CEO!H23+CS!H23+CFO!H23+LLA!H23+'C&amp;E'!H23+CES!H23+LLT!H23+GB!H23</f>
        <v>0</v>
      </c>
      <c r="I23" s="7">
        <f>CEO!I23+CS!I23+CFO!I23+LLA!I23+'C&amp;E'!I23+CES!I23+LLT!I23+GB!I23</f>
        <v>0</v>
      </c>
      <c r="J23" s="7">
        <f>CEO!J23+CS!J23+CFO!J23+LLA!J23+'C&amp;E'!J23+CES!J23+LLT!J23+GB!J23</f>
        <v>0</v>
      </c>
      <c r="K23" s="7">
        <f>CEO!K23+CS!K23+CFO!K23+LLA!K23+'C&amp;E'!K23+CES!K23+LLT!K23+GB!K23</f>
        <v>0</v>
      </c>
      <c r="L23" s="7">
        <f>CEO!L23+CS!L23+CFO!L23+LLA!L23+'C&amp;E'!L23+CES!L23+LLT!L23+GB!L23</f>
        <v>0</v>
      </c>
      <c r="M23" s="125" t="s">
        <v>427</v>
      </c>
      <c r="N23" s="7">
        <f t="shared" si="16"/>
        <v>0</v>
      </c>
      <c r="O23" s="7">
        <f t="shared" si="6"/>
        <v>0</v>
      </c>
      <c r="P23" s="7">
        <f t="shared" si="1"/>
        <v>0</v>
      </c>
      <c r="Q23" s="7">
        <f>CEO!Q23+CS!Q23+CFO!Q23+LLA!Q23+'C&amp;E'!Q23+CES!Q23+LLT!Q23+GB!Q23</f>
        <v>0</v>
      </c>
      <c r="R23" s="7">
        <f t="shared" si="17"/>
        <v>0</v>
      </c>
      <c r="S23" s="7">
        <v>0</v>
      </c>
      <c r="T23" s="7">
        <f>CEO!T23+CS!T23+CFO!T23+LLA!T23+'C&amp;E'!T23+CES!T23+LLT!T23+GB!T23</f>
        <v>0</v>
      </c>
      <c r="U23" s="7">
        <f t="shared" si="7"/>
        <v>0</v>
      </c>
      <c r="V23" s="7">
        <f t="shared" si="3"/>
        <v>0</v>
      </c>
      <c r="W23" s="7"/>
      <c r="X23" s="7">
        <f>CEO!Q23+CS!Q23+CFO!Q23+LLA!Q23+'C&amp;E'!Q23+CES!Q23+LLT!Q23+GB!Q23</f>
        <v>0</v>
      </c>
      <c r="Y23" s="7">
        <f t="shared" ref="Y23:Y26" si="20">X23-Q23</f>
        <v>0</v>
      </c>
      <c r="Z23" s="7">
        <f t="shared" si="18"/>
        <v>0</v>
      </c>
      <c r="AA23" s="7">
        <f t="shared" si="19"/>
        <v>0</v>
      </c>
      <c r="AB23" s="7">
        <f t="shared" si="19"/>
        <v>0</v>
      </c>
    </row>
    <row r="24" spans="1:28" x14ac:dyDescent="0.3">
      <c r="A24" s="7">
        <f>CEO!A24+CS!A24+CFO!A24+LLA!A24+'C&amp;E'!A24+CES!A24+LLT!A24+GB!A24</f>
        <v>23328.48</v>
      </c>
      <c r="B24" s="7">
        <f>CEO!B24+CS!B24+CFO!B24+LLA!B24+'C&amp;E'!B24+CES!B24+LLT!B24+GB!B24</f>
        <v>23328.48</v>
      </c>
      <c r="C24" s="7">
        <f>CEO!C24+CS!C24+CFO!C24+LLA!C24+'C&amp;E'!C24+CES!C24+LLT!C24+GB!C24</f>
        <v>23328.48</v>
      </c>
      <c r="D24" s="7">
        <f>CEO!D24+CS!D24+CFO!D24+LLA!D24+'C&amp;E'!D24+CES!D24+LLT!D24+GB!D24</f>
        <v>23328.48</v>
      </c>
      <c r="E24" s="7">
        <f>CEO!E24+CS!E24+CFO!E24+LLA!E24+'C&amp;E'!E24+CES!E24+LLT!E24+GB!E24</f>
        <v>23328.48</v>
      </c>
      <c r="F24" s="7">
        <f>CEO!F24+CS!F24+CFO!F24+LLA!F24+'C&amp;E'!F24+CES!F24+LLT!F24+GB!F24</f>
        <v>23328.48</v>
      </c>
      <c r="G24" s="7">
        <f>CEO!G24+CS!G24+CFO!G24+LLA!G24+'C&amp;E'!G24+CES!G24+LLT!G24+GB!G24</f>
        <v>23328.48</v>
      </c>
      <c r="H24" s="7">
        <f>CEO!H24+CS!H24+CFO!H24+LLA!H24+'C&amp;E'!H24+CES!H24+LLT!H24+GB!H24</f>
        <v>23328.48</v>
      </c>
      <c r="I24" s="7">
        <f>CEO!I24+CS!I24+CFO!I24+LLA!I24+'C&amp;E'!I24+CES!I24+LLT!I24+GB!I24</f>
        <v>23328.48</v>
      </c>
      <c r="J24" s="7">
        <f>CEO!J24+CS!J24+CFO!J24+LLA!J24+'C&amp;E'!J24+CES!J24+LLT!J24+GB!J24</f>
        <v>23328.48</v>
      </c>
      <c r="K24" s="7">
        <f>CEO!K24+CS!K24+CFO!K24+LLA!K24+'C&amp;E'!K24+CES!K24+LLT!K24+GB!K24</f>
        <v>23328.48</v>
      </c>
      <c r="L24" s="7">
        <f>CEO!L24+CS!L24+CFO!L24+LLA!L24+'C&amp;E'!L24+CES!L24+LLT!L24+GB!L24</f>
        <v>23333.48</v>
      </c>
      <c r="M24" s="125" t="s">
        <v>428</v>
      </c>
      <c r="N24" s="7">
        <f t="shared" si="16"/>
        <v>233284.80000000005</v>
      </c>
      <c r="O24" s="7">
        <f>SUM(K24:L24)</f>
        <v>46661.96</v>
      </c>
      <c r="P24" s="7">
        <f t="shared" si="1"/>
        <v>279946.76000000007</v>
      </c>
      <c r="Q24" s="7">
        <f>CEO!Q24+CS!Q24+CFO!Q24+LLA!Q24+'C&amp;E'!Q24+CES!Q24+LLT!Q24+GB!Q24</f>
        <v>279946.76000000007</v>
      </c>
      <c r="R24" s="7">
        <f t="shared" si="17"/>
        <v>0</v>
      </c>
      <c r="S24" s="7">
        <v>0</v>
      </c>
      <c r="T24" s="7">
        <f>CEO!T24+CS!T24+CFO!T24+LLA!T24+'C&amp;E'!T24+CES!T24+LLT!T24+GB!T24</f>
        <v>0</v>
      </c>
      <c r="U24" s="7">
        <f t="shared" si="7"/>
        <v>279946.76000000007</v>
      </c>
      <c r="V24" s="7">
        <f t="shared" si="3"/>
        <v>0</v>
      </c>
      <c r="W24" s="7"/>
      <c r="X24" s="7">
        <f>CEO!Q24+CS!Q24+CFO!Q24+LLA!Q24+'C&amp;E'!Q24+CES!Q24+LLT!Q24+GB!Q24</f>
        <v>279946.76000000007</v>
      </c>
      <c r="Y24" s="7">
        <f t="shared" si="20"/>
        <v>0</v>
      </c>
      <c r="Z24" s="7">
        <f t="shared" si="18"/>
        <v>279946.76000000007</v>
      </c>
      <c r="AA24" s="7">
        <f t="shared" si="19"/>
        <v>293384.20448000007</v>
      </c>
      <c r="AB24" s="7">
        <f t="shared" si="19"/>
        <v>307173.26209056005</v>
      </c>
    </row>
    <row r="25" spans="1:28" x14ac:dyDescent="0.3">
      <c r="A25" s="7">
        <f>CEO!A25+CS!A25+CFO!A25+LLA!A25+'C&amp;E'!A25+CES!A25+LLT!A25+GB!A25</f>
        <v>1290.0880000000002</v>
      </c>
      <c r="B25" s="7">
        <f>CEO!B25+CS!B25+CFO!B25+LLA!B25+'C&amp;E'!B25+CES!B25+LLT!B25+GB!B25</f>
        <v>1290.0880000000002</v>
      </c>
      <c r="C25" s="7">
        <f>CEO!C25+CS!C25+CFO!C25+LLA!C25+'C&amp;E'!C25+CES!C25+LLT!C25+GB!C25</f>
        <v>1290.0880000000002</v>
      </c>
      <c r="D25" s="7">
        <f>CEO!D25+CS!D25+CFO!D25+LLA!D25+'C&amp;E'!D25+CES!D25+LLT!D25+GB!D25</f>
        <v>1290.0880000000002</v>
      </c>
      <c r="E25" s="7">
        <f>CEO!E25+CS!E25+CFO!E25+LLA!E25+'C&amp;E'!E25+CES!E25+LLT!E25+GB!E25</f>
        <v>1290.0880000000002</v>
      </c>
      <c r="F25" s="7">
        <f>CEO!F25+CS!F25+CFO!F25+LLA!F25+'C&amp;E'!F25+CES!F25+LLT!F25+GB!F25</f>
        <v>1290.0880000000002</v>
      </c>
      <c r="G25" s="7">
        <f>CEO!G25+CS!G25+CFO!G25+LLA!G25+'C&amp;E'!G25+CES!G25+LLT!G25+GB!G25</f>
        <v>1290.0880000000002</v>
      </c>
      <c r="H25" s="7">
        <f>CEO!H25+CS!H25+CFO!H25+LLA!H25+'C&amp;E'!H25+CES!H25+LLT!H25+GB!H25</f>
        <v>1290.0880000000002</v>
      </c>
      <c r="I25" s="7">
        <f>CEO!I25+CS!I25+CFO!I25+LLA!I25+'C&amp;E'!I25+CES!I25+LLT!I25+GB!I25</f>
        <v>1290.0880000000002</v>
      </c>
      <c r="J25" s="7">
        <f>CEO!J25+CS!J25+CFO!J25+LLA!J25+'C&amp;E'!J25+CES!J25+LLT!J25+GB!J25</f>
        <v>1290.0880000000002</v>
      </c>
      <c r="K25" s="7">
        <f>CEO!K25+CS!K25+CFO!K25+LLA!K25+'C&amp;E'!K25+CES!K25+LLT!K25+GB!K25</f>
        <v>1290.0880000000002</v>
      </c>
      <c r="L25" s="7">
        <f>CEO!L25+CS!L25+CFO!L25+LLA!L25+'C&amp;E'!L25+CES!L25+LLT!L25+GB!L25</f>
        <v>1298.0880000000002</v>
      </c>
      <c r="M25" s="13" t="s">
        <v>429</v>
      </c>
      <c r="N25" s="7">
        <f t="shared" si="16"/>
        <v>12900.88</v>
      </c>
      <c r="O25" s="7">
        <f>SUM(K25:L25)</f>
        <v>2588.1760000000004</v>
      </c>
      <c r="P25" s="7">
        <f t="shared" si="1"/>
        <v>15489.056</v>
      </c>
      <c r="Q25" s="7">
        <f>CEO!Q25+CS!Q25+CFO!Q25+LLA!Q25+'C&amp;E'!Q25+CES!Q25+LLT!Q25+GB!Q25</f>
        <v>15489.056000000004</v>
      </c>
      <c r="R25" s="7">
        <f t="shared" si="17"/>
        <v>0</v>
      </c>
      <c r="S25" s="7">
        <v>4780</v>
      </c>
      <c r="T25" s="7">
        <f>CEO!T25+CS!T25+CFO!T25+LLA!T25+'C&amp;E'!T25+CES!T25+LLT!T25+GB!T25</f>
        <v>8301</v>
      </c>
      <c r="U25" s="7">
        <f t="shared" si="7"/>
        <v>28570.056000000004</v>
      </c>
      <c r="V25" s="7">
        <f t="shared" si="3"/>
        <v>13081.000000000004</v>
      </c>
      <c r="W25" s="7"/>
      <c r="X25" s="7">
        <f>CEO!Q25+CS!Q25+CFO!Q25+LLA!Q25+'C&amp;E'!Q25+CES!Q25+LLT!Q25+GB!Q25</f>
        <v>15489.056000000004</v>
      </c>
      <c r="Y25" s="7">
        <f t="shared" si="20"/>
        <v>0</v>
      </c>
      <c r="Z25" s="7">
        <f t="shared" si="18"/>
        <v>15489.056000000004</v>
      </c>
      <c r="AA25" s="7">
        <f t="shared" si="19"/>
        <v>16232.530688000004</v>
      </c>
      <c r="AB25" s="7">
        <f t="shared" si="19"/>
        <v>16995.459630336005</v>
      </c>
    </row>
    <row r="26" spans="1:28" x14ac:dyDescent="0.3">
      <c r="A26" s="7">
        <f>CEO!A26+CS!A26+CFO!A26+LLA!A26+'C&amp;E'!A26+CES!A26+LLT!A26+GB!A26</f>
        <v>0</v>
      </c>
      <c r="B26" s="7">
        <f>CEO!B26+CS!B26+CFO!B26+LLA!B26+'C&amp;E'!B26+CES!B26+LLT!B26+GB!B26</f>
        <v>0</v>
      </c>
      <c r="C26" s="7">
        <f>CEO!C26+CS!C26+CFO!C26+LLA!C26+'C&amp;E'!C26+CES!C26+LLT!C26+GB!C26</f>
        <v>0</v>
      </c>
      <c r="D26" s="7">
        <f>CEO!D26+CS!D26+CFO!D26+LLA!D26+'C&amp;E'!D26+CES!D26+LLT!D26+GB!D26</f>
        <v>0</v>
      </c>
      <c r="E26" s="7">
        <f>CEO!E26+CS!E26+CFO!E26+LLA!E26+'C&amp;E'!E26+CES!E26+LLT!E26+GB!E26</f>
        <v>0</v>
      </c>
      <c r="F26" s="7">
        <f>CEO!F26+CS!F26+CFO!F26+LLA!F26+'C&amp;E'!F26+CES!F26+LLT!F26+GB!F26</f>
        <v>0</v>
      </c>
      <c r="G26" s="7">
        <f>CEO!G26+CS!G26+CFO!G26+LLA!G26+'C&amp;E'!G26+CES!G26+LLT!G26+GB!G26</f>
        <v>0</v>
      </c>
      <c r="H26" s="7">
        <f>CEO!H26+CS!H26+CFO!H26+LLA!H26+'C&amp;E'!H26+CES!H26+LLT!H26+GB!H26</f>
        <v>0</v>
      </c>
      <c r="I26" s="11">
        <f>CEO!I26+CS!I26+CFO!I26+LLA!I26+'C&amp;E'!I26+CES!I26+LLT!I26+GB!I26</f>
        <v>0</v>
      </c>
      <c r="J26" s="11">
        <f>CEO!J26+CS!J26+CFO!J26+LLA!J26+'C&amp;E'!J26+CES!J26+LLT!J26+GB!J26</f>
        <v>0</v>
      </c>
      <c r="K26" s="11">
        <f>CEO!K26+CS!K26+CFO!K26+LLA!K26+'C&amp;E'!K26+CES!K26+LLT!K26+GB!K26</f>
        <v>0</v>
      </c>
      <c r="L26" s="11">
        <f>CEO!L26+CS!L26+CFO!L26+LLA!L26+'C&amp;E'!L26+CES!L26+LLT!L26+GB!L26</f>
        <v>0</v>
      </c>
      <c r="M26" s="13" t="s">
        <v>430</v>
      </c>
      <c r="N26" s="11">
        <f t="shared" si="10"/>
        <v>0</v>
      </c>
      <c r="O26" s="11">
        <f t="shared" si="6"/>
        <v>0</v>
      </c>
      <c r="P26" s="11">
        <f t="shared" si="1"/>
        <v>0</v>
      </c>
      <c r="Q26" s="11">
        <f>CEO!Q26+CS!Q26+CFO!Q26+LLA!Q26+'C&amp;E'!Q26+CES!Q26+LLT!Q26+GB!Q26</f>
        <v>0</v>
      </c>
      <c r="R26" s="11">
        <f t="shared" si="17"/>
        <v>0</v>
      </c>
      <c r="S26" s="11">
        <v>0</v>
      </c>
      <c r="T26" s="11">
        <f>CEO!T26+CS!T26+CFO!T26+LLA!T26+'C&amp;E'!T26+CES!T26+LLT!T26+GB!T26</f>
        <v>0</v>
      </c>
      <c r="U26" s="11">
        <f t="shared" si="7"/>
        <v>0</v>
      </c>
      <c r="V26" s="11">
        <f t="shared" si="3"/>
        <v>0</v>
      </c>
      <c r="W26" s="11"/>
      <c r="X26" s="11">
        <f>CEO!Q26+CS!Q26+CFO!Q26+LLA!Q26+'C&amp;E'!Q26+CES!Q26+LLT!Q26+GB!Q26</f>
        <v>0</v>
      </c>
      <c r="Y26" s="11">
        <f t="shared" si="20"/>
        <v>0</v>
      </c>
      <c r="Z26" s="11">
        <f t="shared" si="18"/>
        <v>0</v>
      </c>
      <c r="AA26" s="11">
        <f t="shared" si="19"/>
        <v>0</v>
      </c>
      <c r="AB26" s="11">
        <f t="shared" si="19"/>
        <v>0</v>
      </c>
    </row>
    <row r="27" spans="1:28" ht="5.4" customHeight="1" x14ac:dyDescent="0.3">
      <c r="A27" s="81"/>
      <c r="B27" s="81"/>
      <c r="C27" s="81"/>
      <c r="D27" s="85"/>
      <c r="E27" s="83"/>
      <c r="F27" s="83"/>
      <c r="G27" s="83"/>
      <c r="H27" s="83"/>
      <c r="I27" s="83"/>
      <c r="J27" s="83"/>
      <c r="K27" s="83"/>
      <c r="L27" s="83"/>
      <c r="M27" s="13"/>
      <c r="N27" s="83">
        <f t="shared" si="10"/>
        <v>0</v>
      </c>
      <c r="O27" s="83">
        <f t="shared" si="6"/>
        <v>0</v>
      </c>
      <c r="P27" s="83">
        <f t="shared" si="1"/>
        <v>0</v>
      </c>
      <c r="Q27" s="83"/>
      <c r="R27" s="83">
        <f t="shared" si="11"/>
        <v>0</v>
      </c>
      <c r="S27" s="83">
        <v>0</v>
      </c>
      <c r="T27" s="81">
        <f>CEO!T27+CS!T27+CFO!T27+LLA!T27+'C&amp;E'!T27+CES!T27+LLT!T27+GB!T27</f>
        <v>0</v>
      </c>
      <c r="U27" s="81">
        <f t="shared" si="7"/>
        <v>0</v>
      </c>
      <c r="V27" s="81">
        <f t="shared" si="3"/>
        <v>0</v>
      </c>
      <c r="W27" s="81"/>
      <c r="X27" s="83">
        <f>CEO!Q27+CS!Q27+CFO!Q27+LLA!Q27+'C&amp;E'!Q27+CES!Q27+LLT!Q27+GB!Q27</f>
        <v>0</v>
      </c>
      <c r="Y27" s="83">
        <f t="shared" si="12"/>
        <v>0</v>
      </c>
      <c r="Z27" s="83"/>
      <c r="AA27" s="83"/>
      <c r="AB27" s="83"/>
    </row>
    <row r="28" spans="1:28" x14ac:dyDescent="0.3">
      <c r="A28" s="4">
        <f>SUM(A20:A26)</f>
        <v>191379.47200000001</v>
      </c>
      <c r="B28" s="4">
        <f>SUM(B20:B26)</f>
        <v>191379.47200000001</v>
      </c>
      <c r="C28" s="4">
        <f t="shared" ref="C28:L28" si="21">SUM(C20:C26)</f>
        <v>191379.47200000001</v>
      </c>
      <c r="D28" s="4">
        <f t="shared" si="21"/>
        <v>191379.47200000001</v>
      </c>
      <c r="E28" s="4">
        <f t="shared" si="21"/>
        <v>191379.47200000001</v>
      </c>
      <c r="F28" s="4">
        <f t="shared" si="21"/>
        <v>191379.47200000001</v>
      </c>
      <c r="G28" s="4">
        <f t="shared" si="21"/>
        <v>191379.47200000001</v>
      </c>
      <c r="H28" s="4">
        <f t="shared" si="21"/>
        <v>191379.47200000001</v>
      </c>
      <c r="I28" s="4">
        <f t="shared" si="21"/>
        <v>191379.47200000001</v>
      </c>
      <c r="J28" s="4">
        <f t="shared" si="21"/>
        <v>191379.47200000001</v>
      </c>
      <c r="K28" s="4">
        <f t="shared" si="21"/>
        <v>191379.47200000001</v>
      </c>
      <c r="L28" s="4">
        <f t="shared" si="21"/>
        <v>202150.03200000001</v>
      </c>
      <c r="M28" s="13" t="s">
        <v>97</v>
      </c>
      <c r="N28" s="4">
        <f t="shared" ref="N28" si="22">SUM(N20:N26)</f>
        <v>1913794.7199999995</v>
      </c>
      <c r="O28" s="4">
        <f>SUM(O20:O26)</f>
        <v>393529.50400000002</v>
      </c>
      <c r="P28" s="4">
        <f>SUM(P20:P26)</f>
        <v>2307324.2239999995</v>
      </c>
      <c r="Q28" s="4">
        <f>SUM(Q20:Q26)</f>
        <v>2307324.2239999999</v>
      </c>
      <c r="R28" s="4">
        <f t="shared" ref="R28:S28" si="23">SUM(R20:R26)</f>
        <v>0</v>
      </c>
      <c r="S28" s="4">
        <f t="shared" si="23"/>
        <v>4533780</v>
      </c>
      <c r="T28" s="4">
        <f>CEO!T28+CS!T28+CFO!T28+LLA!T28+'C&amp;E'!T28+CES!T28+LLT!T28+GB!T28</f>
        <v>-707103</v>
      </c>
      <c r="U28" s="4">
        <f t="shared" si="7"/>
        <v>6134001.2239999995</v>
      </c>
      <c r="V28" s="4">
        <f t="shared" si="3"/>
        <v>3826677</v>
      </c>
      <c r="W28" s="4"/>
      <c r="X28" s="4">
        <f>CEO!Q28+CS!Q28+CFO!Q28+LLA!Q28+'C&amp;E'!Q28+CES!Q28+LLT!Q28+GB!Q28</f>
        <v>2307324.2239999995</v>
      </c>
      <c r="Y28" s="4">
        <f t="shared" si="12"/>
        <v>0</v>
      </c>
      <c r="Z28" s="4">
        <f>SUM(Z20:Z26)</f>
        <v>2307324.2239999999</v>
      </c>
      <c r="AA28" s="4">
        <f>SUM(AA20:AA26)</f>
        <v>2428834.7867519995</v>
      </c>
      <c r="AB28" s="4">
        <f>SUM(AB20:AB26)</f>
        <v>2657684.0217293436</v>
      </c>
    </row>
    <row r="29" spans="1:28" ht="3.6" customHeight="1" x14ac:dyDescent="0.3">
      <c r="A29" s="81"/>
      <c r="B29" s="81"/>
      <c r="C29" s="81"/>
      <c r="D29" s="82"/>
      <c r="E29" s="86"/>
      <c r="F29" s="86"/>
      <c r="G29" s="86"/>
      <c r="H29" s="86"/>
      <c r="I29" s="86"/>
      <c r="J29" s="86"/>
      <c r="K29" s="86"/>
      <c r="L29" s="86"/>
      <c r="M29" s="80"/>
      <c r="N29" s="86">
        <f t="shared" si="10"/>
        <v>0</v>
      </c>
      <c r="O29" s="86">
        <f t="shared" si="6"/>
        <v>0</v>
      </c>
      <c r="P29" s="86">
        <f t="shared" si="1"/>
        <v>0</v>
      </c>
      <c r="Q29" s="86"/>
      <c r="R29" s="86">
        <f t="shared" si="11"/>
        <v>0</v>
      </c>
      <c r="S29" s="86">
        <v>0</v>
      </c>
      <c r="T29" s="81">
        <f>CEO!T29+CS!T29+CFO!T29+LLA!T29+'C&amp;E'!T29+CES!T29+LLT!T29+GB!T29</f>
        <v>0</v>
      </c>
      <c r="U29" s="81">
        <f t="shared" si="7"/>
        <v>0</v>
      </c>
      <c r="V29" s="81">
        <f t="shared" si="3"/>
        <v>0</v>
      </c>
      <c r="W29" s="81"/>
      <c r="X29" s="86">
        <f>CEO!Q29+CS!Q29+CFO!Q29+LLA!Q29+'C&amp;E'!Q29+CES!Q29+LLT!Q29+GB!Q29</f>
        <v>0</v>
      </c>
      <c r="Y29" s="86">
        <f t="shared" si="12"/>
        <v>0</v>
      </c>
      <c r="Z29" s="86"/>
      <c r="AA29" s="86"/>
      <c r="AB29" s="86"/>
    </row>
    <row r="30" spans="1:28" x14ac:dyDescent="0.3">
      <c r="A30" s="8">
        <f>CEO!A30+CS!A30+CFO!A30+LLA!A30+'C&amp;E'!A30+CES!A30+LLT!A30+GB!A30</f>
        <v>0</v>
      </c>
      <c r="B30" s="8">
        <f>CEO!B30+CS!B30+CFO!B30+LLA!B30+'C&amp;E'!B30+CES!B30+LLT!B30+GB!B30</f>
        <v>295515.20767999999</v>
      </c>
      <c r="C30" s="8">
        <f>CEO!C30+CS!C30+CFO!C30+LLA!C30+'C&amp;E'!C30+CES!C30+LLT!C30+GB!C30</f>
        <v>471100.05160000001</v>
      </c>
      <c r="D30" s="8">
        <f>CEO!D30+CS!D30+CFO!D30+LLA!D30+'C&amp;E'!D30+CES!D30+LLT!D30+GB!D30</f>
        <v>667871.71416000009</v>
      </c>
      <c r="E30" s="8">
        <f>CEO!E30+CS!E30+CFO!E30+LLA!E30+'C&amp;E'!E30+CES!E30+LLT!E30+GB!E30</f>
        <v>242312.57592000006</v>
      </c>
      <c r="F30" s="8">
        <f>CEO!F30+CS!F30+CFO!F30+LLA!F30+'C&amp;E'!F30+CES!F30+LLT!F30+GB!F30</f>
        <v>0</v>
      </c>
      <c r="G30" s="8">
        <f>CEO!G30+CS!G30+CFO!G30+LLA!G30+'C&amp;E'!G30+CES!G30+LLT!G30+GB!G30</f>
        <v>0</v>
      </c>
      <c r="H30" s="8">
        <f>CEO!H30+CS!H30+CFO!H30+LLA!H30+'C&amp;E'!H30+CES!H30+LLT!H30+GB!H30</f>
        <v>0</v>
      </c>
      <c r="I30" s="8">
        <f>CEO!I30+CS!I30+CFO!I30+LLA!I30+'C&amp;E'!I30+CES!I30+LLT!I30+GB!I30</f>
        <v>0</v>
      </c>
      <c r="J30" s="8">
        <f>CEO!J30+CS!J30+CFO!J30+LLA!J30+'C&amp;E'!J30+CES!J30+LLT!J30+GB!J30</f>
        <v>0</v>
      </c>
      <c r="K30" s="8">
        <f>CEO!K30+CS!K30+CFO!K30+LLA!K30+'C&amp;E'!K30+CES!K30+LLT!K30+GB!K30</f>
        <v>0</v>
      </c>
      <c r="L30" s="8">
        <f>CEO!L30+CS!L30+CFO!L30+LLA!L30+'C&amp;E'!L30+CES!L30+LLT!L30+GB!L30</f>
        <v>0</v>
      </c>
      <c r="M30" s="127" t="s">
        <v>431</v>
      </c>
      <c r="N30" s="8">
        <f>SUM(A30:J30)</f>
        <v>1676799.5493600001</v>
      </c>
      <c r="O30" s="8">
        <f t="shared" si="6"/>
        <v>0</v>
      </c>
      <c r="P30" s="8">
        <f t="shared" si="1"/>
        <v>1676799.5493600001</v>
      </c>
      <c r="Q30" s="8">
        <f>CEO!Q30+CS!Q30+CFO!Q30+LLA!Q30+'C&amp;E'!Q30+CES!Q30+LLT!Q30+GB!Q30</f>
        <v>1676799.5493600001</v>
      </c>
      <c r="R30" s="8">
        <f t="shared" ref="R30:R44" si="24">Q30-P30</f>
        <v>0</v>
      </c>
      <c r="S30" s="8">
        <v>0</v>
      </c>
      <c r="T30" s="8">
        <f>CEO!T30+CS!T30+CFO!T30+LLA!T30+'C&amp;E'!T30+CES!T30+LLT!T30+GB!T30</f>
        <v>683270.35999999987</v>
      </c>
      <c r="U30" s="8">
        <f t="shared" si="7"/>
        <v>2360069.9093599999</v>
      </c>
      <c r="V30" s="8">
        <f t="shared" si="3"/>
        <v>683270.35999999987</v>
      </c>
      <c r="W30" s="8"/>
      <c r="X30" s="8">
        <f>CEO!Q30+CS!Q30+CFO!Q30+LLA!Q30+'C&amp;E'!Q30+CES!Q30+LLT!Q30+GB!Q30</f>
        <v>1676799.5493600001</v>
      </c>
      <c r="Y30" s="8">
        <f t="shared" ref="Y30:Y44" si="25">X30-Q30</f>
        <v>0</v>
      </c>
      <c r="Z30" s="8">
        <f t="shared" ref="Z30:Z44" si="26">Q30</f>
        <v>1676799.5493600001</v>
      </c>
      <c r="AA30" s="8">
        <f t="shared" ref="AA30:AB43" si="27">Z30*(1+AA$3)</f>
        <v>1757285.9277292802</v>
      </c>
      <c r="AB30" s="8">
        <f t="shared" si="27"/>
        <v>1839878.3663325564</v>
      </c>
    </row>
    <row r="31" spans="1:28" x14ac:dyDescent="0.3">
      <c r="A31" s="7">
        <f>CEO!A31+CS!A31+CFO!A31+LLA!A31+'C&amp;E'!A31+CES!A31+LLT!A31+GB!A31</f>
        <v>9215.0640000000003</v>
      </c>
      <c r="B31" s="7">
        <f>CEO!B31+CS!B31+CFO!B31+LLA!B31+'C&amp;E'!B31+CES!B31+LLT!B31+GB!B31</f>
        <v>9215.0640000000003</v>
      </c>
      <c r="C31" s="7">
        <f>CEO!C31+CS!C31+CFO!C31+LLA!C31+'C&amp;E'!C31+CES!C31+LLT!C31+GB!C31</f>
        <v>9215.0640000000003</v>
      </c>
      <c r="D31" s="7">
        <f>CEO!D31+CS!D31+CFO!D31+LLA!D31+'C&amp;E'!D31+CES!D31+LLT!D31+GB!D31</f>
        <v>9215.0640000000003</v>
      </c>
      <c r="E31" s="7">
        <f>CEO!E31+CS!E31+CFO!E31+LLA!E31+'C&amp;E'!E31+CES!E31+LLT!E31+GB!E31</f>
        <v>9215.0640000000003</v>
      </c>
      <c r="F31" s="7">
        <f>CEO!F31+CS!F31+CFO!F31+LLA!F31+'C&amp;E'!F31+CES!F31+LLT!F31+GB!F31</f>
        <v>9215.0640000000003</v>
      </c>
      <c r="G31" s="7">
        <f>CEO!G31+CS!G31+CFO!G31+LLA!G31+'C&amp;E'!G31+CES!G31+LLT!G31+GB!G31</f>
        <v>9215.0640000000003</v>
      </c>
      <c r="H31" s="7">
        <f>CEO!H31+CS!H31+CFO!H31+LLA!H31+'C&amp;E'!H31+CES!H31+LLT!H31+GB!H31</f>
        <v>9215.0640000000003</v>
      </c>
      <c r="I31" s="7">
        <f>CEO!I31+CS!I31+CFO!I31+LLA!I31+'C&amp;E'!I31+CES!I31+LLT!I31+GB!I31</f>
        <v>9215.0640000000003</v>
      </c>
      <c r="J31" s="7">
        <f>CEO!J31+CS!J31+CFO!J31+LLA!J31+'C&amp;E'!J31+CES!J31+LLT!J31+GB!J31</f>
        <v>9215.0640000000003</v>
      </c>
      <c r="K31" s="7">
        <f>CEO!K31+CS!K31+CFO!K31+LLA!K31+'C&amp;E'!K31+CES!K31+LLT!K31+GB!K31</f>
        <v>9215.0640000000003</v>
      </c>
      <c r="L31" s="7">
        <f>CEO!L31+CS!L31+CFO!L31+LLA!L31+'C&amp;E'!L31+CES!L31+LLT!L31+GB!L31</f>
        <v>9214.0640000000003</v>
      </c>
      <c r="M31" s="13" t="s">
        <v>432</v>
      </c>
      <c r="N31" s="7">
        <f t="shared" si="10"/>
        <v>92150.64</v>
      </c>
      <c r="O31" s="7">
        <f t="shared" si="6"/>
        <v>18429.128000000001</v>
      </c>
      <c r="P31" s="7">
        <f t="shared" si="1"/>
        <v>110579.768</v>
      </c>
      <c r="Q31" s="7">
        <f>CEO!Q31+CS!Q31+CFO!Q31+LLA!Q31+'C&amp;E'!Q31+CES!Q31+LLT!Q31+GB!Q31</f>
        <v>110579.768</v>
      </c>
      <c r="R31" s="7">
        <f t="shared" si="24"/>
        <v>0</v>
      </c>
      <c r="S31" s="7">
        <v>0</v>
      </c>
      <c r="T31" s="7">
        <f>CEO!T31+CS!T31+CFO!T31+LLA!T31+'C&amp;E'!T31+CES!T31+LLT!T31+GB!T31</f>
        <v>20432</v>
      </c>
      <c r="U31" s="7">
        <f t="shared" si="7"/>
        <v>131011.768</v>
      </c>
      <c r="V31" s="7">
        <f t="shared" si="3"/>
        <v>20432</v>
      </c>
      <c r="W31" s="7"/>
      <c r="X31" s="7">
        <f>CEO!Q31+CS!Q31+CFO!Q31+LLA!Q31+'C&amp;E'!Q31+CES!Q31+LLT!Q31+GB!Q31</f>
        <v>110579.768</v>
      </c>
      <c r="Y31" s="7">
        <f t="shared" si="25"/>
        <v>0</v>
      </c>
      <c r="Z31" s="7">
        <f t="shared" si="26"/>
        <v>110579.768</v>
      </c>
      <c r="AA31" s="7">
        <f t="shared" si="27"/>
        <v>115887.59686400001</v>
      </c>
      <c r="AB31" s="7">
        <f t="shared" si="27"/>
        <v>121334.31391660799</v>
      </c>
    </row>
    <row r="32" spans="1:28" x14ac:dyDescent="0.3">
      <c r="A32" s="7">
        <f>CEO!A32+CS!A32+CFO!A32+LLA!A32+'C&amp;E'!A32+CES!A32+LLT!A32+GB!A32</f>
        <v>74534.808000000005</v>
      </c>
      <c r="B32" s="7">
        <f>CEO!B32+CS!B32+CFO!B32+LLA!B32+'C&amp;E'!B32+CES!B32+LLT!B32+GB!B32</f>
        <v>74534.808000000005</v>
      </c>
      <c r="C32" s="7">
        <f>CEO!C32+CS!C32+CFO!C32+LLA!C32+'C&amp;E'!C32+CES!C32+LLT!C32+GB!C32</f>
        <v>74534.808000000005</v>
      </c>
      <c r="D32" s="7">
        <f>CEO!D32+CS!D32+CFO!D32+LLA!D32+'C&amp;E'!D32+CES!D32+LLT!D32+GB!D32</f>
        <v>74534.808000000005</v>
      </c>
      <c r="E32" s="7">
        <f>CEO!E32+CS!E32+CFO!E32+LLA!E32+'C&amp;E'!E32+CES!E32+LLT!E32+GB!E32</f>
        <v>74534.808000000005</v>
      </c>
      <c r="F32" s="7">
        <f>CEO!F32+CS!F32+CFO!F32+LLA!F32+'C&amp;E'!F32+CES!F32+LLT!F32+GB!F32</f>
        <v>74534.808000000005</v>
      </c>
      <c r="G32" s="7">
        <f>CEO!G32+CS!G32+CFO!G32+LLA!G32+'C&amp;E'!G32+CES!G32+LLT!G32+GB!G32</f>
        <v>74534.808000000005</v>
      </c>
      <c r="H32" s="7">
        <f>CEO!H32+CS!H32+CFO!H32+LLA!H32+'C&amp;E'!H32+CES!H32+LLT!H32+GB!H32</f>
        <v>74534.808000000005</v>
      </c>
      <c r="I32" s="7">
        <f>CEO!I32+CS!I32+CFO!I32+LLA!I32+'C&amp;E'!I32+CES!I32+LLT!I32+GB!I32</f>
        <v>74534.808000000005</v>
      </c>
      <c r="J32" s="7">
        <f>CEO!J32+CS!J32+CFO!J32+LLA!J32+'C&amp;E'!J32+CES!J32+LLT!J32+GB!J32</f>
        <v>74534.808000000005</v>
      </c>
      <c r="K32" s="7">
        <f>CEO!K32+CS!K32+CFO!K32+LLA!K32+'C&amp;E'!K32+CES!K32+LLT!K32+GB!K32</f>
        <v>74534.808000000005</v>
      </c>
      <c r="L32" s="7">
        <f>CEO!L32+CS!L32+CFO!L32+LLA!L32+'C&amp;E'!L32+CES!L32+LLT!L32+GB!L32</f>
        <v>74535.922317440083</v>
      </c>
      <c r="M32" s="13" t="s">
        <v>433</v>
      </c>
      <c r="N32" s="7">
        <f t="shared" si="10"/>
        <v>745348.08</v>
      </c>
      <c r="O32" s="7">
        <f t="shared" si="6"/>
        <v>149070.73031744009</v>
      </c>
      <c r="P32" s="7">
        <f t="shared" si="1"/>
        <v>894418.81031744007</v>
      </c>
      <c r="Q32" s="7">
        <f>CEO!Q32+CS!Q32+CFO!Q32+LLA!Q32+'C&amp;E'!Q32+CES!Q32+LLT!Q32+GB!Q32</f>
        <v>894418.81031743996</v>
      </c>
      <c r="R32" s="7">
        <f t="shared" si="24"/>
        <v>0</v>
      </c>
      <c r="S32" s="7">
        <v>0</v>
      </c>
      <c r="T32" s="7">
        <f>CEO!T32+CS!T32+CFO!T32+LLA!T32+'C&amp;E'!T32+CES!T32+LLT!T32+GB!T32</f>
        <v>0</v>
      </c>
      <c r="U32" s="7">
        <f t="shared" si="7"/>
        <v>894418.81031743996</v>
      </c>
      <c r="V32" s="7">
        <f t="shared" si="3"/>
        <v>0</v>
      </c>
      <c r="W32" s="7"/>
      <c r="X32" s="7">
        <f>CEO!Q32+CS!Q32+CFO!Q32+LLA!Q32+'C&amp;E'!Q32+CES!Q32+LLT!Q32+GB!Q32</f>
        <v>894418.81031743996</v>
      </c>
      <c r="Y32" s="7">
        <f t="shared" si="25"/>
        <v>0</v>
      </c>
      <c r="Z32" s="7">
        <f t="shared" si="26"/>
        <v>894418.81031743996</v>
      </c>
      <c r="AA32" s="7">
        <f t="shared" si="27"/>
        <v>937350.91321267711</v>
      </c>
      <c r="AB32" s="7">
        <f t="shared" si="27"/>
        <v>981406.40613367292</v>
      </c>
    </row>
    <row r="33" spans="1:28" x14ac:dyDescent="0.3">
      <c r="A33" s="7">
        <f>CEO!A33+CS!A33+CFO!A33+LLA!A33+'C&amp;E'!A33+CES!A33+LLT!A33+GB!A33</f>
        <v>4377.4960000000001</v>
      </c>
      <c r="B33" s="7">
        <f>CEO!B33+CS!B33+CFO!B33+LLA!B33+'C&amp;E'!B33+CES!B33+LLT!B33+GB!B33</f>
        <v>4377.4960000000001</v>
      </c>
      <c r="C33" s="7">
        <f>CEO!C33+CS!C33+CFO!C33+LLA!C33+'C&amp;E'!C33+CES!C33+LLT!C33+GB!C33</f>
        <v>4377.4960000000001</v>
      </c>
      <c r="D33" s="7">
        <f>CEO!D33+CS!D33+CFO!D33+LLA!D33+'C&amp;E'!D33+CES!D33+LLT!D33+GB!D33</f>
        <v>4377.4960000000001</v>
      </c>
      <c r="E33" s="7">
        <f>CEO!E33+CS!E33+CFO!E33+LLA!E33+'C&amp;E'!E33+CES!E33+LLT!E33+GB!E33</f>
        <v>4377.4960000000001</v>
      </c>
      <c r="F33" s="7">
        <f>CEO!F33+CS!F33+CFO!F33+LLA!F33+'C&amp;E'!F33+CES!F33+LLT!F33+GB!F33</f>
        <v>4377.4960000000001</v>
      </c>
      <c r="G33" s="7">
        <f>CEO!G33+CS!G33+CFO!G33+LLA!G33+'C&amp;E'!G33+CES!G33+LLT!G33+GB!G33</f>
        <v>4377.4960000000001</v>
      </c>
      <c r="H33" s="7">
        <f>CEO!H33+CS!H33+CFO!H33+LLA!H33+'C&amp;E'!H33+CES!H33+LLT!H33+GB!H33</f>
        <v>4377.4960000000001</v>
      </c>
      <c r="I33" s="7">
        <f>CEO!I33+CS!I33+CFO!I33+LLA!I33+'C&amp;E'!I33+CES!I33+LLT!I33+GB!I33</f>
        <v>4377.4960000000001</v>
      </c>
      <c r="J33" s="7">
        <f>CEO!J33+CS!J33+CFO!J33+LLA!J33+'C&amp;E'!J33+CES!J33+LLT!J33+GB!J33</f>
        <v>4377.4960000000001</v>
      </c>
      <c r="K33" s="7">
        <f>CEO!K33+CS!K33+CFO!K33+LLA!K33+'C&amp;E'!K33+CES!K33+LLT!K33+GB!K33</f>
        <v>4377.4960000000001</v>
      </c>
      <c r="L33" s="7">
        <f>CEO!L33+CS!L33+CFO!L33+LLA!L33+'C&amp;E'!L33+CES!L33+LLT!L33+GB!L33</f>
        <v>4378.5440000000026</v>
      </c>
      <c r="M33" s="13" t="s">
        <v>434</v>
      </c>
      <c r="N33" s="7">
        <f t="shared" si="10"/>
        <v>43774.96</v>
      </c>
      <c r="O33" s="7">
        <f t="shared" si="6"/>
        <v>8756.0400000000027</v>
      </c>
      <c r="P33" s="7">
        <f t="shared" si="1"/>
        <v>52531</v>
      </c>
      <c r="Q33" s="7">
        <f>CEO!Q33+CS!Q33+CFO!Q33+LLA!Q33+'C&amp;E'!Q33+CES!Q33+LLT!Q33+GB!Q33</f>
        <v>52531</v>
      </c>
      <c r="R33" s="7">
        <f t="shared" si="24"/>
        <v>0</v>
      </c>
      <c r="S33" s="7">
        <v>50125</v>
      </c>
      <c r="T33" s="7">
        <f>CEO!T33+CS!T33+CFO!T33+LLA!T33+'C&amp;E'!T33+CES!T33+LLT!T33+GB!T33</f>
        <v>0</v>
      </c>
      <c r="U33" s="7">
        <f t="shared" si="7"/>
        <v>102656</v>
      </c>
      <c r="V33" s="7">
        <f t="shared" si="3"/>
        <v>50125</v>
      </c>
      <c r="W33" s="7"/>
      <c r="X33" s="7">
        <f>CEO!Q33+CS!Q33+CFO!Q33+LLA!Q33+'C&amp;E'!Q33+CES!Q33+LLT!Q33+GB!Q33</f>
        <v>52531</v>
      </c>
      <c r="Y33" s="7">
        <f t="shared" si="25"/>
        <v>0</v>
      </c>
      <c r="Z33" s="7">
        <f t="shared" si="26"/>
        <v>52531</v>
      </c>
      <c r="AA33" s="7">
        <f t="shared" si="27"/>
        <v>55052.488000000005</v>
      </c>
      <c r="AB33" s="7">
        <f t="shared" si="27"/>
        <v>57639.954936000002</v>
      </c>
    </row>
    <row r="34" spans="1:28" x14ac:dyDescent="0.3">
      <c r="A34" s="7">
        <f>CEO!A34+CS!A34+CFO!A34+LLA!A34+'C&amp;E'!A34+CES!A34+LLT!A34+GB!A34</f>
        <v>34273.792000000001</v>
      </c>
      <c r="B34" s="7">
        <f>CEO!B34+CS!B34+CFO!B34+LLA!B34+'C&amp;E'!B34+CES!B34+LLT!B34+GB!B34</f>
        <v>34273.792000000001</v>
      </c>
      <c r="C34" s="7">
        <f>CEO!C34+CS!C34+CFO!C34+LLA!C34+'C&amp;E'!C34+CES!C34+LLT!C34+GB!C34</f>
        <v>34273.792000000001</v>
      </c>
      <c r="D34" s="7">
        <f>CEO!D34+CS!D34+CFO!D34+LLA!D34+'C&amp;E'!D34+CES!D34+LLT!D34+GB!D34</f>
        <v>34273.792000000001</v>
      </c>
      <c r="E34" s="7">
        <f>CEO!E34+CS!E34+CFO!E34+LLA!E34+'C&amp;E'!E34+CES!E34+LLT!E34+GB!E34</f>
        <v>34273.792000000001</v>
      </c>
      <c r="F34" s="7">
        <f>CEO!F34+CS!F34+CFO!F34+LLA!F34+'C&amp;E'!F34+CES!F34+LLT!F34+GB!F34</f>
        <v>34273.792000000001</v>
      </c>
      <c r="G34" s="7">
        <f>CEO!G34+CS!G34+CFO!G34+LLA!G34+'C&amp;E'!G34+CES!G34+LLT!G34+GB!G34</f>
        <v>34273.792000000001</v>
      </c>
      <c r="H34" s="7">
        <f>CEO!H34+CS!H34+CFO!H34+LLA!H34+'C&amp;E'!H34+CES!H34+LLT!H34+GB!H34</f>
        <v>34273.792000000001</v>
      </c>
      <c r="I34" s="7">
        <f>CEO!I34+CS!I34+CFO!I34+LLA!I34+'C&amp;E'!I34+CES!I34+LLT!I34+GB!I34</f>
        <v>34273.792000000001</v>
      </c>
      <c r="J34" s="7">
        <f>CEO!J34+CS!J34+CFO!J34+LLA!J34+'C&amp;E'!J34+CES!J34+LLT!J34+GB!J34</f>
        <v>34273.792000000001</v>
      </c>
      <c r="K34" s="7">
        <f>CEO!K34+CS!K34+CFO!K34+LLA!K34+'C&amp;E'!K34+CES!K34+LLT!K34+GB!K34</f>
        <v>34273.792000000001</v>
      </c>
      <c r="L34" s="7">
        <f>CEO!L34+CS!L34+CFO!L34+LLA!L34+'C&amp;E'!L34+CES!L34+LLT!L34+GB!L34</f>
        <v>34268.456572264011</v>
      </c>
      <c r="M34" s="13" t="s">
        <v>435</v>
      </c>
      <c r="N34" s="7">
        <f t="shared" si="10"/>
        <v>342737.9200000001</v>
      </c>
      <c r="O34" s="7">
        <f t="shared" si="6"/>
        <v>68542.248572264012</v>
      </c>
      <c r="P34" s="7">
        <f t="shared" si="1"/>
        <v>411280.16857226414</v>
      </c>
      <c r="Q34" s="7">
        <f>CEO!Q34+CS!Q34+CFO!Q34+LLA!Q34+'C&amp;E'!Q34+CES!Q34+LLT!Q34+GB!Q34</f>
        <v>411280.16857226402</v>
      </c>
      <c r="R34" s="7">
        <f t="shared" si="24"/>
        <v>0</v>
      </c>
      <c r="S34" s="7">
        <v>149964</v>
      </c>
      <c r="T34" s="7">
        <f>CEO!T34+CS!T34+CFO!T34+LLA!T34+'C&amp;E'!T34+CES!T34+LLT!T34+GB!T34</f>
        <v>-390716</v>
      </c>
      <c r="U34" s="7">
        <f t="shared" si="7"/>
        <v>170528.16857226402</v>
      </c>
      <c r="V34" s="7">
        <f t="shared" si="3"/>
        <v>-240752.00000000012</v>
      </c>
      <c r="W34" s="7"/>
      <c r="X34" s="7">
        <f>CEO!Q34+CS!Q34+CFO!Q34+LLA!Q34+'C&amp;E'!Q34+CES!Q34+LLT!Q34+GB!Q34</f>
        <v>411280.16857226402</v>
      </c>
      <c r="Y34" s="7">
        <f t="shared" si="25"/>
        <v>0</v>
      </c>
      <c r="Z34" s="7">
        <f t="shared" si="26"/>
        <v>411280.16857226402</v>
      </c>
      <c r="AA34" s="7">
        <f t="shared" si="27"/>
        <v>431021.61666373274</v>
      </c>
      <c r="AB34" s="7">
        <f t="shared" si="27"/>
        <v>451279.63264692813</v>
      </c>
    </row>
    <row r="35" spans="1:28" x14ac:dyDescent="0.3">
      <c r="A35" s="7">
        <f>CEO!A35+CS!A35+CFO!A35+LLA!A35+'C&amp;E'!A35+CES!A35+LLT!A35+GB!A35</f>
        <v>0</v>
      </c>
      <c r="B35" s="7">
        <f>CEO!B35+CS!B35+CFO!B35+LLA!B35+'C&amp;E'!B35+CES!B35+LLT!B35+GB!B35</f>
        <v>0</v>
      </c>
      <c r="C35" s="7">
        <f>CEO!C35+CS!C35+CFO!C35+LLA!C35+'C&amp;E'!C35+CES!C35+LLT!C35+GB!C35</f>
        <v>0</v>
      </c>
      <c r="D35" s="7">
        <f>CEO!D35+CS!D35+CFO!D35+LLA!D35+'C&amp;E'!D35+CES!D35+LLT!D35+GB!D35</f>
        <v>0</v>
      </c>
      <c r="E35" s="7">
        <f>CEO!E35+CS!E35+CFO!E35+LLA!E35+'C&amp;E'!E35+CES!E35+LLT!E35+GB!E35</f>
        <v>0</v>
      </c>
      <c r="F35" s="7">
        <f>CEO!F35+CS!F35+CFO!F35+LLA!F35+'C&amp;E'!F35+CES!F35+LLT!F35+GB!F35</f>
        <v>0</v>
      </c>
      <c r="G35" s="7">
        <f>CEO!G35+CS!G35+CFO!G35+LLA!G35+'C&amp;E'!G35+CES!G35+LLT!G35+GB!G35</f>
        <v>0</v>
      </c>
      <c r="H35" s="7">
        <f>CEO!H35+CS!H35+CFO!H35+LLA!H35+'C&amp;E'!H35+CES!H35+LLT!H35+GB!H35</f>
        <v>0</v>
      </c>
      <c r="I35" s="7">
        <f>CEO!I35+CS!I35+CFO!I35+LLA!I35+'C&amp;E'!I35+CES!I35+LLT!I35+GB!I35</f>
        <v>0</v>
      </c>
      <c r="J35" s="7">
        <f>CEO!J35+CS!J35+CFO!J35+LLA!J35+'C&amp;E'!J35+CES!J35+LLT!J35+GB!J35</f>
        <v>0</v>
      </c>
      <c r="K35" s="7">
        <f>CEO!K35+CS!K35+CFO!K35+LLA!K35+'C&amp;E'!K35+CES!K35+LLT!K35+GB!K35</f>
        <v>0</v>
      </c>
      <c r="L35" s="7">
        <f>CEO!L35+CS!L35+CFO!L35+LLA!L35+'C&amp;E'!L35+CES!L35+LLT!L35+GB!L35</f>
        <v>0</v>
      </c>
      <c r="M35" s="13" t="s">
        <v>436</v>
      </c>
      <c r="N35" s="7">
        <f t="shared" si="10"/>
        <v>0</v>
      </c>
      <c r="O35" s="7">
        <f t="shared" si="6"/>
        <v>0</v>
      </c>
      <c r="P35" s="7">
        <f t="shared" si="1"/>
        <v>0</v>
      </c>
      <c r="Q35" s="7">
        <f>CEO!Q35+CS!Q35+CFO!Q35+LLA!Q35+'C&amp;E'!Q35+CES!Q35+LLT!Q35+GB!Q35</f>
        <v>0</v>
      </c>
      <c r="R35" s="7">
        <f t="shared" si="24"/>
        <v>0</v>
      </c>
      <c r="S35" s="7">
        <v>0</v>
      </c>
      <c r="T35" s="7">
        <f>CEO!T35+CS!T35+CFO!T35+LLA!T35+'C&amp;E'!T35+CES!T35+LLT!T35+GB!T35</f>
        <v>0</v>
      </c>
      <c r="U35" s="7">
        <f t="shared" si="7"/>
        <v>0</v>
      </c>
      <c r="V35" s="7">
        <f t="shared" si="3"/>
        <v>0</v>
      </c>
      <c r="W35" s="7"/>
      <c r="X35" s="7">
        <f>CEO!Q35+CS!Q35+CFO!Q35+LLA!Q35+'C&amp;E'!Q35+CES!Q35+LLT!Q35+GB!Q35</f>
        <v>0</v>
      </c>
      <c r="Y35" s="7">
        <f t="shared" si="25"/>
        <v>0</v>
      </c>
      <c r="Z35" s="7">
        <f t="shared" si="26"/>
        <v>0</v>
      </c>
      <c r="AA35" s="7">
        <f t="shared" si="27"/>
        <v>0</v>
      </c>
      <c r="AB35" s="7">
        <f t="shared" si="27"/>
        <v>0</v>
      </c>
    </row>
    <row r="36" spans="1:28" x14ac:dyDescent="0.3">
      <c r="A36" s="7">
        <f>CEO!A36+CS!A36+CFO!A36+LLA!A36+'C&amp;E'!A36+CES!A36+LLT!A36+GB!A36</f>
        <v>0</v>
      </c>
      <c r="B36" s="7">
        <f>CEO!B36+CS!B36+CFO!B36+LLA!B36+'C&amp;E'!B36+CES!B36+LLT!B36+GB!B36</f>
        <v>0</v>
      </c>
      <c r="C36" s="7">
        <f>CEO!C36+CS!C36+CFO!C36+LLA!C36+'C&amp;E'!C36+CES!C36+LLT!C36+GB!C36</f>
        <v>0</v>
      </c>
      <c r="D36" s="7">
        <f>CEO!D36+CS!D36+CFO!D36+LLA!D36+'C&amp;E'!D36+CES!D36+LLT!D36+GB!D36</f>
        <v>0</v>
      </c>
      <c r="E36" s="7">
        <f>CEO!E36+CS!E36+CFO!E36+LLA!E36+'C&amp;E'!E36+CES!E36+LLT!E36+GB!E36</f>
        <v>0</v>
      </c>
      <c r="F36" s="7">
        <f>CEO!F36+CS!F36+CFO!F36+LLA!F36+'C&amp;E'!F36+CES!F36+LLT!F36+GB!F36</f>
        <v>0</v>
      </c>
      <c r="G36" s="7">
        <f>CEO!G36+CS!G36+CFO!G36+LLA!G36+'C&amp;E'!G36+CES!G36+LLT!G36+GB!G36</f>
        <v>0</v>
      </c>
      <c r="H36" s="7">
        <f>CEO!H36+CS!H36+CFO!H36+LLA!H36+'C&amp;E'!H36+CES!H36+LLT!H36+GB!H36</f>
        <v>0</v>
      </c>
      <c r="I36" s="7">
        <f>CEO!I36+CS!I36+CFO!I36+LLA!I36+'C&amp;E'!I36+CES!I36+LLT!I36+GB!I36</f>
        <v>0</v>
      </c>
      <c r="J36" s="7">
        <f>CEO!J36+CS!J36+CFO!J36+LLA!J36+'C&amp;E'!J36+CES!J36+LLT!J36+GB!J36</f>
        <v>0</v>
      </c>
      <c r="K36" s="7">
        <f>CEO!K36+CS!K36+CFO!K36+LLA!K36+'C&amp;E'!K36+CES!K36+LLT!K36+GB!K36</f>
        <v>0</v>
      </c>
      <c r="L36" s="7">
        <f>CEO!L36+CS!L36+CFO!L36+LLA!L36+'C&amp;E'!L36+CES!L36+LLT!L36+GB!L36</f>
        <v>0</v>
      </c>
      <c r="M36" s="13" t="s">
        <v>437</v>
      </c>
      <c r="N36" s="7">
        <f t="shared" si="10"/>
        <v>0</v>
      </c>
      <c r="O36" s="7">
        <f t="shared" si="6"/>
        <v>0</v>
      </c>
      <c r="P36" s="7">
        <f t="shared" si="1"/>
        <v>0</v>
      </c>
      <c r="Q36" s="7">
        <f>CEO!Q36+CS!Q36+CFO!Q36+LLA!Q36+'C&amp;E'!Q36+CES!Q36+LLT!Q36+GB!Q36</f>
        <v>0</v>
      </c>
      <c r="R36" s="7">
        <f t="shared" si="24"/>
        <v>0</v>
      </c>
      <c r="S36" s="7">
        <v>29007.000000000007</v>
      </c>
      <c r="T36" s="7">
        <f>CEO!T36+CS!T36+CFO!T36+LLA!T36+'C&amp;E'!T36+CES!T36+LLT!T36+GB!T36</f>
        <v>82465</v>
      </c>
      <c r="U36" s="7">
        <f t="shared" si="7"/>
        <v>111472</v>
      </c>
      <c r="V36" s="7">
        <f t="shared" si="3"/>
        <v>111472</v>
      </c>
      <c r="W36" s="7"/>
      <c r="X36" s="7">
        <f>CEO!Q36+CS!Q36+CFO!Q36+LLA!Q36+'C&amp;E'!Q36+CES!Q36+LLT!Q36+GB!Q36</f>
        <v>0</v>
      </c>
      <c r="Y36" s="7">
        <f t="shared" si="25"/>
        <v>0</v>
      </c>
      <c r="Z36" s="7">
        <f t="shared" si="26"/>
        <v>0</v>
      </c>
      <c r="AA36" s="7">
        <f t="shared" si="27"/>
        <v>0</v>
      </c>
      <c r="AB36" s="7">
        <f t="shared" si="27"/>
        <v>0</v>
      </c>
    </row>
    <row r="37" spans="1:28" x14ac:dyDescent="0.3">
      <c r="A37" s="7">
        <f>CEO!A37+CS!A37+CFO!A37+LLA!A37+'C&amp;E'!A37+CES!A37+LLT!A37+GB!A37</f>
        <v>23763.4</v>
      </c>
      <c r="B37" s="7">
        <f>CEO!B37+CS!B37+CFO!B37+LLA!B37+'C&amp;E'!B37+CES!B37+LLT!B37+GB!B37</f>
        <v>23763.4</v>
      </c>
      <c r="C37" s="7">
        <f>CEO!C37+CS!C37+CFO!C37+LLA!C37+'C&amp;E'!C37+CES!C37+LLT!C37+GB!C37</f>
        <v>23763.4</v>
      </c>
      <c r="D37" s="7">
        <f>CEO!D37+CS!D37+CFO!D37+LLA!D37+'C&amp;E'!D37+CES!D37+LLT!D37+GB!D37</f>
        <v>23763.4</v>
      </c>
      <c r="E37" s="7">
        <f>CEO!E37+CS!E37+CFO!E37+LLA!E37+'C&amp;E'!E37+CES!E37+LLT!E37+GB!E37</f>
        <v>23763.4</v>
      </c>
      <c r="F37" s="7">
        <f>CEO!F37+CS!F37+CFO!F37+LLA!F37+'C&amp;E'!F37+CES!F37+LLT!F37+GB!F37</f>
        <v>23763.4</v>
      </c>
      <c r="G37" s="7">
        <f>CEO!G37+CS!G37+CFO!G37+LLA!G37+'C&amp;E'!G37+CES!G37+LLT!G37+GB!G37</f>
        <v>23763.4</v>
      </c>
      <c r="H37" s="7">
        <f>CEO!H37+CS!H37+CFO!H37+LLA!H37+'C&amp;E'!H37+CES!H37+LLT!H37+GB!H37</f>
        <v>23763.4</v>
      </c>
      <c r="I37" s="7">
        <f>CEO!I37+CS!I37+CFO!I37+LLA!I37+'C&amp;E'!I37+CES!I37+LLT!I37+GB!I37</f>
        <v>23763.4</v>
      </c>
      <c r="J37" s="7">
        <f>CEO!J37+CS!J37+CFO!J37+LLA!J37+'C&amp;E'!J37+CES!J37+LLT!J37+GB!J37</f>
        <v>23763.4</v>
      </c>
      <c r="K37" s="7">
        <f>CEO!K37+CS!K37+CFO!K37+LLA!K37+'C&amp;E'!K37+CES!K37+LLT!K37+GB!K37</f>
        <v>23763.4</v>
      </c>
      <c r="L37" s="7">
        <f>CEO!L37+CS!L37+CFO!L37+LLA!L37+'C&amp;E'!L37+CES!L37+LLT!L37+GB!L37</f>
        <v>23766.400000000001</v>
      </c>
      <c r="M37" s="127" t="s">
        <v>438</v>
      </c>
      <c r="N37" s="7">
        <f t="shared" si="10"/>
        <v>237633.99999999997</v>
      </c>
      <c r="O37" s="7">
        <f t="shared" si="6"/>
        <v>47529.8</v>
      </c>
      <c r="P37" s="7">
        <f t="shared" si="1"/>
        <v>285163.8</v>
      </c>
      <c r="Q37" s="7">
        <f>CEO!Q37+CS!Q37+CFO!Q37+LLA!Q37+'C&amp;E'!Q37+CES!Q37+LLT!Q37+GB!Q37</f>
        <v>285163.8</v>
      </c>
      <c r="R37" s="7">
        <f t="shared" si="24"/>
        <v>0</v>
      </c>
      <c r="S37" s="7">
        <v>-59299</v>
      </c>
      <c r="T37" s="7">
        <f>CEO!T37+CS!T37+CFO!T37+LLA!T37+'C&amp;E'!T37+CES!T37+LLT!T37+GB!T37</f>
        <v>19640</v>
      </c>
      <c r="U37" s="7">
        <f t="shared" si="7"/>
        <v>245504.8</v>
      </c>
      <c r="V37" s="7">
        <f t="shared" si="3"/>
        <v>-39659</v>
      </c>
      <c r="W37" s="7"/>
      <c r="X37" s="7">
        <f>CEO!Q37+CS!Q37+CFO!Q37+LLA!Q37+'C&amp;E'!Q37+CES!Q37+LLT!Q37+GB!Q37</f>
        <v>285163.8</v>
      </c>
      <c r="Y37" s="7">
        <f t="shared" si="25"/>
        <v>0</v>
      </c>
      <c r="Z37" s="7">
        <f t="shared" si="26"/>
        <v>285163.8</v>
      </c>
      <c r="AA37" s="7">
        <f t="shared" si="27"/>
        <v>298851.66239999997</v>
      </c>
      <c r="AB37" s="7">
        <f t="shared" si="27"/>
        <v>312897.69053279993</v>
      </c>
    </row>
    <row r="38" spans="1:28" x14ac:dyDescent="0.3">
      <c r="A38" s="7">
        <f>CEO!A38+CS!A38+CFO!A38+LLA!A38+'C&amp;E'!A38+CES!A38+LLT!A38+GB!A38</f>
        <v>249170.38400000002</v>
      </c>
      <c r="B38" s="7">
        <f>CEO!B38+CS!B38+CFO!B38+LLA!B38+'C&amp;E'!B38+CES!B38+LLT!B38+GB!B38</f>
        <v>249170.38400000002</v>
      </c>
      <c r="C38" s="7">
        <f>CEO!C38+CS!C38+CFO!C38+LLA!C38+'C&amp;E'!C38+CES!C38+LLT!C38+GB!C38</f>
        <v>249170.38400000002</v>
      </c>
      <c r="D38" s="7">
        <f>CEO!D38+CS!D38+CFO!D38+LLA!D38+'C&amp;E'!D38+CES!D38+LLT!D38+GB!D38</f>
        <v>249170.38400000002</v>
      </c>
      <c r="E38" s="7">
        <f>CEO!E38+CS!E38+CFO!E38+LLA!E38+'C&amp;E'!E38+CES!E38+LLT!E38+GB!E38</f>
        <v>249170.38400000002</v>
      </c>
      <c r="F38" s="7">
        <f>CEO!F38+CS!F38+CFO!F38+LLA!F38+'C&amp;E'!F38+CES!F38+LLT!F38+GB!F38</f>
        <v>249170.38400000002</v>
      </c>
      <c r="G38" s="7">
        <f>CEO!G38+CS!G38+CFO!G38+LLA!G38+'C&amp;E'!G38+CES!G38+LLT!G38+GB!G38</f>
        <v>249170.38400000002</v>
      </c>
      <c r="H38" s="7">
        <f>CEO!H38+CS!H38+CFO!H38+LLA!H38+'C&amp;E'!H38+CES!H38+LLT!H38+GB!H38</f>
        <v>249170.38400000002</v>
      </c>
      <c r="I38" s="7">
        <f>CEO!I38+CS!I38+CFO!I38+LLA!I38+'C&amp;E'!I38+CES!I38+LLT!I38+GB!I38</f>
        <v>249170.38400000002</v>
      </c>
      <c r="J38" s="7">
        <f>CEO!J38+CS!J38+CFO!J38+LLA!J38+'C&amp;E'!J38+CES!J38+LLT!J38+GB!J38</f>
        <v>249170.38400000002</v>
      </c>
      <c r="K38" s="7">
        <f>CEO!K38+CS!K38+CFO!K38+LLA!K38+'C&amp;E'!K38+CES!K38+LLT!K38+GB!K38</f>
        <v>249170.38400000002</v>
      </c>
      <c r="L38" s="7">
        <f>CEO!L38+CS!L38+CFO!L38+LLA!L38+'C&amp;E'!L38+CES!L38+LLT!L38+GB!L38</f>
        <v>249175.59255999926</v>
      </c>
      <c r="M38" s="13" t="s">
        <v>439</v>
      </c>
      <c r="N38" s="7">
        <f t="shared" si="10"/>
        <v>2491703.8400000003</v>
      </c>
      <c r="O38" s="7">
        <f t="shared" si="6"/>
        <v>498345.97655999928</v>
      </c>
      <c r="P38" s="7">
        <f t="shared" si="1"/>
        <v>2990049.8165599997</v>
      </c>
      <c r="Q38" s="7">
        <f>CEO!Q38+CS!Q38+CFO!Q38+LLA!Q38+'C&amp;E'!Q38+CES!Q38+LLT!Q38+GB!Q38</f>
        <v>2990049.8165599997</v>
      </c>
      <c r="R38" s="7">
        <f t="shared" si="24"/>
        <v>0</v>
      </c>
      <c r="S38" s="7">
        <v>271756.81000000006</v>
      </c>
      <c r="T38" s="7">
        <f>CEO!T38+CS!T38+CFO!T38+LLA!T38+'C&amp;E'!T38+CES!T38+LLT!T38+GB!T38</f>
        <v>0</v>
      </c>
      <c r="U38" s="7">
        <f t="shared" si="7"/>
        <v>3261806.6265599998</v>
      </c>
      <c r="V38" s="7">
        <f t="shared" si="3"/>
        <v>271756.81000000006</v>
      </c>
      <c r="W38" s="7"/>
      <c r="X38" s="7">
        <f>CEO!Q38+CS!Q38+CFO!Q38+LLA!Q38+'C&amp;E'!Q38+CES!Q38+LLT!Q38+GB!Q38</f>
        <v>2990049.8165599997</v>
      </c>
      <c r="Y38" s="7">
        <f t="shared" si="25"/>
        <v>0</v>
      </c>
      <c r="Z38" s="7">
        <f t="shared" si="26"/>
        <v>2990049.8165599997</v>
      </c>
      <c r="AA38" s="7">
        <f t="shared" si="27"/>
        <v>3133572.2077548797</v>
      </c>
      <c r="AB38" s="7">
        <f t="shared" si="27"/>
        <v>3280850.1015193588</v>
      </c>
    </row>
    <row r="39" spans="1:28" x14ac:dyDescent="0.3">
      <c r="A39" s="7">
        <f>CEO!A39+CS!A39+CFO!A39+LLA!A39+'C&amp;E'!A39+CES!A39+LLT!A39+GB!A39</f>
        <v>60451.784</v>
      </c>
      <c r="B39" s="7">
        <f>CEO!B39+CS!B39+CFO!B39+LLA!B39+'C&amp;E'!B39+CES!B39+LLT!B39+GB!B39</f>
        <v>60451.784</v>
      </c>
      <c r="C39" s="7">
        <f>CEO!C39+CS!C39+CFO!C39+LLA!C39+'C&amp;E'!C39+CES!C39+LLT!C39+GB!C39</f>
        <v>60451.784</v>
      </c>
      <c r="D39" s="7">
        <f>CEO!D39+CS!D39+CFO!D39+LLA!D39+'C&amp;E'!D39+CES!D39+LLT!D39+GB!D39</f>
        <v>60451.784</v>
      </c>
      <c r="E39" s="7">
        <f>CEO!E39+CS!E39+CFO!E39+LLA!E39+'C&amp;E'!E39+CES!E39+LLT!E39+GB!E39</f>
        <v>60451.784</v>
      </c>
      <c r="F39" s="7">
        <f>CEO!F39+CS!F39+CFO!F39+LLA!F39+'C&amp;E'!F39+CES!F39+LLT!F39+GB!F39</f>
        <v>60451.784</v>
      </c>
      <c r="G39" s="7">
        <f>CEO!G39+CS!G39+CFO!G39+LLA!G39+'C&amp;E'!G39+CES!G39+LLT!G39+GB!G39</f>
        <v>60451.784</v>
      </c>
      <c r="H39" s="7">
        <f>CEO!H39+CS!H39+CFO!H39+LLA!H39+'C&amp;E'!H39+CES!H39+LLT!H39+GB!H39</f>
        <v>60451.784</v>
      </c>
      <c r="I39" s="7">
        <f>CEO!I39+CS!I39+CFO!I39+LLA!I39+'C&amp;E'!I39+CES!I39+LLT!I39+GB!I39</f>
        <v>60451.784</v>
      </c>
      <c r="J39" s="7">
        <f>CEO!J39+CS!J39+CFO!J39+LLA!J39+'C&amp;E'!J39+CES!J39+LLT!J39+GB!J39</f>
        <v>60451.784</v>
      </c>
      <c r="K39" s="7">
        <f>CEO!K39+CS!K39+CFO!K39+LLA!K39+'C&amp;E'!K39+CES!K39+LLT!K39+GB!K39</f>
        <v>60451.784</v>
      </c>
      <c r="L39" s="7">
        <f>CEO!L39+CS!L39+CFO!L39+LLA!L39+'C&amp;E'!L39+CES!L39+LLT!L39+GB!L39</f>
        <v>60453.259586096057</v>
      </c>
      <c r="M39" s="13" t="s">
        <v>440</v>
      </c>
      <c r="N39" s="7">
        <f t="shared" si="10"/>
        <v>604517.84</v>
      </c>
      <c r="O39" s="7">
        <f t="shared" si="6"/>
        <v>120905.04358609606</v>
      </c>
      <c r="P39" s="7">
        <f t="shared" si="1"/>
        <v>725422.883586096</v>
      </c>
      <c r="Q39" s="7">
        <f>CEO!Q39+CS!Q39+CFO!Q39+LLA!Q39+'C&amp;E'!Q39+CES!Q39+LLT!Q39+GB!Q39</f>
        <v>725422.883586096</v>
      </c>
      <c r="R39" s="7">
        <f t="shared" si="24"/>
        <v>0</v>
      </c>
      <c r="S39" s="7">
        <v>0</v>
      </c>
      <c r="T39" s="7">
        <f>CEO!T39+CS!T39+CFO!T39+LLA!T39+'C&amp;E'!T39+CES!T39+LLT!T39+GB!T39</f>
        <v>30000</v>
      </c>
      <c r="U39" s="7">
        <f t="shared" si="7"/>
        <v>755422.883586096</v>
      </c>
      <c r="V39" s="7">
        <f t="shared" si="3"/>
        <v>30000</v>
      </c>
      <c r="W39" s="7"/>
      <c r="X39" s="7">
        <f>CEO!Q39+CS!Q39+CFO!Q39+LLA!Q39+'C&amp;E'!Q39+CES!Q39+LLT!Q39+GB!Q39</f>
        <v>725422.883586096</v>
      </c>
      <c r="Y39" s="7">
        <f t="shared" si="25"/>
        <v>0</v>
      </c>
      <c r="Z39" s="7">
        <f t="shared" si="26"/>
        <v>725422.883586096</v>
      </c>
      <c r="AA39" s="7">
        <f t="shared" si="27"/>
        <v>760243.18199822865</v>
      </c>
      <c r="AB39" s="7">
        <f t="shared" si="27"/>
        <v>795974.61155214533</v>
      </c>
    </row>
    <row r="40" spans="1:28" x14ac:dyDescent="0.3">
      <c r="A40" s="7">
        <f>CEO!A40+CS!A40+CFO!A40+LLA!A40+'C&amp;E'!A40+CES!A40+LLT!A40+GB!A40</f>
        <v>1180.048</v>
      </c>
      <c r="B40" s="7">
        <f>CEO!B40+CS!B40+CFO!B40+LLA!B40+'C&amp;E'!B40+CES!B40+LLT!B40+GB!B40</f>
        <v>1180.048</v>
      </c>
      <c r="C40" s="7">
        <f>CEO!C40+CS!C40+CFO!C40+LLA!C40+'C&amp;E'!C40+CES!C40+LLT!C40+GB!C40</f>
        <v>1180.048</v>
      </c>
      <c r="D40" s="7">
        <f>CEO!D40+CS!D40+CFO!D40+LLA!D40+'C&amp;E'!D40+CES!D40+LLT!D40+GB!D40</f>
        <v>1180.048</v>
      </c>
      <c r="E40" s="7">
        <f>CEO!E40+CS!E40+CFO!E40+LLA!E40+'C&amp;E'!E40+CES!E40+LLT!E40+GB!E40</f>
        <v>1180.048</v>
      </c>
      <c r="F40" s="7">
        <f>CEO!F40+CS!F40+CFO!F40+LLA!F40+'C&amp;E'!F40+CES!F40+LLT!F40+GB!F40</f>
        <v>1180.048</v>
      </c>
      <c r="G40" s="7">
        <f>CEO!G40+CS!G40+CFO!G40+LLA!G40+'C&amp;E'!G40+CES!G40+LLT!G40+GB!G40</f>
        <v>1180.048</v>
      </c>
      <c r="H40" s="7">
        <f>CEO!H40+CS!H40+CFO!H40+LLA!H40+'C&amp;E'!H40+CES!H40+LLT!H40+GB!H40</f>
        <v>1180.048</v>
      </c>
      <c r="I40" s="7">
        <f>CEO!I40+CS!I40+CFO!I40+LLA!I40+'C&amp;E'!I40+CES!I40+LLT!I40+GB!I40</f>
        <v>1180.048</v>
      </c>
      <c r="J40" s="7">
        <f>CEO!J40+CS!J40+CFO!J40+LLA!J40+'C&amp;E'!J40+CES!J40+LLT!J40+GB!J40</f>
        <v>1180.048</v>
      </c>
      <c r="K40" s="7">
        <f>CEO!K40+CS!K40+CFO!K40+LLA!K40+'C&amp;E'!K40+CES!K40+LLT!K40+GB!K40</f>
        <v>1180.048</v>
      </c>
      <c r="L40" s="7">
        <f>CEO!L40+CS!L40+CFO!L40+LLA!L40+'C&amp;E'!L40+CES!L40+LLT!L40+GB!L40</f>
        <v>1184.7884453126419</v>
      </c>
      <c r="M40" s="13" t="s">
        <v>441</v>
      </c>
      <c r="N40" s="7">
        <f t="shared" si="10"/>
        <v>11800.480000000001</v>
      </c>
      <c r="O40" s="7">
        <f t="shared" si="6"/>
        <v>2364.8364453126419</v>
      </c>
      <c r="P40" s="7">
        <f t="shared" si="1"/>
        <v>14165.316445312643</v>
      </c>
      <c r="Q40" s="7">
        <f>CEO!Q40+CS!Q40+CFO!Q40+LLA!Q40+'C&amp;E'!Q40+CES!Q40+LLT!Q40+GB!Q40</f>
        <v>14165.316445312645</v>
      </c>
      <c r="R40" s="7">
        <f t="shared" si="24"/>
        <v>0</v>
      </c>
      <c r="S40" s="7">
        <v>-6745</v>
      </c>
      <c r="T40" s="7">
        <f>CEO!T40+CS!T40+CFO!T40+LLA!T40+'C&amp;E'!T40+CES!T40+LLT!T40+GB!T40</f>
        <v>0</v>
      </c>
      <c r="U40" s="7">
        <f t="shared" si="7"/>
        <v>7420.3164453126446</v>
      </c>
      <c r="V40" s="7">
        <f t="shared" si="3"/>
        <v>-6744.9999999999982</v>
      </c>
      <c r="W40" s="7"/>
      <c r="X40" s="7">
        <f>CEO!Q40+CS!Q40+CFO!Q40+LLA!Q40+'C&amp;E'!Q40+CES!Q40+LLT!Q40+GB!Q40</f>
        <v>14165.316445312645</v>
      </c>
      <c r="Y40" s="7">
        <f t="shared" si="25"/>
        <v>0</v>
      </c>
      <c r="Z40" s="7">
        <f t="shared" si="26"/>
        <v>14165.316445312645</v>
      </c>
      <c r="AA40" s="7">
        <f t="shared" si="27"/>
        <v>14845.251634687653</v>
      </c>
      <c r="AB40" s="7">
        <f t="shared" si="27"/>
        <v>15542.978461517971</v>
      </c>
    </row>
    <row r="41" spans="1:28" x14ac:dyDescent="0.3">
      <c r="A41" s="7">
        <f>CEO!A41+CS!A41+CFO!A41+LLA!A41+'C&amp;E'!A41+CES!A41+LLT!A41+GB!A41</f>
        <v>19656.288</v>
      </c>
      <c r="B41" s="7">
        <f>CEO!B41+CS!B41+CFO!B41+LLA!B41+'C&amp;E'!B41+CES!B41+LLT!B41+GB!B41</f>
        <v>19656.288</v>
      </c>
      <c r="C41" s="7">
        <f>CEO!C41+CS!C41+CFO!C41+LLA!C41+'C&amp;E'!C41+CES!C41+LLT!C41+GB!C41</f>
        <v>19656.288</v>
      </c>
      <c r="D41" s="7">
        <f>CEO!D41+CS!D41+CFO!D41+LLA!D41+'C&amp;E'!D41+CES!D41+LLT!D41+GB!D41</f>
        <v>19656.288</v>
      </c>
      <c r="E41" s="7">
        <f>CEO!E41+CS!E41+CFO!E41+LLA!E41+'C&amp;E'!E41+CES!E41+LLT!E41+GB!E41</f>
        <v>19656.288</v>
      </c>
      <c r="F41" s="7">
        <f>CEO!F41+CS!F41+CFO!F41+LLA!F41+'C&amp;E'!F41+CES!F41+LLT!F41+GB!F41</f>
        <v>19656.288</v>
      </c>
      <c r="G41" s="7">
        <f>CEO!G41+CS!G41+CFO!G41+LLA!G41+'C&amp;E'!G41+CES!G41+LLT!G41+GB!G41</f>
        <v>19656.288</v>
      </c>
      <c r="H41" s="7">
        <f>CEO!H41+CS!H41+CFO!H41+LLA!H41+'C&amp;E'!H41+CES!H41+LLT!H41+GB!H41</f>
        <v>19656.288</v>
      </c>
      <c r="I41" s="7">
        <f>CEO!I41+CS!I41+CFO!I41+LLA!I41+'C&amp;E'!I41+CES!I41+LLT!I41+GB!I41</f>
        <v>19656.288</v>
      </c>
      <c r="J41" s="7">
        <f>CEO!J41+CS!J41+CFO!J41+LLA!J41+'C&amp;E'!J41+CES!J41+LLT!J41+GB!J41</f>
        <v>19656.288</v>
      </c>
      <c r="K41" s="7">
        <f>CEO!K41+CS!K41+CFO!K41+LLA!K41+'C&amp;E'!K41+CES!K41+LLT!K41+GB!K41</f>
        <v>19656.288</v>
      </c>
      <c r="L41" s="7">
        <f>CEO!L41+CS!L41+CFO!L41+LLA!L41+'C&amp;E'!L41+CES!L41+LLT!L41+GB!L41</f>
        <v>19653.382450392004</v>
      </c>
      <c r="M41" s="13" t="s">
        <v>442</v>
      </c>
      <c r="N41" s="7">
        <f t="shared" si="10"/>
        <v>196562.88</v>
      </c>
      <c r="O41" s="7">
        <f t="shared" si="6"/>
        <v>39309.670450392005</v>
      </c>
      <c r="P41" s="7">
        <f t="shared" si="1"/>
        <v>235872.55045039201</v>
      </c>
      <c r="Q41" s="7">
        <f>CEO!Q41+CS!Q41+CFO!Q41+LLA!Q41+'C&amp;E'!Q41+CES!Q41+LLT!Q41+GB!Q41</f>
        <v>235872.55045039201</v>
      </c>
      <c r="R41" s="7">
        <f t="shared" si="24"/>
        <v>0</v>
      </c>
      <c r="S41" s="7">
        <v>2966</v>
      </c>
      <c r="T41" s="7">
        <f>CEO!T41+CS!T41+CFO!T41+LLA!T41+'C&amp;E'!T41+CES!T41+LLT!T41+GB!T41</f>
        <v>1</v>
      </c>
      <c r="U41" s="7">
        <f t="shared" si="7"/>
        <v>238839.55045039201</v>
      </c>
      <c r="V41" s="7">
        <f t="shared" si="3"/>
        <v>2967</v>
      </c>
      <c r="W41" s="7"/>
      <c r="X41" s="7">
        <f>CEO!Q41+CS!Q41+CFO!Q41+LLA!Q41+'C&amp;E'!Q41+CES!Q41+LLT!Q41+GB!Q41</f>
        <v>235872.55045039201</v>
      </c>
      <c r="Y41" s="7">
        <f t="shared" si="25"/>
        <v>0</v>
      </c>
      <c r="Z41" s="7">
        <f t="shared" si="26"/>
        <v>235872.55045039201</v>
      </c>
      <c r="AA41" s="7">
        <f t="shared" si="27"/>
        <v>247194.43287201083</v>
      </c>
      <c r="AB41" s="7">
        <f t="shared" si="27"/>
        <v>258812.57121699533</v>
      </c>
    </row>
    <row r="42" spans="1:28" x14ac:dyDescent="0.3">
      <c r="A42" s="7">
        <f>CEO!A42+CS!A42+CFO!A42+LLA!A42+'C&amp;E'!A42+CES!A42+LLT!A42+GB!A42</f>
        <v>13516.056</v>
      </c>
      <c r="B42" s="7">
        <f>CEO!B42+CS!B42+CFO!B42+LLA!B42+'C&amp;E'!B42+CES!B42+LLT!B42+GB!B42</f>
        <v>13516.056</v>
      </c>
      <c r="C42" s="7">
        <f>CEO!C42+CS!C42+CFO!C42+LLA!C42+'C&amp;E'!C42+CES!C42+LLT!C42+GB!C42</f>
        <v>13516.056</v>
      </c>
      <c r="D42" s="7">
        <f>CEO!D42+CS!D42+CFO!D42+LLA!D42+'C&amp;E'!D42+CES!D42+LLT!D42+GB!D42</f>
        <v>13516.056</v>
      </c>
      <c r="E42" s="7">
        <f>CEO!E42+CS!E42+CFO!E42+LLA!E42+'C&amp;E'!E42+CES!E42+LLT!E42+GB!E42</f>
        <v>13516.056</v>
      </c>
      <c r="F42" s="7">
        <f>CEO!F42+CS!F42+CFO!F42+LLA!F42+'C&amp;E'!F42+CES!F42+LLT!F42+GB!F42</f>
        <v>13516.056</v>
      </c>
      <c r="G42" s="7">
        <f>CEO!G42+CS!G42+CFO!G42+LLA!G42+'C&amp;E'!G42+CES!G42+LLT!G42+GB!G42</f>
        <v>13516.056</v>
      </c>
      <c r="H42" s="7">
        <f>CEO!H42+CS!H42+CFO!H42+LLA!H42+'C&amp;E'!H42+CES!H42+LLT!H42+GB!H42</f>
        <v>13516.056</v>
      </c>
      <c r="I42" s="7">
        <f>CEO!I42+CS!I42+CFO!I42+LLA!I42+'C&amp;E'!I42+CES!I42+LLT!I42+GB!I42</f>
        <v>13516.056</v>
      </c>
      <c r="J42" s="7">
        <f>CEO!J42+CS!J42+CFO!J42+LLA!J42+'C&amp;E'!J42+CES!J42+LLT!J42+GB!J42</f>
        <v>13516.056</v>
      </c>
      <c r="K42" s="7">
        <f>CEO!K42+CS!K42+CFO!K42+LLA!K42+'C&amp;E'!K42+CES!K42+LLT!K42+GB!K42</f>
        <v>13516.056</v>
      </c>
      <c r="L42" s="7">
        <f>CEO!L42+CS!L42+CFO!L42+LLA!L42+'C&amp;E'!L42+CES!L42+LLT!L42+GB!L42</f>
        <v>13518.053729039984</v>
      </c>
      <c r="M42" s="13" t="s">
        <v>443</v>
      </c>
      <c r="N42" s="7">
        <f t="shared" si="10"/>
        <v>135160.56</v>
      </c>
      <c r="O42" s="7">
        <f t="shared" si="6"/>
        <v>27034.109729039985</v>
      </c>
      <c r="P42" s="7">
        <f t="shared" si="1"/>
        <v>162194.66972903998</v>
      </c>
      <c r="Q42" s="7">
        <f>CEO!Q42+CS!Q42+CFO!Q42+LLA!Q42+'C&amp;E'!Q42+CES!Q42+LLT!Q42+GB!Q42</f>
        <v>162194.66972904</v>
      </c>
      <c r="R42" s="7">
        <f t="shared" si="24"/>
        <v>0</v>
      </c>
      <c r="S42" s="7">
        <v>-292461</v>
      </c>
      <c r="T42" s="7">
        <f>CEO!T42+CS!T42+CFO!T42+LLA!T42+'C&amp;E'!T42+CES!T42+LLT!T42+GB!T42</f>
        <v>0</v>
      </c>
      <c r="U42" s="7">
        <f t="shared" si="7"/>
        <v>-130266.33027096</v>
      </c>
      <c r="V42" s="7">
        <f t="shared" si="3"/>
        <v>-292461</v>
      </c>
      <c r="W42" s="7"/>
      <c r="X42" s="7">
        <f>CEO!Q42+CS!Q42+CFO!Q42+LLA!Q42+'C&amp;E'!Q42+CES!Q42+LLT!Q42+GB!Q42</f>
        <v>162194.66972904</v>
      </c>
      <c r="Y42" s="7">
        <f t="shared" si="25"/>
        <v>0</v>
      </c>
      <c r="Z42" s="7">
        <f t="shared" si="26"/>
        <v>162194.66972904</v>
      </c>
      <c r="AA42" s="7">
        <f t="shared" si="27"/>
        <v>169980.01387603392</v>
      </c>
      <c r="AB42" s="7">
        <f t="shared" si="27"/>
        <v>177969.07452820751</v>
      </c>
    </row>
    <row r="43" spans="1:28" x14ac:dyDescent="0.3">
      <c r="A43" s="7">
        <f>CEO!A43+CS!A43+CFO!A43+LLA!A43+'C&amp;E'!A43+CES!A43+LLT!A43+GB!A43</f>
        <v>12851.624</v>
      </c>
      <c r="B43" s="7">
        <f>CEO!B43+CS!B43+CFO!B43+LLA!B43+'C&amp;E'!B43+CES!B43+LLT!B43+GB!B43</f>
        <v>12851.624</v>
      </c>
      <c r="C43" s="7">
        <f>CEO!C43+CS!C43+CFO!C43+LLA!C43+'C&amp;E'!C43+CES!C43+LLT!C43+GB!C43</f>
        <v>12851.624</v>
      </c>
      <c r="D43" s="7">
        <f>CEO!D43+CS!D43+CFO!D43+LLA!D43+'C&amp;E'!D43+CES!D43+LLT!D43+GB!D43</f>
        <v>12851.624</v>
      </c>
      <c r="E43" s="7">
        <f>CEO!E43+CS!E43+CFO!E43+LLA!E43+'C&amp;E'!E43+CES!E43+LLT!E43+GB!E43</f>
        <v>12851.624</v>
      </c>
      <c r="F43" s="7">
        <f>CEO!F43+CS!F43+CFO!F43+LLA!F43+'C&amp;E'!F43+CES!F43+LLT!F43+GB!F43</f>
        <v>12851.624</v>
      </c>
      <c r="G43" s="7">
        <f>CEO!G43+CS!G43+CFO!G43+LLA!G43+'C&amp;E'!G43+CES!G43+LLT!G43+GB!G43</f>
        <v>12851.624</v>
      </c>
      <c r="H43" s="7">
        <f>CEO!H43+CS!H43+CFO!H43+LLA!H43+'C&amp;E'!H43+CES!H43+LLT!H43+GB!H43</f>
        <v>12851.624</v>
      </c>
      <c r="I43" s="7">
        <f>CEO!I43+CS!I43+CFO!I43+LLA!I43+'C&amp;E'!I43+CES!I43+LLT!I43+GB!I43</f>
        <v>12851.624</v>
      </c>
      <c r="J43" s="7">
        <f>CEO!J43+CS!J43+CFO!J43+LLA!J43+'C&amp;E'!J43+CES!J43+LLT!J43+GB!J43</f>
        <v>12851.624</v>
      </c>
      <c r="K43" s="7">
        <f>CEO!K43+CS!K43+CFO!K43+LLA!K43+'C&amp;E'!K43+CES!K43+LLT!K43+GB!K43</f>
        <v>12851.624</v>
      </c>
      <c r="L43" s="7">
        <f>CEO!L43+CS!L43+CFO!L43+LLA!L43+'C&amp;E'!L43+CES!L43+LLT!L43+GB!L43</f>
        <v>12853.283843360015</v>
      </c>
      <c r="M43" s="13" t="s">
        <v>444</v>
      </c>
      <c r="N43" s="7">
        <f t="shared" si="10"/>
        <v>128516.23999999998</v>
      </c>
      <c r="O43" s="7">
        <f t="shared" si="6"/>
        <v>25704.907843360015</v>
      </c>
      <c r="P43" s="7">
        <f t="shared" si="1"/>
        <v>154221.14784336</v>
      </c>
      <c r="Q43" s="7">
        <f>CEO!Q43+CS!Q43+CFO!Q43+LLA!Q43+'C&amp;E'!Q43+CES!Q43+LLT!Q43+GB!Q43</f>
        <v>154221.14784336</v>
      </c>
      <c r="R43" s="7">
        <f t="shared" si="24"/>
        <v>0</v>
      </c>
      <c r="S43" s="7">
        <v>-28298</v>
      </c>
      <c r="T43" s="7">
        <f>CEO!T43+CS!T43+CFO!T43+LLA!T43+'C&amp;E'!T43+CES!T43+LLT!T43+GB!T43</f>
        <v>8135</v>
      </c>
      <c r="U43" s="7">
        <f t="shared" si="7"/>
        <v>134058.14784336</v>
      </c>
      <c r="V43" s="7">
        <f t="shared" si="3"/>
        <v>-20163</v>
      </c>
      <c r="W43" s="7"/>
      <c r="X43" s="7">
        <f>CEO!Q43+CS!Q43+CFO!Q43+LLA!Q43+'C&amp;E'!Q43+CES!Q43+LLT!Q43+GB!Q43</f>
        <v>154221.14784336</v>
      </c>
      <c r="Y43" s="7">
        <f t="shared" si="25"/>
        <v>0</v>
      </c>
      <c r="Z43" s="7">
        <f t="shared" si="26"/>
        <v>154221.14784336</v>
      </c>
      <c r="AA43" s="7">
        <f t="shared" si="27"/>
        <v>161623.76293984128</v>
      </c>
      <c r="AB43" s="7">
        <f t="shared" si="27"/>
        <v>169220.07979801382</v>
      </c>
    </row>
    <row r="44" spans="1:28" x14ac:dyDescent="0.3">
      <c r="A44" s="11">
        <f>CEO!A44+CS!A44+CFO!A44+LLA!A44+'C&amp;E'!A44+CES!A44+LLT!A44+GB!A44</f>
        <v>0</v>
      </c>
      <c r="B44" s="11">
        <f>CEO!B44+CS!B44+CFO!B44+LLA!B44+'C&amp;E'!B44+CES!B44+LLT!B44+GB!B44</f>
        <v>0</v>
      </c>
      <c r="C44" s="11">
        <f>CEO!C44+CS!C44+CFO!C44+LLA!C44+'C&amp;E'!C44+CES!C44+LLT!C44+GB!C44</f>
        <v>0</v>
      </c>
      <c r="D44" s="11">
        <f>CEO!D44+CS!D44+CFO!D44+LLA!D44+'C&amp;E'!D44+CES!D44+LLT!D44+GB!D44</f>
        <v>0</v>
      </c>
      <c r="E44" s="11">
        <f>CEO!E44+CS!E44+CFO!E44+LLA!E44+'C&amp;E'!E44+CES!E44+LLT!E44+GB!E44</f>
        <v>0</v>
      </c>
      <c r="F44" s="11">
        <f>CEO!F44+CS!F44+CFO!F44+LLA!F44+'C&amp;E'!F44+CES!F44+LLT!F44+GB!F44</f>
        <v>0</v>
      </c>
      <c r="G44" s="11">
        <f>CEO!G44+CS!G44+CFO!G44+LLA!G44+'C&amp;E'!G44+CES!G44+LLT!G44+GB!G44</f>
        <v>0</v>
      </c>
      <c r="H44" s="11">
        <f>CEO!H44+CS!H44+CFO!H44+LLA!H44+'C&amp;E'!H44+CES!H44+LLT!H44+GB!H44</f>
        <v>0</v>
      </c>
      <c r="I44" s="11">
        <f>CEO!I44+CS!I44+CFO!I44+LLA!I44+'C&amp;E'!I44+CES!I44+LLT!I44+GB!I44</f>
        <v>0</v>
      </c>
      <c r="J44" s="11">
        <f>CEO!J44+CS!J44+CFO!J44+LLA!J44+'C&amp;E'!J44+CES!J44+LLT!J44+GB!J44</f>
        <v>0</v>
      </c>
      <c r="K44" s="11">
        <f>CEO!K44+CS!K44+CFO!K44+LLA!K44+'C&amp;E'!K44+CES!K44+LLT!K44+GB!K44</f>
        <v>0</v>
      </c>
      <c r="L44" s="11">
        <f>CEO!L44+CS!L44+CFO!L44+LLA!L44+'C&amp;E'!L44+CES!L44+LLT!L44+GB!L44</f>
        <v>0</v>
      </c>
      <c r="M44" s="127" t="s">
        <v>113</v>
      </c>
      <c r="N44" s="11">
        <f t="shared" si="10"/>
        <v>0</v>
      </c>
      <c r="O44" s="11">
        <f t="shared" si="6"/>
        <v>0</v>
      </c>
      <c r="P44" s="11">
        <f t="shared" si="1"/>
        <v>0</v>
      </c>
      <c r="Q44" s="11">
        <f>CEO!Q44+CS!Q44+CFO!Q44+LLA!Q44+'C&amp;E'!Q44+CES!Q44+LLT!Q44+GB!Q44</f>
        <v>0</v>
      </c>
      <c r="R44" s="11">
        <f t="shared" si="24"/>
        <v>0</v>
      </c>
      <c r="S44" s="11">
        <v>0</v>
      </c>
      <c r="T44" s="11">
        <f>CEO!T44+CS!T44+CFO!T44+LLA!T44+'C&amp;E'!T44+CES!T44+LLT!T44+GB!T44</f>
        <v>0</v>
      </c>
      <c r="U44" s="11">
        <f t="shared" si="7"/>
        <v>0</v>
      </c>
      <c r="V44" s="11">
        <f t="shared" si="3"/>
        <v>0</v>
      </c>
      <c r="W44" s="11"/>
      <c r="X44" s="11">
        <f>CEO!Q44+CS!Q44+CFO!Q44+LLA!Q44+'C&amp;E'!Q44+CES!Q44+LLT!Q44+GB!Q44</f>
        <v>0</v>
      </c>
      <c r="Y44" s="11">
        <f t="shared" si="25"/>
        <v>0</v>
      </c>
      <c r="Z44" s="11">
        <f t="shared" si="26"/>
        <v>0</v>
      </c>
      <c r="AA44" s="11" t="e">
        <f>CEO!AA44+CS!AA44+CFO!Z44+LLA!#REF!+'C&amp;E'!AA44+CES!AA44+LLT!AA44+GB!AA44</f>
        <v>#REF!</v>
      </c>
      <c r="AB44" s="11" t="e">
        <f t="shared" ref="AB44" si="28">AA44*(1+AB$3)</f>
        <v>#REF!</v>
      </c>
    </row>
    <row r="45" spans="1:28" ht="4.2" customHeight="1" x14ac:dyDescent="0.3">
      <c r="A45" s="86"/>
      <c r="B45" s="86"/>
      <c r="C45" s="86"/>
      <c r="D45" s="85"/>
      <c r="E45" s="83"/>
      <c r="F45" s="83"/>
      <c r="G45" s="83"/>
      <c r="H45" s="83"/>
      <c r="I45" s="83"/>
      <c r="J45" s="83"/>
      <c r="K45" s="83"/>
      <c r="L45" s="83"/>
      <c r="M45" s="13"/>
      <c r="N45" s="83">
        <f t="shared" si="10"/>
        <v>0</v>
      </c>
      <c r="O45" s="83">
        <f t="shared" si="6"/>
        <v>0</v>
      </c>
      <c r="P45" s="83">
        <f t="shared" si="1"/>
        <v>0</v>
      </c>
      <c r="Q45" s="83"/>
      <c r="R45" s="83">
        <f t="shared" si="11"/>
        <v>0</v>
      </c>
      <c r="S45" s="83">
        <v>0</v>
      </c>
      <c r="T45" s="86">
        <f>CEO!T45+CS!T45+CFO!T45+LLA!T45+'C&amp;E'!T45+CES!T45+LLT!T45+GB!T45</f>
        <v>0</v>
      </c>
      <c r="U45" s="86">
        <f t="shared" si="7"/>
        <v>0</v>
      </c>
      <c r="V45" s="86">
        <f t="shared" si="3"/>
        <v>0</v>
      </c>
      <c r="W45" s="86"/>
      <c r="X45" s="83">
        <f>CEO!Q45+CS!Q45+CFO!Q45+LLA!Q45+'C&amp;E'!Q45+CES!Q45+LLT!Q45+GB!Q45</f>
        <v>0</v>
      </c>
      <c r="Y45" s="83">
        <f t="shared" si="12"/>
        <v>0</v>
      </c>
      <c r="Z45" s="83"/>
      <c r="AA45" s="83"/>
      <c r="AB45" s="83"/>
    </row>
    <row r="46" spans="1:28" x14ac:dyDescent="0.3">
      <c r="A46" s="4">
        <f>SUM(A30:A44)</f>
        <v>502990.74400000001</v>
      </c>
      <c r="B46" s="4">
        <f>SUM(B30:B44)</f>
        <v>798505.95167999994</v>
      </c>
      <c r="C46" s="4">
        <f>SUM(C30:C44)</f>
        <v>974090.79559999984</v>
      </c>
      <c r="D46" s="4">
        <f t="shared" ref="D46:L46" si="29">SUM(D30:D44)</f>
        <v>1170862.4581600002</v>
      </c>
      <c r="E46" s="4">
        <f t="shared" si="29"/>
        <v>745303.31991999992</v>
      </c>
      <c r="F46" s="4">
        <f t="shared" si="29"/>
        <v>502990.74400000001</v>
      </c>
      <c r="G46" s="4">
        <f t="shared" si="29"/>
        <v>502990.74400000001</v>
      </c>
      <c r="H46" s="4">
        <f t="shared" si="29"/>
        <v>502990.74400000001</v>
      </c>
      <c r="I46" s="4">
        <f t="shared" si="29"/>
        <v>502990.74400000001</v>
      </c>
      <c r="J46" s="4">
        <f t="shared" si="29"/>
        <v>502990.74400000001</v>
      </c>
      <c r="K46" s="4">
        <f t="shared" si="29"/>
        <v>502990.74400000001</v>
      </c>
      <c r="L46" s="4">
        <f t="shared" si="29"/>
        <v>503001.74750390404</v>
      </c>
      <c r="M46" s="13" t="s">
        <v>114</v>
      </c>
      <c r="N46" s="4">
        <f t="shared" ref="N46:P46" si="30">SUM(N30:N44)</f>
        <v>6706706.98936</v>
      </c>
      <c r="O46" s="4">
        <f t="shared" si="30"/>
        <v>1005992.4915039039</v>
      </c>
      <c r="P46" s="4">
        <f t="shared" si="30"/>
        <v>7712699.4808639036</v>
      </c>
      <c r="Q46" s="4">
        <f>SUM(Q30:Q44)</f>
        <v>7712699.4808639036</v>
      </c>
      <c r="R46" s="4">
        <f t="shared" ref="R46:S46" si="31">SUM(R30:R44)</f>
        <v>0</v>
      </c>
      <c r="S46" s="4">
        <f t="shared" si="31"/>
        <v>117015.81000000006</v>
      </c>
      <c r="T46" s="4">
        <f>CEO!T46+CS!T46+CFO!T46+LLA!T46+'C&amp;E'!T46+CES!T46+LLT!T46+GB!T46</f>
        <v>453227.35999999987</v>
      </c>
      <c r="U46" s="4">
        <f t="shared" si="7"/>
        <v>8282942.6508639026</v>
      </c>
      <c r="V46" s="4">
        <f t="shared" si="3"/>
        <v>570243.16999999899</v>
      </c>
      <c r="W46" s="4"/>
      <c r="X46" s="4">
        <f>CEO!Q46+CS!Q46+CFO!Q46+LLA!Q46+'C&amp;E'!Q46+CES!Q46+LLT!Q46+GB!Q46</f>
        <v>7712699.4808639046</v>
      </c>
      <c r="Y46" s="4">
        <f t="shared" si="12"/>
        <v>0</v>
      </c>
      <c r="Z46" s="4">
        <f>SUM(Z30:Z44)</f>
        <v>7712699.4808639036</v>
      </c>
      <c r="AA46" s="4" t="e">
        <f>SUM(AA30:AA44)</f>
        <v>#REF!</v>
      </c>
      <c r="AB46" s="4" t="e">
        <f>SUM(AB30:AB44)</f>
        <v>#REF!</v>
      </c>
    </row>
    <row r="47" spans="1:28" x14ac:dyDescent="0.3">
      <c r="A47" s="81"/>
      <c r="B47" s="81"/>
      <c r="C47" s="81"/>
      <c r="D47" s="82"/>
      <c r="E47" s="86"/>
      <c r="F47" s="86"/>
      <c r="G47" s="86"/>
      <c r="H47" s="86"/>
      <c r="I47" s="86"/>
      <c r="J47" s="86"/>
      <c r="K47" s="86"/>
      <c r="L47" s="86"/>
      <c r="M47" s="80"/>
      <c r="N47" s="86">
        <f t="shared" si="10"/>
        <v>0</v>
      </c>
      <c r="O47" s="86">
        <f t="shared" si="6"/>
        <v>0</v>
      </c>
      <c r="P47" s="86">
        <f t="shared" si="1"/>
        <v>0</v>
      </c>
      <c r="Q47" s="86"/>
      <c r="R47" s="86">
        <f t="shared" si="11"/>
        <v>0</v>
      </c>
      <c r="S47" s="86">
        <v>0</v>
      </c>
      <c r="T47" s="81">
        <f>CEO!T47+CS!T47+CFO!T47+LLA!T47+'C&amp;E'!T47+CES!T47+LLT!T47+GB!T47</f>
        <v>0</v>
      </c>
      <c r="U47" s="81">
        <f t="shared" si="7"/>
        <v>0</v>
      </c>
      <c r="V47" s="81">
        <f t="shared" si="3"/>
        <v>0</v>
      </c>
      <c r="W47" s="81"/>
      <c r="X47" s="86">
        <f>CEO!Q47+CS!Q47+CFO!Q47+LLA!Q47+'C&amp;E'!Q47+CES!Q47+LLT!Q47+GB!Q47</f>
        <v>0</v>
      </c>
      <c r="Y47" s="86">
        <f t="shared" si="12"/>
        <v>0</v>
      </c>
      <c r="Z47" s="86"/>
      <c r="AA47" s="86"/>
      <c r="AB47" s="86"/>
    </row>
    <row r="48" spans="1:28" x14ac:dyDescent="0.3">
      <c r="A48" s="8">
        <f>CEO!A48+CS!A48+CFO!A48+LLA!A48+'C&amp;E'!A48+CES!A48+LLT!A48+GB!A48</f>
        <v>0</v>
      </c>
      <c r="B48" s="8">
        <f>CEO!B48+CS!B48+CFO!B48+LLA!B48+'C&amp;E'!B48+CES!B48+LLT!B48+GB!B48</f>
        <v>0</v>
      </c>
      <c r="C48" s="8">
        <f>CEO!C48+CS!C48+CFO!C48+LLA!C48+'C&amp;E'!C48+CES!C48+LLT!C48+GB!C48</f>
        <v>0</v>
      </c>
      <c r="D48" s="8">
        <f>CEO!D48+CS!D48+CFO!D48+LLA!D48+'C&amp;E'!D48+CES!D48+LLT!D48+GB!D48</f>
        <v>0</v>
      </c>
      <c r="E48" s="8">
        <f>CEO!E48+CS!E48+CFO!E48+LLA!E48+'C&amp;E'!E48+CES!E48+LLT!E48+GB!E48</f>
        <v>0</v>
      </c>
      <c r="F48" s="8">
        <f>CEO!F48+CS!F48+CFO!F48+LLA!F48+'C&amp;E'!F48+CES!F48+LLT!F48+GB!F48</f>
        <v>0</v>
      </c>
      <c r="G48" s="8">
        <f>CEO!G48+CS!G48+CFO!G48+LLA!G48+'C&amp;E'!G48+CES!G48+LLT!G48+GB!G48</f>
        <v>0</v>
      </c>
      <c r="H48" s="8">
        <f>CEO!H48+CS!H48+CFO!H48+LLA!H48+'C&amp;E'!H48+CES!H48+LLT!H48+GB!H48</f>
        <v>0</v>
      </c>
      <c r="I48" s="8">
        <f>CEO!I48+CS!I48+CFO!I48+LLA!I48+'C&amp;E'!I48+CES!I48+LLT!I48+GB!I48</f>
        <v>0</v>
      </c>
      <c r="J48" s="8">
        <f>CEO!J48+CS!J48+CFO!J48+LLA!J48+'C&amp;E'!J48+CES!J48+LLT!J48+GB!J48</f>
        <v>0</v>
      </c>
      <c r="K48" s="8">
        <f>CEO!K48+CS!K48+CFO!K48+LLA!K48+'C&amp;E'!K48+CES!K48+LLT!K48+GB!K48</f>
        <v>0</v>
      </c>
      <c r="L48" s="8">
        <f>CEO!L48+CS!L48+CFO!L48+LLA!L48+'C&amp;E'!L48+CES!L48+LLT!L48+GB!L48</f>
        <v>0</v>
      </c>
      <c r="M48" s="127" t="s">
        <v>445</v>
      </c>
      <c r="N48" s="8">
        <f t="shared" si="10"/>
        <v>0</v>
      </c>
      <c r="O48" s="8">
        <f t="shared" si="6"/>
        <v>0</v>
      </c>
      <c r="P48" s="8">
        <f t="shared" si="1"/>
        <v>0</v>
      </c>
      <c r="Q48" s="8">
        <f>CEO!Q48+CS!Q48+CFO!Q48+LLA!Q48+'C&amp;E'!Q48+CES!Q48+LLT!Q48+GB!Q48</f>
        <v>0</v>
      </c>
      <c r="R48" s="8">
        <f t="shared" ref="R48:R63" si="32">Q48-P48</f>
        <v>0</v>
      </c>
      <c r="S48" s="8">
        <v>0</v>
      </c>
      <c r="T48" s="8">
        <f>CEO!T48+CS!T48+CFO!T48+LLA!T48+'C&amp;E'!T48+CES!T48+LLT!T48+GB!T48</f>
        <v>0</v>
      </c>
      <c r="U48" s="8">
        <f t="shared" si="7"/>
        <v>0</v>
      </c>
      <c r="V48" s="8">
        <f t="shared" si="3"/>
        <v>0</v>
      </c>
      <c r="W48" s="8"/>
      <c r="X48" s="8">
        <f>CEO!Q48+CS!Q48+CFO!Q48+LLA!Q48+'C&amp;E'!Q48+CES!Q48+LLT!Q48+GB!Q48</f>
        <v>0</v>
      </c>
      <c r="Y48" s="8">
        <f t="shared" ref="Y48:Y63" si="33">X48-Q48</f>
        <v>0</v>
      </c>
      <c r="Z48" s="8">
        <f t="shared" ref="Z48:Z62" si="34">Q48</f>
        <v>0</v>
      </c>
      <c r="AA48" s="8">
        <f t="shared" ref="AA48:AB63" si="35">Z48*(1+AA$3)</f>
        <v>0</v>
      </c>
      <c r="AB48" s="8">
        <f t="shared" si="35"/>
        <v>0</v>
      </c>
    </row>
    <row r="49" spans="1:28" x14ac:dyDescent="0.3">
      <c r="A49" s="7">
        <f>CEO!A49+CS!A49+CFO!A49+LLA!A49+'C&amp;E'!A49+CES!A49+LLT!A49+GB!A49</f>
        <v>2300.36</v>
      </c>
      <c r="B49" s="7">
        <f>CEO!B49+CS!B49+CFO!B49+LLA!B49+'C&amp;E'!B49+CES!B49+LLT!B49+GB!B49</f>
        <v>4277.9359999999997</v>
      </c>
      <c r="C49" s="7">
        <f>CEO!C49+CS!C49+CFO!C49+LLA!C49+'C&amp;E'!C49+CES!C49+LLT!C49+GB!C49</f>
        <v>3348.36</v>
      </c>
      <c r="D49" s="7">
        <f>CEO!D49+CS!D49+CFO!D49+LLA!D49+'C&amp;E'!D49+CES!D49+LLT!D49+GB!D49</f>
        <v>4277.9359999999997</v>
      </c>
      <c r="E49" s="7">
        <f>CEO!E49+CS!E49+CFO!E49+LLA!E49+'C&amp;E'!E49+CES!E49+LLT!E49+GB!E49</f>
        <v>6016.5680000000002</v>
      </c>
      <c r="F49" s="7">
        <f>CEO!F49+CS!F49+CFO!F49+LLA!F49+'C&amp;E'!F49+CES!F49+LLT!F49+GB!F49</f>
        <v>2300.36</v>
      </c>
      <c r="G49" s="7">
        <f>CEO!G49+CS!G49+CFO!G49+LLA!G49+'C&amp;E'!G49+CES!G49+LLT!G49+GB!G49</f>
        <v>5325.9359999999997</v>
      </c>
      <c r="H49" s="7">
        <f>CEO!H49+CS!H49+CFO!H49+LLA!H49+'C&amp;E'!H49+CES!H49+LLT!H49+GB!H49</f>
        <v>4277.9359999999997</v>
      </c>
      <c r="I49" s="7">
        <f>CEO!I49+CS!I49+CFO!I49+LLA!I49+'C&amp;E'!I49+CES!I49+LLT!I49+GB!I49</f>
        <v>2300.36</v>
      </c>
      <c r="J49" s="7">
        <f>CEO!J49+CS!J49+CFO!J49+LLA!J49+'C&amp;E'!J49+CES!J49+LLT!J49+GB!J49</f>
        <v>4277.9359999999997</v>
      </c>
      <c r="K49" s="7">
        <f>CEO!K49+CS!K49+CFO!K49+LLA!K49+'C&amp;E'!K49+CES!K49+LLT!K49+GB!K49</f>
        <v>2300.36</v>
      </c>
      <c r="L49" s="7">
        <f>CEO!L49+CS!L49+CFO!L49+LLA!L49+'C&amp;E'!L49+CES!L49+LLT!L49+GB!L49</f>
        <v>4759.7109833727391</v>
      </c>
      <c r="M49" s="13" t="s">
        <v>446</v>
      </c>
      <c r="N49" s="7">
        <f t="shared" si="10"/>
        <v>38703.688000000002</v>
      </c>
      <c r="O49" s="7">
        <f t="shared" si="6"/>
        <v>7060.0709833727396</v>
      </c>
      <c r="P49" s="7">
        <f t="shared" si="1"/>
        <v>45763.75898337274</v>
      </c>
      <c r="Q49" s="7">
        <f>CEO!Q49+CS!Q49+CFO!Q49+LLA!Q49+'C&amp;E'!Q49+CES!Q49+LLT!Q49+GB!Q49</f>
        <v>45763.75898337274</v>
      </c>
      <c r="R49" s="7">
        <f t="shared" si="32"/>
        <v>0</v>
      </c>
      <c r="S49" s="7">
        <v>21118.000000000007</v>
      </c>
      <c r="T49" s="7">
        <f>CEO!T49+CS!T49+CFO!T49+LLA!T49+'C&amp;E'!T49+CES!T49+LLT!T49+GB!T49</f>
        <v>15339.752469999941</v>
      </c>
      <c r="U49" s="7">
        <f t="shared" si="7"/>
        <v>82221.511453372688</v>
      </c>
      <c r="V49" s="7">
        <f t="shared" si="3"/>
        <v>36457.752469999949</v>
      </c>
      <c r="W49" s="7"/>
      <c r="X49" s="7">
        <f>CEO!Q49+CS!Q49+CFO!Q49+LLA!Q49+'C&amp;E'!Q49+CES!Q49+LLT!Q49+GB!Q49</f>
        <v>45763.75898337274</v>
      </c>
      <c r="Y49" s="7">
        <f t="shared" si="33"/>
        <v>0</v>
      </c>
      <c r="Z49" s="7">
        <f t="shared" si="34"/>
        <v>45763.75898337274</v>
      </c>
      <c r="AA49" s="7">
        <f t="shared" si="35"/>
        <v>47960.41941457463</v>
      </c>
      <c r="AB49" s="7">
        <f t="shared" si="35"/>
        <v>50214.559127059634</v>
      </c>
    </row>
    <row r="50" spans="1:28" x14ac:dyDescent="0.3">
      <c r="A50" s="7">
        <f>CEO!A50+CS!A50+CFO!A50+LLA!A50+'C&amp;E'!A50+CES!A50+LLT!A50+GB!A50</f>
        <v>4308.3280000000004</v>
      </c>
      <c r="B50" s="7">
        <f>CEO!B50+CS!B50+CFO!B50+LLA!B50+'C&amp;E'!B50+CES!B50+LLT!B50+GB!B50</f>
        <v>5474.7520000000004</v>
      </c>
      <c r="C50" s="7">
        <f>CEO!C50+CS!C50+CFO!C50+LLA!C50+'C&amp;E'!C50+CES!C50+LLT!C50+GB!C50</f>
        <v>4308.3280000000004</v>
      </c>
      <c r="D50" s="7">
        <f>CEO!D50+CS!D50+CFO!D50+LLA!D50+'C&amp;E'!D50+CES!D50+LLT!D50+GB!D50</f>
        <v>4308.3280000000004</v>
      </c>
      <c r="E50" s="7">
        <f>CEO!E50+CS!E50+CFO!E50+LLA!E50+'C&amp;E'!E50+CES!E50+LLT!E50+GB!E50</f>
        <v>4308.3280000000004</v>
      </c>
      <c r="F50" s="7">
        <f>CEO!F50+CS!F50+CFO!F50+LLA!F50+'C&amp;E'!F50+CES!F50+LLT!F50+GB!F50</f>
        <v>4532.6000000000013</v>
      </c>
      <c r="G50" s="7">
        <f>CEO!G50+CS!G50+CFO!G50+LLA!G50+'C&amp;E'!G50+CES!G50+LLT!G50+GB!G50</f>
        <v>4308.3280000000004</v>
      </c>
      <c r="H50" s="7">
        <f>CEO!H50+CS!H50+CFO!H50+LLA!H50+'C&amp;E'!H50+CES!H50+LLT!H50+GB!H50</f>
        <v>4308.3280000000004</v>
      </c>
      <c r="I50" s="7">
        <f>CEO!I50+CS!I50+CFO!I50+LLA!I50+'C&amp;E'!I50+CES!I50+LLT!I50+GB!I50</f>
        <v>4308.3280000000004</v>
      </c>
      <c r="J50" s="7">
        <f>CEO!J50+CS!J50+CFO!J50+LLA!J50+'C&amp;E'!J50+CES!J50+LLT!J50+GB!J50</f>
        <v>4308.3280000000004</v>
      </c>
      <c r="K50" s="7">
        <f>CEO!K50+CS!K50+CFO!K50+LLA!K50+'C&amp;E'!K50+CES!K50+LLT!K50+GB!K50</f>
        <v>4307.7798619228697</v>
      </c>
      <c r="L50" s="7">
        <f>CEO!L50+CS!L50+CFO!L50+LLA!L50+'C&amp;E'!L50+CES!L50+LLT!L50+GB!L50</f>
        <v>4186.76</v>
      </c>
      <c r="M50" s="13" t="s">
        <v>447</v>
      </c>
      <c r="N50" s="7">
        <f t="shared" si="10"/>
        <v>44473.97600000001</v>
      </c>
      <c r="O50" s="7">
        <f t="shared" si="6"/>
        <v>8494.539861922869</v>
      </c>
      <c r="P50" s="7">
        <f t="shared" si="1"/>
        <v>52968.515861922875</v>
      </c>
      <c r="Q50" s="7">
        <f>CEO!Q50+CS!Q50+CFO!Q50+LLA!Q50+'C&amp;E'!Q50+CES!Q50+LLT!Q50+GB!Q50</f>
        <v>52968.51586192286</v>
      </c>
      <c r="R50" s="7">
        <f t="shared" si="32"/>
        <v>0</v>
      </c>
      <c r="S50" s="7">
        <v>4373.0000000000073</v>
      </c>
      <c r="T50" s="7">
        <f>CEO!T50+CS!T50+CFO!T50+LLA!T50+'C&amp;E'!T50+CES!T50+LLT!T50+GB!T50</f>
        <v>-16542</v>
      </c>
      <c r="U50" s="7">
        <f t="shared" si="7"/>
        <v>40799.515861922868</v>
      </c>
      <c r="V50" s="7">
        <f t="shared" si="3"/>
        <v>-12169.000000000007</v>
      </c>
      <c r="W50" s="7"/>
      <c r="X50" s="7">
        <f>CEO!Q50+CS!Q50+CFO!Q50+LLA!Q50+'C&amp;E'!Q50+CES!Q50+LLT!Q50+GB!Q50</f>
        <v>52968.51586192286</v>
      </c>
      <c r="Y50" s="7">
        <f t="shared" si="33"/>
        <v>0</v>
      </c>
      <c r="Z50" s="7">
        <f t="shared" si="34"/>
        <v>52968.51586192286</v>
      </c>
      <c r="AA50" s="7">
        <f t="shared" si="35"/>
        <v>55511.004623295157</v>
      </c>
      <c r="AB50" s="7">
        <f t="shared" si="35"/>
        <v>58120.021840590023</v>
      </c>
    </row>
    <row r="51" spans="1:28" x14ac:dyDescent="0.3">
      <c r="A51" s="7">
        <f>CEO!A51+CS!A51+CFO!A51+LLA!A51+'C&amp;E'!A51+CES!A51+LLT!A51+GB!A51</f>
        <v>0</v>
      </c>
      <c r="B51" s="7">
        <f>CEO!B51+CS!B51+CFO!B51+LLA!B51+'C&amp;E'!B51+CES!B51+LLT!B51+GB!B51</f>
        <v>0</v>
      </c>
      <c r="C51" s="7">
        <f>CEO!C51+CS!C51+CFO!C51+LLA!C51+'C&amp;E'!C51+CES!C51+LLT!C51+GB!C51</f>
        <v>0</v>
      </c>
      <c r="D51" s="7">
        <f>CEO!D51+CS!D51+CFO!D51+LLA!D51+'C&amp;E'!D51+CES!D51+LLT!D51+GB!D51</f>
        <v>0</v>
      </c>
      <c r="E51" s="7">
        <f>CEO!E51+CS!E51+CFO!E51+LLA!E51+'C&amp;E'!E51+CES!E51+LLT!E51+GB!E51</f>
        <v>0</v>
      </c>
      <c r="F51" s="7">
        <f>CEO!F51+CS!F51+CFO!F51+LLA!F51+'C&amp;E'!F51+CES!F51+LLT!F51+GB!F51</f>
        <v>0</v>
      </c>
      <c r="G51" s="7">
        <f>CEO!G51+CS!G51+CFO!G51+LLA!G51+'C&amp;E'!G51+CES!G51+LLT!G51+GB!G51</f>
        <v>0</v>
      </c>
      <c r="H51" s="7">
        <f>CEO!H51+CS!H51+CFO!H51+LLA!H51+'C&amp;E'!H51+CES!H51+LLT!H51+GB!H51</f>
        <v>0</v>
      </c>
      <c r="I51" s="7">
        <f>CEO!I51+CS!I51+CFO!I51+LLA!I51+'C&amp;E'!I51+CES!I51+LLT!I51+GB!I51</f>
        <v>0</v>
      </c>
      <c r="J51" s="7">
        <f>CEO!J51+CS!J51+CFO!J51+LLA!J51+'C&amp;E'!J51+CES!J51+LLT!J51+GB!J51</f>
        <v>0</v>
      </c>
      <c r="K51" s="7">
        <f>CEO!K51+CS!K51+CFO!K51+LLA!K51+'C&amp;E'!K51+CES!K51+LLT!K51+GB!K51</f>
        <v>0</v>
      </c>
      <c r="L51" s="7">
        <f>CEO!L51+CS!L51+CFO!L51+LLA!L51+'C&amp;E'!L51+CES!L51+LLT!L51+GB!L51</f>
        <v>0</v>
      </c>
      <c r="M51" s="13" t="s">
        <v>448</v>
      </c>
      <c r="N51" s="7">
        <f t="shared" si="10"/>
        <v>0</v>
      </c>
      <c r="O51" s="7">
        <f t="shared" si="6"/>
        <v>0</v>
      </c>
      <c r="P51" s="7">
        <f t="shared" si="1"/>
        <v>0</v>
      </c>
      <c r="Q51" s="7">
        <f>CEO!Q51+CS!Q51+CFO!Q51+LLA!Q51+'C&amp;E'!Q51+CES!Q51+LLT!Q51+GB!Q51</f>
        <v>0</v>
      </c>
      <c r="R51" s="7">
        <f t="shared" si="32"/>
        <v>0</v>
      </c>
      <c r="S51" s="7">
        <v>0</v>
      </c>
      <c r="T51" s="7">
        <f>CEO!T51+CS!T51+CFO!T51+LLA!T51+'C&amp;E'!T51+CES!T51+LLT!T51+GB!T51</f>
        <v>-2000</v>
      </c>
      <c r="U51" s="7">
        <f t="shared" si="7"/>
        <v>-2000</v>
      </c>
      <c r="V51" s="7">
        <f t="shared" si="3"/>
        <v>-2000</v>
      </c>
      <c r="W51" s="7"/>
      <c r="X51" s="7">
        <f>CEO!Q51+CS!Q51+CFO!Q51+LLA!Q51+'C&amp;E'!Q51+CES!Q51+LLT!Q51+GB!Q51</f>
        <v>0</v>
      </c>
      <c r="Y51" s="7">
        <f t="shared" si="33"/>
        <v>0</v>
      </c>
      <c r="Z51" s="7">
        <f t="shared" si="34"/>
        <v>0</v>
      </c>
      <c r="AA51" s="7">
        <f t="shared" si="35"/>
        <v>0</v>
      </c>
      <c r="AB51" s="7">
        <f t="shared" si="35"/>
        <v>0</v>
      </c>
    </row>
    <row r="52" spans="1:28" x14ac:dyDescent="0.3">
      <c r="A52" s="7">
        <f>CEO!A52+CS!A52+CFO!A52+LLA!A52+'C&amp;E'!A52+CES!A52+LLT!A52+GB!A52</f>
        <v>1210.4400000000003</v>
      </c>
      <c r="B52" s="7">
        <f>CEO!B52+CS!B52+CFO!B52+LLA!B52+'C&amp;E'!B52+CES!B52+LLT!B52+GB!B52</f>
        <v>1210.4400000000003</v>
      </c>
      <c r="C52" s="7">
        <f>CEO!C52+CS!C52+CFO!C52+LLA!C52+'C&amp;E'!C52+CES!C52+LLT!C52+GB!C52</f>
        <v>1210.4400000000003</v>
      </c>
      <c r="D52" s="7">
        <f>CEO!D52+CS!D52+CFO!D52+LLA!D52+'C&amp;E'!D52+CES!D52+LLT!D52+GB!D52</f>
        <v>1210.4400000000003</v>
      </c>
      <c r="E52" s="7">
        <f>CEO!E52+CS!E52+CFO!E52+LLA!E52+'C&amp;E'!E52+CES!E52+LLT!E52+GB!E52</f>
        <v>1661.0800000000002</v>
      </c>
      <c r="F52" s="7">
        <f>CEO!F52+CS!F52+CFO!F52+LLA!F52+'C&amp;E'!F52+CES!F52+LLT!F52+GB!F52</f>
        <v>1210.4400000000003</v>
      </c>
      <c r="G52" s="7">
        <f>CEO!G52+CS!G52+CFO!G52+LLA!G52+'C&amp;E'!G52+CES!G52+LLT!G52+GB!G52</f>
        <v>1210.4400000000003</v>
      </c>
      <c r="H52" s="7">
        <f>CEO!H52+CS!H52+CFO!H52+LLA!H52+'C&amp;E'!H52+CES!H52+LLT!H52+GB!H52</f>
        <v>1210.4400000000003</v>
      </c>
      <c r="I52" s="7">
        <f>CEO!I52+CS!I52+CFO!I52+LLA!I52+'C&amp;E'!I52+CES!I52+LLT!I52+GB!I52</f>
        <v>1210.4400000000003</v>
      </c>
      <c r="J52" s="7">
        <f>CEO!J52+CS!J52+CFO!J52+LLA!J52+'C&amp;E'!J52+CES!J52+LLT!J52+GB!J52</f>
        <v>1210.4400000000003</v>
      </c>
      <c r="K52" s="7">
        <f>CEO!K52+CS!K52+CFO!K52+LLA!K52+'C&amp;E'!K52+CES!K52+LLT!K52+GB!K52</f>
        <v>1210.4400000000003</v>
      </c>
      <c r="L52" s="7">
        <f>CEO!L52+CS!L52+CFO!L52+LLA!L52+'C&amp;E'!L52+CES!L52+LLT!L52+GB!L52</f>
        <v>981.65768920698383</v>
      </c>
      <c r="M52" s="13" t="s">
        <v>449</v>
      </c>
      <c r="N52" s="7">
        <f t="shared" si="10"/>
        <v>12555.040000000003</v>
      </c>
      <c r="O52" s="7">
        <f t="shared" si="6"/>
        <v>2192.0976892069839</v>
      </c>
      <c r="P52" s="7">
        <f t="shared" si="1"/>
        <v>14747.137689206986</v>
      </c>
      <c r="Q52" s="7">
        <f>CEO!Q52+CS!Q52+CFO!Q52+LLA!Q52+'C&amp;E'!Q52+CES!Q52+LLT!Q52+GB!Q52</f>
        <v>14747.137689206982</v>
      </c>
      <c r="R52" s="7">
        <f t="shared" si="32"/>
        <v>0</v>
      </c>
      <c r="S52" s="7">
        <v>10298</v>
      </c>
      <c r="T52" s="7">
        <f>CEO!T52+CS!T52+CFO!T52+LLA!T52+'C&amp;E'!T52+CES!T52+LLT!T52+GB!T52</f>
        <v>-2000</v>
      </c>
      <c r="U52" s="7">
        <f t="shared" si="7"/>
        <v>23045.137689206982</v>
      </c>
      <c r="V52" s="7">
        <f t="shared" si="3"/>
        <v>8297.9999999999964</v>
      </c>
      <c r="W52" s="7"/>
      <c r="X52" s="7">
        <f>CEO!Q52+CS!Q52+CFO!Q52+LLA!Q52+'C&amp;E'!Q52+CES!Q52+LLT!Q52+GB!Q52</f>
        <v>14747.137689206982</v>
      </c>
      <c r="Y52" s="7">
        <f t="shared" si="33"/>
        <v>0</v>
      </c>
      <c r="Z52" s="7">
        <f t="shared" si="34"/>
        <v>14747.137689206982</v>
      </c>
      <c r="AA52" s="7">
        <f t="shared" si="35"/>
        <v>15455.000298288918</v>
      </c>
      <c r="AB52" s="7">
        <f t="shared" si="35"/>
        <v>16181.385312308495</v>
      </c>
    </row>
    <row r="53" spans="1:28" x14ac:dyDescent="0.3">
      <c r="A53" s="7">
        <f>CEO!A53+CS!A53+CFO!A53+LLA!A53+'C&amp;E'!A53+CES!A53+LLT!A53+GB!A53</f>
        <v>8247.6726666666709</v>
      </c>
      <c r="B53" s="7">
        <f>CEO!B53+CS!B53+CFO!B53+LLA!B53+'C&amp;E'!B53+CES!B53+LLT!B53+GB!B53</f>
        <v>10343.672666666671</v>
      </c>
      <c r="C53" s="7">
        <f>CEO!C53+CS!C53+CFO!C53+LLA!C53+'C&amp;E'!C53+CES!C53+LLT!C53+GB!C53</f>
        <v>8247.6726666666709</v>
      </c>
      <c r="D53" s="7">
        <f>CEO!D53+CS!D53+CFO!D53+LLA!D53+'C&amp;E'!D53+CES!D53+LLT!D53+GB!D53</f>
        <v>8247.6726666666709</v>
      </c>
      <c r="E53" s="7">
        <f>CEO!E53+CS!E53+CFO!E53+LLA!E53+'C&amp;E'!E53+CES!E53+LLT!E53+GB!E53</f>
        <v>10343.672666666671</v>
      </c>
      <c r="F53" s="7">
        <f>CEO!F53+CS!F53+CFO!F53+LLA!F53+'C&amp;E'!F53+CES!F53+LLT!F53+GB!F53</f>
        <v>8247.6726666666709</v>
      </c>
      <c r="G53" s="7">
        <f>CEO!G53+CS!G53+CFO!G53+LLA!G53+'C&amp;E'!G53+CES!G53+LLT!G53+GB!G53</f>
        <v>8247.6726666666709</v>
      </c>
      <c r="H53" s="7">
        <f>CEO!H53+CS!H53+CFO!H53+LLA!H53+'C&amp;E'!H53+CES!H53+LLT!H53+GB!H53</f>
        <v>10801.648666666671</v>
      </c>
      <c r="I53" s="7">
        <f>CEO!I53+CS!I53+CFO!I53+LLA!I53+'C&amp;E'!I53+CES!I53+LLT!I53+GB!I53</f>
        <v>8247.6726666666709</v>
      </c>
      <c r="J53" s="7">
        <f>CEO!J53+CS!J53+CFO!J53+LLA!J53+'C&amp;E'!J53+CES!J53+LLT!J53+GB!J53</f>
        <v>8247.6726666666709</v>
      </c>
      <c r="K53" s="7">
        <f>CEO!K53+CS!K53+CFO!K53+LLA!K53+'C&amp;E'!K53+CES!K53+LLT!K53+GB!K53</f>
        <v>8247.6726666666709</v>
      </c>
      <c r="L53" s="7">
        <f>CEO!L53+CS!L53+CFO!L53+LLA!L53+'C&amp;E'!L53+CES!L53+LLT!L53+GB!L53</f>
        <v>8256.6726666666709</v>
      </c>
      <c r="M53" s="13" t="s">
        <v>450</v>
      </c>
      <c r="N53" s="7">
        <f t="shared" si="10"/>
        <v>89222.702666666708</v>
      </c>
      <c r="O53" s="7">
        <f t="shared" si="6"/>
        <v>16504.345333333342</v>
      </c>
      <c r="P53" s="7">
        <f t="shared" si="1"/>
        <v>105727.04800000005</v>
      </c>
      <c r="Q53" s="7">
        <f>CEO!Q53+CS!Q53+CFO!Q53+LLA!Q53+'C&amp;E'!Q53+CES!Q53+LLT!Q53+GB!Q53</f>
        <v>105727.04800000002</v>
      </c>
      <c r="R53" s="7">
        <f t="shared" si="32"/>
        <v>0</v>
      </c>
      <c r="S53" s="7">
        <v>19661</v>
      </c>
      <c r="T53" s="7">
        <f>CEO!T53+CS!T53+CFO!T53+LLA!T53+'C&amp;E'!T53+CES!T53+LLT!T53+GB!T53</f>
        <v>12991.982240000001</v>
      </c>
      <c r="U53" s="7">
        <f t="shared" si="7"/>
        <v>138380.03024000002</v>
      </c>
      <c r="V53" s="7">
        <f t="shared" si="3"/>
        <v>32652.982239999968</v>
      </c>
      <c r="W53" s="7"/>
      <c r="X53" s="7">
        <f>CEO!Q53+CS!Q53+CFO!Q53+LLA!Q53+'C&amp;E'!Q53+CES!Q53+LLT!Q53+GB!Q53</f>
        <v>105727.04800000002</v>
      </c>
      <c r="Y53" s="7">
        <f t="shared" si="33"/>
        <v>0</v>
      </c>
      <c r="Z53" s="7">
        <f t="shared" si="34"/>
        <v>105727.04800000002</v>
      </c>
      <c r="AA53" s="7">
        <f t="shared" si="35"/>
        <v>110801.94630400003</v>
      </c>
      <c r="AB53" s="7">
        <f t="shared" si="35"/>
        <v>116009.63778028802</v>
      </c>
    </row>
    <row r="54" spans="1:28" x14ac:dyDescent="0.3">
      <c r="A54" s="7">
        <f>CEO!A54+CS!A54+CFO!A54+LLA!A54+'C&amp;E'!A54+CES!A54+LLT!A54+GB!A54</f>
        <v>0</v>
      </c>
      <c r="B54" s="7">
        <f>CEO!B54+CS!B54+CFO!B54+LLA!B54+'C&amp;E'!B54+CES!B54+LLT!B54+GB!B54</f>
        <v>0</v>
      </c>
      <c r="C54" s="7">
        <f>CEO!C54+CS!C54+CFO!C54+LLA!C54+'C&amp;E'!C54+CES!C54+LLT!C54+GB!C54</f>
        <v>0</v>
      </c>
      <c r="D54" s="7">
        <f>CEO!D54+CS!D54+CFO!D54+LLA!D54+'C&amp;E'!D54+CES!D54+LLT!D54+GB!D54</f>
        <v>0</v>
      </c>
      <c r="E54" s="7">
        <f>CEO!E54+CS!E54+CFO!E54+LLA!E54+'C&amp;E'!E54+CES!E54+LLT!E54+GB!E54</f>
        <v>0</v>
      </c>
      <c r="F54" s="7">
        <f>CEO!F54+CS!F54+CFO!F54+LLA!F54+'C&amp;E'!F54+CES!F54+LLT!F54+GB!F54</f>
        <v>0</v>
      </c>
      <c r="G54" s="7">
        <f>CEO!G54+CS!G54+CFO!G54+LLA!G54+'C&amp;E'!G54+CES!G54+LLT!G54+GB!G54</f>
        <v>0</v>
      </c>
      <c r="H54" s="7">
        <f>CEO!H54+CS!H54+CFO!H54+LLA!H54+'C&amp;E'!H54+CES!H54+LLT!H54+GB!H54</f>
        <v>0</v>
      </c>
      <c r="I54" s="7">
        <f>CEO!I54+CS!I54+CFO!I54+LLA!I54+'C&amp;E'!I54+CES!I54+LLT!I54+GB!I54</f>
        <v>0</v>
      </c>
      <c r="J54" s="7">
        <f>CEO!J54+CS!J54+CFO!J54+LLA!J54+'C&amp;E'!J54+CES!J54+LLT!J54+GB!J54</f>
        <v>0</v>
      </c>
      <c r="K54" s="7">
        <f>CEO!K54+CS!K54+CFO!K54+LLA!K54+'C&amp;E'!K54+CES!K54+LLT!K54+GB!K54</f>
        <v>0</v>
      </c>
      <c r="L54" s="7">
        <f>CEO!L54+CS!L54+CFO!L54+LLA!L54+'C&amp;E'!L54+CES!L54+LLT!L54+GB!L54</f>
        <v>0</v>
      </c>
      <c r="M54" s="13" t="s">
        <v>451</v>
      </c>
      <c r="N54" s="7">
        <f t="shared" si="10"/>
        <v>0</v>
      </c>
      <c r="O54" s="7">
        <f t="shared" si="6"/>
        <v>0</v>
      </c>
      <c r="P54" s="7">
        <f t="shared" si="1"/>
        <v>0</v>
      </c>
      <c r="Q54" s="7">
        <f>CEO!Q54+CS!Q54+CFO!Q54+LLA!Q54+'C&amp;E'!Q54+CES!Q54+LLT!Q54+GB!Q54</f>
        <v>0</v>
      </c>
      <c r="R54" s="7">
        <f t="shared" si="32"/>
        <v>0</v>
      </c>
      <c r="S54" s="7">
        <v>0</v>
      </c>
      <c r="T54" s="7">
        <f>CEO!T54+CS!T54+CFO!T54+LLA!T54+'C&amp;E'!T54+CES!T54+LLT!T54+GB!T54</f>
        <v>0</v>
      </c>
      <c r="U54" s="7">
        <f t="shared" si="7"/>
        <v>0</v>
      </c>
      <c r="V54" s="7">
        <f t="shared" si="3"/>
        <v>0</v>
      </c>
      <c r="W54" s="7"/>
      <c r="X54" s="7">
        <f>CEO!Q54+CS!Q54+CFO!Q54+LLA!Q54+'C&amp;E'!Q54+CES!Q54+LLT!Q54+GB!Q54</f>
        <v>0</v>
      </c>
      <c r="Y54" s="7">
        <f t="shared" si="33"/>
        <v>0</v>
      </c>
      <c r="Z54" s="7">
        <f t="shared" si="34"/>
        <v>0</v>
      </c>
      <c r="AA54" s="7">
        <f t="shared" si="35"/>
        <v>0</v>
      </c>
      <c r="AB54" s="7">
        <f t="shared" si="35"/>
        <v>0</v>
      </c>
    </row>
    <row r="55" spans="1:28" x14ac:dyDescent="0.3">
      <c r="A55" s="7">
        <f>CEO!A55+CS!A55+CFO!A55+LLA!A55+'C&amp;E'!A55+CES!A55+LLT!A55+GB!A55</f>
        <v>3265.1194214666671</v>
      </c>
      <c r="B55" s="7">
        <f>CEO!B55+CS!B55+CFO!B55+LLA!B55+'C&amp;E'!B55+CES!B55+LLT!B55+GB!B55</f>
        <v>3265.1194214666671</v>
      </c>
      <c r="C55" s="7">
        <f>CEO!C55+CS!C55+CFO!C55+LLA!C55+'C&amp;E'!C55+CES!C55+LLT!C55+GB!C55</f>
        <v>3265.1194214666671</v>
      </c>
      <c r="D55" s="7">
        <f>CEO!D55+CS!D55+CFO!D55+LLA!D55+'C&amp;E'!D55+CES!D55+LLT!D55+GB!D55</f>
        <v>3265.1194214666671</v>
      </c>
      <c r="E55" s="7">
        <f>CEO!E55+CS!E55+CFO!E55+LLA!E55+'C&amp;E'!E55+CES!E55+LLT!E55+GB!E55</f>
        <v>5361.1194214666666</v>
      </c>
      <c r="F55" s="7">
        <f>CEO!F55+CS!F55+CFO!F55+LLA!F55+'C&amp;E'!F55+CES!F55+LLT!F55+GB!F55</f>
        <v>3265.1194214666671</v>
      </c>
      <c r="G55" s="7">
        <f>CEO!G55+CS!G55+CFO!G55+LLA!G55+'C&amp;E'!G55+CES!G55+LLT!G55+GB!G55</f>
        <v>3265.1194214666671</v>
      </c>
      <c r="H55" s="7">
        <f>CEO!H55+CS!H55+CFO!H55+LLA!H55+'C&amp;E'!H55+CES!H55+LLT!H55+GB!H55</f>
        <v>5554.9994214666676</v>
      </c>
      <c r="I55" s="7">
        <f>CEO!I55+CS!I55+CFO!I55+LLA!I55+'C&amp;E'!I55+CES!I55+LLT!I55+GB!I55</f>
        <v>6529.0629706314776</v>
      </c>
      <c r="J55" s="7">
        <f>CEO!J55+CS!J55+CFO!J55+LLA!J55+'C&amp;E'!J55+CES!J55+LLT!J55+GB!J55</f>
        <v>3265.1194214666671</v>
      </c>
      <c r="K55" s="7">
        <f>CEO!K55+CS!K55+CFO!K55+LLA!K55+'C&amp;E'!K55+CES!K55+LLT!K55+GB!K55</f>
        <v>3265.1194214666671</v>
      </c>
      <c r="L55" s="7">
        <f>CEO!L55+CS!L55+CFO!L55+LLA!L55+'C&amp;E'!L55+CES!L55+LLT!L55+GB!L55</f>
        <v>3265.1194214666671</v>
      </c>
      <c r="M55" s="127" t="s">
        <v>452</v>
      </c>
      <c r="N55" s="7">
        <f t="shared" si="10"/>
        <v>40301.017763831485</v>
      </c>
      <c r="O55" s="7">
        <f t="shared" si="6"/>
        <v>6530.2388429333341</v>
      </c>
      <c r="P55" s="7">
        <f t="shared" si="1"/>
        <v>46831.256606764822</v>
      </c>
      <c r="Q55" s="7">
        <f>CEO!Q55+CS!Q55+CFO!Q55+LLA!Q55+'C&amp;E'!Q55+CES!Q55+LLT!Q55+GB!Q55</f>
        <v>46831.511324764804</v>
      </c>
      <c r="R55" s="7">
        <f t="shared" si="32"/>
        <v>0.25471799998194911</v>
      </c>
      <c r="S55" s="7">
        <v>23682</v>
      </c>
      <c r="T55" s="7">
        <f>CEO!T55+CS!T55+CFO!T55+LLA!T55+'C&amp;E'!T55+CES!T55+LLT!T55+GB!T55</f>
        <v>-30829.002</v>
      </c>
      <c r="U55" s="7">
        <f t="shared" si="7"/>
        <v>39684.509324764811</v>
      </c>
      <c r="V55" s="7">
        <f t="shared" si="3"/>
        <v>-7146.7472820000112</v>
      </c>
      <c r="W55" s="7"/>
      <c r="X55" s="7">
        <f>CEO!Q55+CS!Q55+CFO!Q55+LLA!Q55+'C&amp;E'!Q55+CES!Q55+LLT!Q55+GB!Q55</f>
        <v>46831.511324764804</v>
      </c>
      <c r="Y55" s="7">
        <f t="shared" si="33"/>
        <v>0</v>
      </c>
      <c r="Z55" s="7">
        <f t="shared" si="34"/>
        <v>46831.511324764804</v>
      </c>
      <c r="AA55" s="7">
        <f t="shared" si="35"/>
        <v>49079.423868353515</v>
      </c>
      <c r="AB55" s="7">
        <f t="shared" si="35"/>
        <v>51386.156790166126</v>
      </c>
    </row>
    <row r="56" spans="1:28" x14ac:dyDescent="0.3">
      <c r="A56" s="7">
        <f>CEO!A56+CS!A56+CFO!A56+LLA!A56+'C&amp;E'!A56+CES!A56+LLT!A56+GB!A56</f>
        <v>8.0111324981165429E-14</v>
      </c>
      <c r="B56" s="7">
        <f>CEO!B56+CS!B56+CFO!B56+LLA!B56+'C&amp;E'!B56+CES!B56+LLT!B56+GB!B56</f>
        <v>8.0111324981165429E-14</v>
      </c>
      <c r="C56" s="7">
        <f>CEO!C56+CS!C56+CFO!C56+LLA!C56+'C&amp;E'!C56+CES!C56+LLT!C56+GB!C56</f>
        <v>8.0111324981165429E-14</v>
      </c>
      <c r="D56" s="7">
        <f>CEO!D56+CS!D56+CFO!D56+LLA!D56+'C&amp;E'!D56+CES!D56+LLT!D56+GB!D56</f>
        <v>8.0111324981165429E-14</v>
      </c>
      <c r="E56" s="7">
        <f>CEO!E56+CS!E56+CFO!E56+LLA!E56+'C&amp;E'!E56+CES!E56+LLT!E56+GB!E56</f>
        <v>8.0111324981165429E-14</v>
      </c>
      <c r="F56" s="7">
        <f>CEO!F56+CS!F56+CFO!F56+LLA!F56+'C&amp;E'!F56+CES!F56+LLT!F56+GB!F56</f>
        <v>8.0111324981165429E-14</v>
      </c>
      <c r="G56" s="7">
        <f>CEO!G56+CS!G56+CFO!G56+LLA!G56+'C&amp;E'!G56+CES!G56+LLT!G56+GB!G56</f>
        <v>8.0111324981165429E-14</v>
      </c>
      <c r="H56" s="7">
        <f>CEO!H56+CS!H56+CFO!H56+LLA!H56+'C&amp;E'!H56+CES!H56+LLT!H56+GB!H56</f>
        <v>8.0111324981165429E-14</v>
      </c>
      <c r="I56" s="7">
        <f>CEO!I56+CS!I56+CFO!I56+LLA!I56+'C&amp;E'!I56+CES!I56+LLT!I56+GB!I56</f>
        <v>8.0111324981165429E-14</v>
      </c>
      <c r="J56" s="7">
        <f>CEO!J56+CS!J56+CFO!J56+LLA!J56+'C&amp;E'!J56+CES!J56+LLT!J56+GB!J56</f>
        <v>8.0111324981165429E-14</v>
      </c>
      <c r="K56" s="7">
        <f>CEO!K56+CS!K56+CFO!K56+LLA!K56+'C&amp;E'!K56+CES!K56+LLT!K56+GB!K56</f>
        <v>8.0111324981165429E-14</v>
      </c>
      <c r="L56" s="7">
        <f>CEO!L56+CS!L56+CFO!L56+LLA!L56+'C&amp;E'!L56+CES!L56+LLT!L56+GB!L56</f>
        <v>8.0111324981165429E-14</v>
      </c>
      <c r="M56" s="13" t="s">
        <v>453</v>
      </c>
      <c r="N56" s="7">
        <f t="shared" si="10"/>
        <v>8.0111324981165411E-13</v>
      </c>
      <c r="O56" s="7">
        <f t="shared" si="6"/>
        <v>1.6022264996233086E-13</v>
      </c>
      <c r="P56" s="7">
        <f t="shared" si="1"/>
        <v>9.6133589977398489E-13</v>
      </c>
      <c r="Q56" s="7">
        <f>CEO!Q56+CS!Q56+CFO!Q56+LLA!Q56+'C&amp;E'!Q56+CES!Q56+LLT!Q56+GB!Q56</f>
        <v>9.6133589977398509E-13</v>
      </c>
      <c r="R56" s="7">
        <f t="shared" si="32"/>
        <v>0</v>
      </c>
      <c r="S56" s="7">
        <v>0</v>
      </c>
      <c r="T56" s="7">
        <f>CEO!T56+CS!T56+CFO!T56+LLA!T56+'C&amp;E'!T56+CES!T56+LLT!T56+GB!T56</f>
        <v>0</v>
      </c>
      <c r="U56" s="7">
        <f t="shared" si="7"/>
        <v>9.6133589977398509E-13</v>
      </c>
      <c r="V56" s="7">
        <f t="shared" si="3"/>
        <v>0</v>
      </c>
      <c r="W56" s="7"/>
      <c r="X56" s="7">
        <f>CEO!Q56+CS!Q56+CFO!Q56+LLA!Q56+'C&amp;E'!Q56+CES!Q56+LLT!Q56+GB!Q56</f>
        <v>9.6133589977398509E-13</v>
      </c>
      <c r="Y56" s="7">
        <f t="shared" si="33"/>
        <v>0</v>
      </c>
      <c r="Z56" s="7">
        <f t="shared" si="34"/>
        <v>9.6133589977398509E-13</v>
      </c>
      <c r="AA56" s="7">
        <f t="shared" si="35"/>
        <v>1.0074800229631365E-12</v>
      </c>
      <c r="AB56" s="7">
        <f t="shared" si="35"/>
        <v>1.0548315840424038E-12</v>
      </c>
    </row>
    <row r="57" spans="1:28" x14ac:dyDescent="0.3">
      <c r="A57" s="7">
        <f>CEO!A57+CS!A57+CFO!A57+LLA!A57+'C&amp;E'!A57+CES!A57+LLT!A57+GB!A57</f>
        <v>8663.8160000000007</v>
      </c>
      <c r="B57" s="7">
        <f>CEO!B57+CS!B57+CFO!B57+LLA!B57+'C&amp;E'!B57+CES!B57+LLT!B57+GB!B57</f>
        <v>8663.8160000000007</v>
      </c>
      <c r="C57" s="7">
        <f>CEO!C57+CS!C57+CFO!C57+LLA!C57+'C&amp;E'!C57+CES!C57+LLT!C57+GB!C57</f>
        <v>8663.8160000000007</v>
      </c>
      <c r="D57" s="7">
        <f>CEO!D57+CS!D57+CFO!D57+LLA!D57+'C&amp;E'!D57+CES!D57+LLT!D57+GB!D57</f>
        <v>8663.8160000000007</v>
      </c>
      <c r="E57" s="7">
        <f>CEO!E57+CS!E57+CFO!E57+LLA!E57+'C&amp;E'!E57+CES!E57+LLT!E57+GB!E57</f>
        <v>8663.8160000000007</v>
      </c>
      <c r="F57" s="7">
        <f>CEO!F57+CS!F57+CFO!F57+LLA!F57+'C&amp;E'!F57+CES!F57+LLT!F57+GB!F57</f>
        <v>8663.8160000000007</v>
      </c>
      <c r="G57" s="7">
        <f>CEO!G57+CS!G57+CFO!G57+LLA!G57+'C&amp;E'!G57+CES!G57+LLT!G57+GB!G57</f>
        <v>8663.8160000000007</v>
      </c>
      <c r="H57" s="7">
        <f>CEO!H57+CS!H57+CFO!H57+LLA!H57+'C&amp;E'!H57+CES!H57+LLT!H57+GB!H57</f>
        <v>8663.8160000000007</v>
      </c>
      <c r="I57" s="7">
        <f>CEO!I57+CS!I57+CFO!I57+LLA!I57+'C&amp;E'!I57+CES!I57+LLT!I57+GB!I57</f>
        <v>8663.8160000000007</v>
      </c>
      <c r="J57" s="7">
        <f>CEO!J57+CS!J57+CFO!J57+LLA!J57+'C&amp;E'!J57+CES!J57+LLT!J57+GB!J57</f>
        <v>8663.8160000000007</v>
      </c>
      <c r="K57" s="7">
        <f>CEO!K57+CS!K57+CFO!K57+LLA!K57+'C&amp;E'!K57+CES!K57+LLT!K57+GB!K57</f>
        <v>8663.8160000000007</v>
      </c>
      <c r="L57" s="7">
        <f>CEO!L57+CS!L57+CFO!L57+LLA!L57+'C&amp;E'!L57+CES!L57+LLT!L57+GB!L57</f>
        <v>8659.8160000000007</v>
      </c>
      <c r="M57" s="13" t="s">
        <v>454</v>
      </c>
      <c r="N57" s="7">
        <f t="shared" si="10"/>
        <v>86638.160000000018</v>
      </c>
      <c r="O57" s="7">
        <f t="shared" si="6"/>
        <v>17323.632000000001</v>
      </c>
      <c r="P57" s="7">
        <f t="shared" si="1"/>
        <v>103961.79200000002</v>
      </c>
      <c r="Q57" s="7">
        <f>CEO!Q57+CS!Q57+CFO!Q57+LLA!Q57+'C&amp;E'!Q57+CES!Q57+LLT!Q57+GB!Q57</f>
        <v>103961.79200000003</v>
      </c>
      <c r="R57" s="7">
        <f t="shared" si="32"/>
        <v>0</v>
      </c>
      <c r="S57" s="7">
        <v>0</v>
      </c>
      <c r="T57" s="7">
        <f>CEO!T57+CS!T57+CFO!T57+LLA!T57+'C&amp;E'!T57+CES!T57+LLT!T57+GB!T57</f>
        <v>129200</v>
      </c>
      <c r="U57" s="7">
        <f t="shared" si="7"/>
        <v>233161.79200000002</v>
      </c>
      <c r="V57" s="7">
        <f t="shared" si="3"/>
        <v>129200</v>
      </c>
      <c r="W57" s="7"/>
      <c r="X57" s="7">
        <f>CEO!Q57+CS!Q57+CFO!Q57+LLA!Q57+'C&amp;E'!Q57+CES!Q57+LLT!Q57+GB!Q57</f>
        <v>103961.79200000003</v>
      </c>
      <c r="Y57" s="7">
        <f t="shared" si="33"/>
        <v>0</v>
      </c>
      <c r="Z57" s="7">
        <f t="shared" si="34"/>
        <v>103961.79200000003</v>
      </c>
      <c r="AA57" s="7">
        <f t="shared" si="35"/>
        <v>108951.95801600003</v>
      </c>
      <c r="AB57" s="7">
        <f t="shared" si="35"/>
        <v>114072.70004275203</v>
      </c>
    </row>
    <row r="58" spans="1:28" x14ac:dyDescent="0.3">
      <c r="A58" s="7">
        <f>CEO!A58+CS!A58+CFO!A58+LLA!A58+'C&amp;E'!A58+CES!A58+LLT!A58+GB!A58</f>
        <v>12692.153333333334</v>
      </c>
      <c r="B58" s="7">
        <f>CEO!B58+CS!B58+CFO!B58+LLA!B58+'C&amp;E'!B58+CES!B58+LLT!B58+GB!B58</f>
        <v>12697.393333333333</v>
      </c>
      <c r="C58" s="7">
        <f>CEO!C58+CS!C58+CFO!C58+LLA!C58+'C&amp;E'!C58+CES!C58+LLT!C58+GB!C58</f>
        <v>12697.393333333333</v>
      </c>
      <c r="D58" s="7">
        <f>CEO!D58+CS!D58+CFO!D58+LLA!D58+'C&amp;E'!D58+CES!D58+LLT!D58+GB!D58</f>
        <v>12697.393333333333</v>
      </c>
      <c r="E58" s="7">
        <f>CEO!E58+CS!E58+CFO!E58+LLA!E58+'C&amp;E'!E58+CES!E58+LLT!E58+GB!E58</f>
        <v>12697.393333333333</v>
      </c>
      <c r="F58" s="7">
        <f>CEO!F58+CS!F58+CFO!F58+LLA!F58+'C&amp;E'!F58+CES!F58+LLT!F58+GB!F58</f>
        <v>12697.393333333333</v>
      </c>
      <c r="G58" s="7">
        <f>CEO!G58+CS!G58+CFO!G58+LLA!G58+'C&amp;E'!G58+CES!G58+LLT!G58+GB!G58</f>
        <v>12697.393333333333</v>
      </c>
      <c r="H58" s="7">
        <f>CEO!H58+CS!H58+CFO!H58+LLA!H58+'C&amp;E'!H58+CES!H58+LLT!H58+GB!H58</f>
        <v>14697.393333333333</v>
      </c>
      <c r="I58" s="7">
        <f>CEO!I58+CS!I58+CFO!I58+LLA!I58+'C&amp;E'!I58+CES!I58+LLT!I58+GB!I58</f>
        <v>12697.393333333333</v>
      </c>
      <c r="J58" s="7">
        <f>CEO!J58+CS!J58+CFO!J58+LLA!J58+'C&amp;E'!J58+CES!J58+LLT!J58+GB!J58</f>
        <v>12697.393333333333</v>
      </c>
      <c r="K58" s="7">
        <f>CEO!K58+CS!K58+CFO!K58+LLA!K58+'C&amp;E'!K58+CES!K58+LLT!K58+GB!K58</f>
        <v>12697.393333333333</v>
      </c>
      <c r="L58" s="7">
        <f>CEO!L58+CS!L58+CFO!L58+LLA!L58+'C&amp;E'!L58+CES!L58+LLT!L58+GB!L58</f>
        <v>12793.393333333333</v>
      </c>
      <c r="M58" s="13" t="s">
        <v>455</v>
      </c>
      <c r="N58" s="7">
        <f t="shared" si="10"/>
        <v>128968.69333333336</v>
      </c>
      <c r="O58" s="7">
        <f t="shared" si="6"/>
        <v>25490.786666666667</v>
      </c>
      <c r="P58" s="7">
        <f t="shared" si="1"/>
        <v>154459.48000000004</v>
      </c>
      <c r="Q58" s="7">
        <f>CEO!Q58+CS!Q58+CFO!Q58+LLA!Q58+'C&amp;E'!Q58+CES!Q58+LLT!Q58+GB!Q58</f>
        <v>154459.47999999998</v>
      </c>
      <c r="R58" s="7">
        <f t="shared" si="32"/>
        <v>0</v>
      </c>
      <c r="S58" s="7">
        <v>4612</v>
      </c>
      <c r="T58" s="7">
        <f>CEO!T58+CS!T58+CFO!T58+LLA!T58+'C&amp;E'!T58+CES!T58+LLT!T58+GB!T58</f>
        <v>41405.626695324601</v>
      </c>
      <c r="U58" s="7">
        <f t="shared" si="7"/>
        <v>200477.10669532459</v>
      </c>
      <c r="V58" s="7">
        <f t="shared" si="3"/>
        <v>46017.62669532455</v>
      </c>
      <c r="W58" s="7"/>
      <c r="X58" s="7">
        <f>CEO!Q58+CS!Q58+CFO!Q58+LLA!Q58+'C&amp;E'!Q58+CES!Q58+LLT!Q58+GB!Q58</f>
        <v>154459.47999999998</v>
      </c>
      <c r="Y58" s="7">
        <f t="shared" si="33"/>
        <v>0</v>
      </c>
      <c r="Z58" s="7">
        <f t="shared" si="34"/>
        <v>154459.47999999998</v>
      </c>
      <c r="AA58" s="7">
        <f t="shared" si="35"/>
        <v>161873.53503999999</v>
      </c>
      <c r="AB58" s="7">
        <f t="shared" si="35"/>
        <v>169481.59118687999</v>
      </c>
    </row>
    <row r="59" spans="1:28" x14ac:dyDescent="0.3">
      <c r="A59" s="7">
        <f>CEO!A59+CS!A59+CFO!A59+LLA!A59+'C&amp;E'!A59+CES!A59+LLT!A59+GB!A59</f>
        <v>0</v>
      </c>
      <c r="B59" s="7">
        <f>CEO!B59+CS!B59+CFO!B59+LLA!B59+'C&amp;E'!B59+CES!B59+LLT!B59+GB!B59</f>
        <v>0</v>
      </c>
      <c r="C59" s="7">
        <f>CEO!C59+CS!C59+CFO!C59+LLA!C59+'C&amp;E'!C59+CES!C59+LLT!C59+GB!C59</f>
        <v>0</v>
      </c>
      <c r="D59" s="7">
        <f>CEO!D59+CS!D59+CFO!D59+LLA!D59+'C&amp;E'!D59+CES!D59+LLT!D59+GB!D59</f>
        <v>0</v>
      </c>
      <c r="E59" s="7">
        <f>CEO!E59+CS!E59+CFO!E59+LLA!E59+'C&amp;E'!E59+CES!E59+LLT!E59+GB!E59</f>
        <v>0</v>
      </c>
      <c r="F59" s="7">
        <f>CEO!F59+CS!F59+CFO!F59+LLA!F59+'C&amp;E'!F59+CES!F59+LLT!F59+GB!F59</f>
        <v>0</v>
      </c>
      <c r="G59" s="7">
        <f>CEO!G59+CS!G59+CFO!G59+LLA!G59+'C&amp;E'!G59+CES!G59+LLT!G59+GB!G59</f>
        <v>0</v>
      </c>
      <c r="H59" s="7">
        <f>CEO!H59+CS!H59+CFO!H59+LLA!H59+'C&amp;E'!H59+CES!H59+LLT!H59+GB!H59</f>
        <v>0</v>
      </c>
      <c r="I59" s="7">
        <f>CEO!I59+CS!I59+CFO!I59+LLA!I59+'C&amp;E'!I59+CES!I59+LLT!I59+GB!I59</f>
        <v>0</v>
      </c>
      <c r="J59" s="7">
        <f>CEO!J59+CS!J59+CFO!J59+LLA!J59+'C&amp;E'!J59+CES!J59+LLT!J59+GB!J59</f>
        <v>0</v>
      </c>
      <c r="K59" s="7">
        <f>CEO!K59+CS!K59+CFO!K59+LLA!K59+'C&amp;E'!K59+CES!K59+LLT!K59+GB!K59</f>
        <v>0</v>
      </c>
      <c r="L59" s="7">
        <f>CEO!L59+CS!L59+CFO!L59+LLA!L59+'C&amp;E'!L59+CES!L59+LLT!L59+GB!L59</f>
        <v>0</v>
      </c>
      <c r="M59" s="13" t="s">
        <v>456</v>
      </c>
      <c r="N59" s="7">
        <f t="shared" si="10"/>
        <v>0</v>
      </c>
      <c r="O59" s="7">
        <f t="shared" si="6"/>
        <v>0</v>
      </c>
      <c r="P59" s="7">
        <f t="shared" si="1"/>
        <v>0</v>
      </c>
      <c r="Q59" s="7">
        <f>CEO!Q59+CS!Q59+CFO!Q59+LLA!Q59+'C&amp;E'!Q59+CES!Q59+LLT!Q59+GB!Q59</f>
        <v>0</v>
      </c>
      <c r="R59" s="7">
        <f t="shared" si="32"/>
        <v>0</v>
      </c>
      <c r="S59" s="7">
        <v>0</v>
      </c>
      <c r="T59" s="7">
        <f>CEO!T59+CS!T59+CFO!T59+LLA!T59+'C&amp;E'!T59+CES!T59+LLT!T59+GB!T59</f>
        <v>2727.395</v>
      </c>
      <c r="U59" s="7">
        <f t="shared" si="7"/>
        <v>2727.395</v>
      </c>
      <c r="V59" s="7">
        <f t="shared" si="3"/>
        <v>2727.395</v>
      </c>
      <c r="W59" s="7"/>
      <c r="X59" s="7">
        <f>CEO!Q59+CS!Q59+CFO!Q59+LLA!Q59+'C&amp;E'!Q59+CES!Q59+LLT!Q59+GB!Q59</f>
        <v>0</v>
      </c>
      <c r="Y59" s="7">
        <f t="shared" si="33"/>
        <v>0</v>
      </c>
      <c r="Z59" s="7">
        <f t="shared" si="34"/>
        <v>0</v>
      </c>
      <c r="AA59" s="7">
        <f t="shared" si="35"/>
        <v>0</v>
      </c>
      <c r="AB59" s="7">
        <f t="shared" si="35"/>
        <v>0</v>
      </c>
    </row>
    <row r="60" spans="1:28" x14ac:dyDescent="0.3">
      <c r="A60" s="7">
        <f>CEO!A60+CS!A60+CFO!A60+LLA!A60+'C&amp;E'!A60+CES!A60+LLT!A60+GB!A60</f>
        <v>3406</v>
      </c>
      <c r="B60" s="7">
        <f>CEO!B60+CS!B60+CFO!B60+LLA!B60+'C&amp;E'!B60+CES!B60+LLT!B60+GB!B60</f>
        <v>3406</v>
      </c>
      <c r="C60" s="7">
        <f>CEO!C60+CS!C60+CFO!C60+LLA!C60+'C&amp;E'!C60+CES!C60+LLT!C60+GB!C60</f>
        <v>3406</v>
      </c>
      <c r="D60" s="7">
        <f>CEO!D60+CS!D60+CFO!D60+LLA!D60+'C&amp;E'!D60+CES!D60+LLT!D60+GB!D60</f>
        <v>3406</v>
      </c>
      <c r="E60" s="7">
        <f>CEO!E60+CS!E60+CFO!E60+LLA!E60+'C&amp;E'!E60+CES!E60+LLT!E60+GB!E60</f>
        <v>3406</v>
      </c>
      <c r="F60" s="7">
        <f>CEO!F60+CS!F60+CFO!F60+LLA!F60+'C&amp;E'!F60+CES!F60+LLT!F60+GB!F60</f>
        <v>3406</v>
      </c>
      <c r="G60" s="7">
        <f>CEO!G60+CS!G60+CFO!G60+LLA!G60+'C&amp;E'!G60+CES!G60+LLT!G60+GB!G60</f>
        <v>3406</v>
      </c>
      <c r="H60" s="7">
        <f>CEO!H60+CS!H60+CFO!H60+LLA!H60+'C&amp;E'!H60+CES!H60+LLT!H60+GB!H60</f>
        <v>3406</v>
      </c>
      <c r="I60" s="7">
        <f>CEO!I60+CS!I60+CFO!I60+LLA!I60+'C&amp;E'!I60+CES!I60+LLT!I60+GB!I60</f>
        <v>3406</v>
      </c>
      <c r="J60" s="7">
        <f>CEO!J60+CS!J60+CFO!J60+LLA!J60+'C&amp;E'!J60+CES!J60+LLT!J60+GB!J60</f>
        <v>3406</v>
      </c>
      <c r="K60" s="7">
        <f>CEO!K60+CS!K60+CFO!K60+LLA!K60+'C&amp;E'!K60+CES!K60+LLT!K60+GB!K60</f>
        <v>3406</v>
      </c>
      <c r="L60" s="7">
        <f>CEO!L60+CS!L60+CFO!L60+LLA!L60+'C&amp;E'!L60+CES!L60+LLT!L60+GB!L60</f>
        <v>3406</v>
      </c>
      <c r="M60" s="13" t="s">
        <v>457</v>
      </c>
      <c r="N60" s="7">
        <f t="shared" si="10"/>
        <v>34060</v>
      </c>
      <c r="O60" s="7">
        <f t="shared" si="6"/>
        <v>6812</v>
      </c>
      <c r="P60" s="7">
        <f t="shared" si="1"/>
        <v>40872</v>
      </c>
      <c r="Q60" s="7">
        <f>CEO!Q60+CS!Q60+CFO!Q60+LLA!Q60+'C&amp;E'!Q60+CES!Q60+LLT!Q60+GB!Q60</f>
        <v>40872</v>
      </c>
      <c r="R60" s="7">
        <f t="shared" si="32"/>
        <v>0</v>
      </c>
      <c r="S60" s="7">
        <v>0</v>
      </c>
      <c r="T60" s="7">
        <f>CEO!T60+CS!T60+CFO!T60+LLA!T60+'C&amp;E'!T60+CES!T60+LLT!T60+GB!T60</f>
        <v>0</v>
      </c>
      <c r="U60" s="7">
        <f t="shared" si="7"/>
        <v>40872</v>
      </c>
      <c r="V60" s="7">
        <f t="shared" si="3"/>
        <v>0</v>
      </c>
      <c r="W60" s="7"/>
      <c r="X60" s="7">
        <f>CEO!Q60+CS!Q60+CFO!Q60+LLA!Q60+'C&amp;E'!Q60+CES!Q60+LLT!Q60+GB!Q60</f>
        <v>40872</v>
      </c>
      <c r="Y60" s="7">
        <f t="shared" si="33"/>
        <v>0</v>
      </c>
      <c r="Z60" s="7">
        <f t="shared" si="34"/>
        <v>40872</v>
      </c>
      <c r="AA60" s="7">
        <f t="shared" si="35"/>
        <v>42833.856</v>
      </c>
      <c r="AB60" s="7">
        <f t="shared" si="35"/>
        <v>44847.047231999997</v>
      </c>
    </row>
    <row r="61" spans="1:28" x14ac:dyDescent="0.3">
      <c r="A61" s="7">
        <f>CEO!A61+CS!A61+CFO!A61+LLA!A61+'C&amp;E'!A61+CES!A61+LLT!A61+GB!A61</f>
        <v>9720.2000000000007</v>
      </c>
      <c r="B61" s="7">
        <f>CEO!B61+CS!B61+CFO!B61+LLA!B61+'C&amp;E'!B61+CES!B61+LLT!B61+GB!B61</f>
        <v>9720.2000000000007</v>
      </c>
      <c r="C61" s="7">
        <f>CEO!C61+CS!C61+CFO!C61+LLA!C61+'C&amp;E'!C61+CES!C61+LLT!C61+GB!C61</f>
        <v>9720.2000000000007</v>
      </c>
      <c r="D61" s="7">
        <f>CEO!D61+CS!D61+CFO!D61+LLA!D61+'C&amp;E'!D61+CES!D61+LLT!D61+GB!D61</f>
        <v>9720.2000000000007</v>
      </c>
      <c r="E61" s="7">
        <f>CEO!E61+CS!E61+CFO!E61+LLA!E61+'C&amp;E'!E61+CES!E61+LLT!E61+GB!E61</f>
        <v>9720.2000000000007</v>
      </c>
      <c r="F61" s="7">
        <f>CEO!F61+CS!F61+CFO!F61+LLA!F61+'C&amp;E'!F61+CES!F61+LLT!F61+GB!F61</f>
        <v>9720.2000000000007</v>
      </c>
      <c r="G61" s="7">
        <f>CEO!G61+CS!G61+CFO!G61+LLA!G61+'C&amp;E'!G61+CES!G61+LLT!G61+GB!G61</f>
        <v>9720.2000000000007</v>
      </c>
      <c r="H61" s="7">
        <f>CEO!H61+CS!H61+CFO!H61+LLA!H61+'C&amp;E'!H61+CES!H61+LLT!H61+GB!H61</f>
        <v>9720.2000000000007</v>
      </c>
      <c r="I61" s="7">
        <f>CEO!I61+CS!I61+CFO!I61+LLA!I61+'C&amp;E'!I61+CES!I61+LLT!I61+GB!I61</f>
        <v>9720.2000000000007</v>
      </c>
      <c r="J61" s="7">
        <f>CEO!J61+CS!J61+CFO!J61+LLA!J61+'C&amp;E'!J61+CES!J61+LLT!J61+GB!J61</f>
        <v>9720.2000000000007</v>
      </c>
      <c r="K61" s="7">
        <f>CEO!K61+CS!K61+CFO!K61+LLA!K61+'C&amp;E'!K61+CES!K61+LLT!K61+GB!K61</f>
        <v>9720.2000000000007</v>
      </c>
      <c r="L61" s="7">
        <f>CEO!L61+CS!L61+CFO!L61+LLA!L61+'C&amp;E'!L61+CES!L61+LLT!L61+GB!L61</f>
        <v>9722.2000000000007</v>
      </c>
      <c r="M61" s="13" t="s">
        <v>458</v>
      </c>
      <c r="N61" s="7">
        <f t="shared" si="10"/>
        <v>97201.999999999985</v>
      </c>
      <c r="O61" s="7">
        <f t="shared" si="6"/>
        <v>19442.400000000001</v>
      </c>
      <c r="P61" s="7">
        <f t="shared" si="1"/>
        <v>116644.4</v>
      </c>
      <c r="Q61" s="7">
        <f>CEO!Q61+CS!Q61+CFO!Q61+LLA!Q61+'C&amp;E'!Q61+CES!Q61+LLT!Q61+GB!Q61</f>
        <v>116644.39999999998</v>
      </c>
      <c r="R61" s="7">
        <f t="shared" si="32"/>
        <v>0</v>
      </c>
      <c r="S61" s="7">
        <v>0</v>
      </c>
      <c r="T61" s="7">
        <f>CEO!T61+CS!T61+CFO!T61+LLA!T61+'C&amp;E'!T61+CES!T61+LLT!T61+GB!T61</f>
        <v>0</v>
      </c>
      <c r="U61" s="7">
        <f t="shared" si="7"/>
        <v>116644.39999999998</v>
      </c>
      <c r="V61" s="7">
        <f t="shared" si="3"/>
        <v>0</v>
      </c>
      <c r="W61" s="7"/>
      <c r="X61" s="7">
        <f>CEO!Q61+CS!Q61+CFO!Q61+LLA!Q61+'C&amp;E'!Q61+CES!Q61+LLT!Q61+GB!Q61</f>
        <v>116644.39999999998</v>
      </c>
      <c r="Y61" s="7">
        <f t="shared" si="33"/>
        <v>0</v>
      </c>
      <c r="Z61" s="7">
        <f t="shared" si="34"/>
        <v>116644.39999999998</v>
      </c>
      <c r="AA61" s="7">
        <f t="shared" si="35"/>
        <v>122243.33119999999</v>
      </c>
      <c r="AB61" s="7">
        <f t="shared" si="35"/>
        <v>127988.76776639998</v>
      </c>
    </row>
    <row r="62" spans="1:28" x14ac:dyDescent="0.3">
      <c r="A62" s="7">
        <f>CEO!A62+CS!A62+CFO!A62+LLA!A62+'C&amp;E'!A62+CES!A62+LLT!A62+GB!A62</f>
        <v>5335.4204</v>
      </c>
      <c r="B62" s="7">
        <f>CEO!B62+CS!B62+CFO!B62+LLA!B62+'C&amp;E'!B62+CES!B62+LLT!B62+GB!B62</f>
        <v>5335.4204</v>
      </c>
      <c r="C62" s="7">
        <f>CEO!C62+CS!C62+CFO!C62+LLA!C62+'C&amp;E'!C62+CES!C62+LLT!C62+GB!C62</f>
        <v>5335.4204</v>
      </c>
      <c r="D62" s="7">
        <f>CEO!D62+CS!D62+CFO!D62+LLA!D62+'C&amp;E'!D62+CES!D62+LLT!D62+GB!D62</f>
        <v>5335.4204</v>
      </c>
      <c r="E62" s="7">
        <f>CEO!E62+CS!E62+CFO!E62+LLA!E62+'C&amp;E'!E62+CES!E62+LLT!E62+GB!E62</f>
        <v>5335.4204</v>
      </c>
      <c r="F62" s="7">
        <f>CEO!F62+CS!F62+CFO!F62+LLA!F62+'C&amp;E'!F62+CES!F62+LLT!F62+GB!F62</f>
        <v>5335.4204</v>
      </c>
      <c r="G62" s="7">
        <f>CEO!G62+CS!G62+CFO!G62+LLA!G62+'C&amp;E'!G62+CES!G62+LLT!G62+GB!G62</f>
        <v>5335.4204</v>
      </c>
      <c r="H62" s="7">
        <f>CEO!H62+CS!H62+CFO!H62+LLA!H62+'C&amp;E'!H62+CES!H62+LLT!H62+GB!H62</f>
        <v>5335.4204</v>
      </c>
      <c r="I62" s="7">
        <f>CEO!I62+CS!I62+CFO!I62+LLA!I62+'C&amp;E'!I62+CES!I62+LLT!I62+GB!I62</f>
        <v>50609.727895368</v>
      </c>
      <c r="J62" s="7">
        <f>CEO!J62+CS!J62+CFO!J62+LLA!J62+'C&amp;E'!J62+CES!J62+LLT!J62+GB!J62</f>
        <v>5335.4204</v>
      </c>
      <c r="K62" s="7">
        <f>CEO!K62+CS!K62+CFO!K62+LLA!K62+'C&amp;E'!K62+CES!K62+LLT!K62+GB!K62</f>
        <v>5335.4204</v>
      </c>
      <c r="L62" s="7">
        <f>CEO!L62+CS!L62+CFO!L62+LLA!L62+'C&amp;E'!L62+CES!L62+LLT!L62+GB!L62</f>
        <v>5335.4204</v>
      </c>
      <c r="M62" s="127" t="s">
        <v>459</v>
      </c>
      <c r="N62" s="7">
        <f t="shared" si="10"/>
        <v>98628.511495368002</v>
      </c>
      <c r="O62" s="7">
        <f t="shared" si="6"/>
        <v>10670.8408</v>
      </c>
      <c r="P62" s="7">
        <f t="shared" si="1"/>
        <v>109299.35229536801</v>
      </c>
      <c r="Q62" s="7">
        <f>CEO!Q62+CS!Q62+CFO!Q62+LLA!Q62+'C&amp;E'!Q62+CES!Q62+LLT!Q62+GB!Q62</f>
        <v>109299.35229536801</v>
      </c>
      <c r="R62" s="7">
        <f t="shared" si="32"/>
        <v>0</v>
      </c>
      <c r="S62" s="7">
        <v>0</v>
      </c>
      <c r="T62" s="7">
        <f>CEO!T62+CS!T62+CFO!T62+LLA!T62+'C&amp;E'!T62+CES!T62+LLT!T62+GB!T62</f>
        <v>73200.989999999991</v>
      </c>
      <c r="U62" s="7">
        <f t="shared" si="7"/>
        <v>182500.342295368</v>
      </c>
      <c r="V62" s="7">
        <f t="shared" si="3"/>
        <v>73200.989999999991</v>
      </c>
      <c r="W62" s="7"/>
      <c r="X62" s="7">
        <f>CEO!Q62+CS!Q62+CFO!Q62+LLA!Q62+'C&amp;E'!Q62+CES!Q62+LLT!Q62+GB!Q62</f>
        <v>109299.35229536801</v>
      </c>
      <c r="Y62" s="7">
        <f t="shared" si="33"/>
        <v>0</v>
      </c>
      <c r="Z62" s="7">
        <f t="shared" si="34"/>
        <v>109299.35229536801</v>
      </c>
      <c r="AA62" s="7">
        <f t="shared" si="35"/>
        <v>114545.72120554568</v>
      </c>
      <c r="AB62" s="7">
        <f t="shared" si="35"/>
        <v>119929.37010220632</v>
      </c>
    </row>
    <row r="63" spans="1:28" x14ac:dyDescent="0.3">
      <c r="A63" s="11">
        <f>CEO!A63+CS!A63+CFO!A63+LLA!A63+'C&amp;E'!A63+CES!A63+LLT!A63+GB!A63</f>
        <v>13189.08</v>
      </c>
      <c r="B63" s="11">
        <f>CEO!B63+CS!B63+CFO!B63+LLA!B63+'C&amp;E'!B63+CES!B63+LLT!B63+GB!B63</f>
        <v>13189.08</v>
      </c>
      <c r="C63" s="11">
        <f>CEO!C63+CS!C63+CFO!C63+LLA!C63+'C&amp;E'!C63+CES!C63+LLT!C63+GB!C63</f>
        <v>13189.08</v>
      </c>
      <c r="D63" s="11">
        <f>CEO!D63+CS!D63+CFO!D63+LLA!D63+'C&amp;E'!D63+CES!D63+LLT!D63+GB!D63</f>
        <v>13189.08</v>
      </c>
      <c r="E63" s="11">
        <f>CEO!E63+CS!E63+CFO!E63+LLA!E63+'C&amp;E'!E63+CES!E63+LLT!E63+GB!E63</f>
        <v>13189.08</v>
      </c>
      <c r="F63" s="11">
        <f>CEO!F63+CS!F63+CFO!F63+LLA!F63+'C&amp;E'!F63+CES!F63+LLT!F63+GB!F63</f>
        <v>13189.08</v>
      </c>
      <c r="G63" s="11">
        <f>CEO!G63+CS!G63+CFO!G63+LLA!G63+'C&amp;E'!G63+CES!G63+LLT!G63+GB!G63</f>
        <v>13189.08</v>
      </c>
      <c r="H63" s="11">
        <f>CEO!H63+CS!H63+CFO!H63+LLA!H63+'C&amp;E'!H63+CES!H63+LLT!H63+GB!H63</f>
        <v>13189.08</v>
      </c>
      <c r="I63" s="11">
        <f>CEO!I63+CS!I63+CFO!I63+LLA!I63+'C&amp;E'!I63+CES!I63+LLT!I63+GB!I63</f>
        <v>13189.08</v>
      </c>
      <c r="J63" s="11">
        <f>CEO!J63+CS!J63+CFO!J63+LLA!J63+'C&amp;E'!J63+CES!J63+LLT!J63+GB!J63</f>
        <v>13189.08</v>
      </c>
      <c r="K63" s="11">
        <f>CEO!K63+CS!K63+CFO!K63+LLA!K63+'C&amp;E'!K63+CES!K63+LLT!K63+GB!K63</f>
        <v>13189.08</v>
      </c>
      <c r="L63" s="11">
        <f>CEO!L63+CS!L63+CFO!L63+LLA!L63+'C&amp;E'!L63+CES!L63+LLT!L63+GB!L63</f>
        <v>13193.08</v>
      </c>
      <c r="M63" s="127" t="s">
        <v>460</v>
      </c>
      <c r="N63" s="11">
        <f t="shared" si="10"/>
        <v>131890.79999999999</v>
      </c>
      <c r="O63" s="11">
        <f t="shared" si="6"/>
        <v>26382.16</v>
      </c>
      <c r="P63" s="11">
        <f t="shared" si="1"/>
        <v>158272.95999999999</v>
      </c>
      <c r="Q63" s="11">
        <f>CEO!Q63+CS!Q63+CFO!Q63+LLA!Q63+'C&amp;E'!Q63+CES!Q63+LLT!Q63+GB!Q63</f>
        <v>158272.95999999996</v>
      </c>
      <c r="R63" s="11">
        <f t="shared" si="32"/>
        <v>0</v>
      </c>
      <c r="S63" s="11">
        <v>0</v>
      </c>
      <c r="T63" s="11">
        <f>CEO!T63+CS!T63+CFO!T63+LLA!T63+'C&amp;E'!T63+CES!T63+LLT!T63+GB!T63</f>
        <v>166728</v>
      </c>
      <c r="U63" s="11">
        <f t="shared" si="7"/>
        <v>325000.95999999996</v>
      </c>
      <c r="V63" s="11">
        <f t="shared" si="3"/>
        <v>166727.99999999997</v>
      </c>
      <c r="W63" s="11"/>
      <c r="X63" s="11">
        <f>CEO!Q63+CS!Q63+CFO!Q63+LLA!Q63+'C&amp;E'!Q63+CES!Q63+LLT!Q63+GB!Q63</f>
        <v>158272.95999999996</v>
      </c>
      <c r="Y63" s="11">
        <f t="shared" si="33"/>
        <v>0</v>
      </c>
      <c r="Z63" s="11">
        <f>Q63</f>
        <v>158272.95999999996</v>
      </c>
      <c r="AA63" s="11">
        <f t="shared" si="35"/>
        <v>165870.06207999997</v>
      </c>
      <c r="AB63" s="11">
        <f t="shared" si="35"/>
        <v>173665.95499775995</v>
      </c>
    </row>
    <row r="64" spans="1:28" ht="4.95" customHeight="1" thickBot="1" x14ac:dyDescent="0.35">
      <c r="A64" s="89"/>
      <c r="B64" s="89"/>
      <c r="C64" s="89"/>
      <c r="D64" s="90"/>
      <c r="E64" s="91"/>
      <c r="F64" s="91"/>
      <c r="G64" s="91"/>
      <c r="H64" s="91"/>
      <c r="I64" s="91"/>
      <c r="J64" s="91"/>
      <c r="K64" s="91"/>
      <c r="L64" s="91"/>
      <c r="M64" s="13"/>
      <c r="N64" s="91">
        <f t="shared" si="10"/>
        <v>0</v>
      </c>
      <c r="O64" s="91">
        <f t="shared" si="6"/>
        <v>0</v>
      </c>
      <c r="P64" s="91">
        <f t="shared" si="1"/>
        <v>0</v>
      </c>
      <c r="Q64" s="91"/>
      <c r="R64" s="91">
        <f t="shared" si="11"/>
        <v>0</v>
      </c>
      <c r="S64" s="91">
        <v>0</v>
      </c>
      <c r="T64" s="89">
        <f>CEO!T64+CS!T64+CFO!T64+LLA!T64+'C&amp;E'!T64+CES!T64+LLT!T64+GB!T64</f>
        <v>0</v>
      </c>
      <c r="U64" s="89">
        <f t="shared" si="7"/>
        <v>0</v>
      </c>
      <c r="V64" s="89">
        <f t="shared" si="3"/>
        <v>0</v>
      </c>
      <c r="W64" s="89"/>
      <c r="X64" s="91">
        <f>CEO!Q64+CS!Q64+CFO!Q64+LLA!Q64+'C&amp;E'!Q64+CES!Q64+LLT!Q64+GB!Q64</f>
        <v>0</v>
      </c>
      <c r="Y64" s="91">
        <f t="shared" si="12"/>
        <v>0</v>
      </c>
      <c r="Z64" s="91"/>
      <c r="AA64" s="91"/>
      <c r="AB64" s="91"/>
    </row>
    <row r="65" spans="1:28" x14ac:dyDescent="0.3">
      <c r="A65" s="4">
        <f>SUM(A48:A63)</f>
        <v>72338.589821466681</v>
      </c>
      <c r="B65" s="4">
        <f>SUM(B48:B63)</f>
        <v>77583.829821466672</v>
      </c>
      <c r="C65" s="4">
        <f t="shared" ref="C65:L65" si="36">SUM(C48:C63)</f>
        <v>73391.829821466672</v>
      </c>
      <c r="D65" s="4">
        <f t="shared" si="36"/>
        <v>74321.405821466673</v>
      </c>
      <c r="E65" s="4">
        <f t="shared" si="36"/>
        <v>80702.67782146667</v>
      </c>
      <c r="F65" s="4">
        <f t="shared" si="36"/>
        <v>72568.101821466684</v>
      </c>
      <c r="G65" s="4">
        <f t="shared" si="36"/>
        <v>75369.405821466673</v>
      </c>
      <c r="H65" s="4">
        <f t="shared" si="36"/>
        <v>81165.261821466673</v>
      </c>
      <c r="I65" s="4">
        <f t="shared" si="36"/>
        <v>120882.08086599949</v>
      </c>
      <c r="J65" s="4">
        <f t="shared" si="36"/>
        <v>74321.405821466673</v>
      </c>
      <c r="K65" s="4">
        <f t="shared" si="36"/>
        <v>72343.281683389549</v>
      </c>
      <c r="L65" s="4">
        <f t="shared" si="36"/>
        <v>74559.8304940464</v>
      </c>
      <c r="M65" s="13" t="s">
        <v>132</v>
      </c>
      <c r="N65" s="4">
        <f t="shared" ref="N65:P65" si="37">SUM(N48:N63)</f>
        <v>802644.58925919957</v>
      </c>
      <c r="O65" s="4">
        <f t="shared" si="37"/>
        <v>146903.11217743595</v>
      </c>
      <c r="P65" s="4">
        <f t="shared" si="37"/>
        <v>949547.70143663546</v>
      </c>
      <c r="Q65" s="4">
        <f>SUM(Q48:Q63)</f>
        <v>949547.95615463529</v>
      </c>
      <c r="R65" s="4">
        <f t="shared" ref="R65:S65" si="38">SUM(R48:R63)</f>
        <v>0.25471799998194911</v>
      </c>
      <c r="S65" s="4">
        <f t="shared" si="38"/>
        <v>83744.000000000015</v>
      </c>
      <c r="T65" s="4">
        <f>CEO!T65+CS!T65+CFO!T65+LLA!T65+'C&amp;E'!T65+CES!T65+LLT!T65+GB!T65</f>
        <v>390222.74440532457</v>
      </c>
      <c r="U65" s="4">
        <f t="shared" si="7"/>
        <v>1423514.7005599597</v>
      </c>
      <c r="V65" s="4">
        <f t="shared" si="3"/>
        <v>473966.99912332429</v>
      </c>
      <c r="W65" s="4"/>
      <c r="X65" s="4">
        <f>CEO!Q65+CS!Q65+CFO!Q65+LLA!Q65+'C&amp;E'!Q65+CES!Q65+LLT!Q65+GB!Q65</f>
        <v>949547.95615463541</v>
      </c>
      <c r="Y65" s="4">
        <f t="shared" si="12"/>
        <v>0</v>
      </c>
      <c r="Z65" s="4">
        <f>SUM(Z48:Z63)</f>
        <v>949547.95615463529</v>
      </c>
      <c r="AA65" s="4">
        <f>SUM(AA48:AA63)</f>
        <v>995126.25805005804</v>
      </c>
      <c r="AB65" s="4">
        <f>SUM(AB48:AB63)</f>
        <v>1041897.1921784107</v>
      </c>
    </row>
    <row r="66" spans="1:28" x14ac:dyDescent="0.3">
      <c r="A66" s="81"/>
      <c r="B66" s="81"/>
      <c r="C66" s="81"/>
      <c r="D66" s="82"/>
      <c r="E66" s="86"/>
      <c r="F66" s="86"/>
      <c r="G66" s="86"/>
      <c r="H66" s="86"/>
      <c r="I66" s="86"/>
      <c r="J66" s="86"/>
      <c r="K66" s="86"/>
      <c r="L66" s="86"/>
      <c r="M66" s="80"/>
      <c r="N66" s="86">
        <f t="shared" si="10"/>
        <v>0</v>
      </c>
      <c r="O66" s="86">
        <f t="shared" si="6"/>
        <v>0</v>
      </c>
      <c r="P66" s="86">
        <f t="shared" si="1"/>
        <v>0</v>
      </c>
      <c r="Q66" s="86"/>
      <c r="R66" s="86">
        <f t="shared" si="11"/>
        <v>0</v>
      </c>
      <c r="S66" s="86">
        <v>0</v>
      </c>
      <c r="T66" s="81">
        <f>CEO!T66+CS!T66+CFO!T66+LLA!T66+'C&amp;E'!T66+CES!T66+LLT!T66+GB!T66</f>
        <v>0</v>
      </c>
      <c r="U66" s="81">
        <f t="shared" si="7"/>
        <v>0</v>
      </c>
      <c r="V66" s="81">
        <f t="shared" si="3"/>
        <v>0</v>
      </c>
      <c r="W66" s="81"/>
      <c r="X66" s="86">
        <f>CEO!Q66+CS!Q66+CFO!Q66+LLA!Q66+'C&amp;E'!Q66+CES!Q66+LLT!Q66+GB!Q66</f>
        <v>0</v>
      </c>
      <c r="Y66" s="86">
        <f t="shared" si="12"/>
        <v>0</v>
      </c>
      <c r="Z66" s="86"/>
      <c r="AA66" s="86"/>
      <c r="AB66" s="86"/>
    </row>
    <row r="67" spans="1:28" x14ac:dyDescent="0.3">
      <c r="A67" s="8">
        <f>CEO!A67+CS!A67+CFO!A67+LLA!A67+'C&amp;E'!A67+CES!A67+LLT!A67+GB!A67</f>
        <v>0</v>
      </c>
      <c r="B67" s="8">
        <f>CEO!B67+CS!B67+CFO!B67+LLA!B67+'C&amp;E'!B67+CES!B67+LLT!B67+GB!B67</f>
        <v>0</v>
      </c>
      <c r="C67" s="8">
        <f>CEO!C67+CS!C67+CFO!C67+LLA!C67+'C&amp;E'!C67+CES!C67+LLT!C67+GB!C67</f>
        <v>57005.96</v>
      </c>
      <c r="D67" s="8">
        <f>CEO!D67+CS!D67+CFO!D67+LLA!D67+'C&amp;E'!D67+CES!D67+LLT!D67+GB!D67</f>
        <v>0</v>
      </c>
      <c r="E67" s="8">
        <f>CEO!E67+CS!E67+CFO!E67+LLA!E67+'C&amp;E'!E67+CES!E67+LLT!E67+GB!E67</f>
        <v>0</v>
      </c>
      <c r="F67" s="8">
        <f>CEO!F67+CS!F67+CFO!F67+LLA!F67+'C&amp;E'!F67+CES!F67+LLT!F67+GB!F67</f>
        <v>152594.04</v>
      </c>
      <c r="G67" s="8">
        <f>CEO!G67+CS!G67+CFO!G67+LLA!G67+'C&amp;E'!G67+CES!G67+LLT!G67+GB!G67</f>
        <v>0</v>
      </c>
      <c r="H67" s="8">
        <f>CEO!H67+CS!H67+CFO!H67+LLA!H67+'C&amp;E'!H67+CES!H67+LLT!H67+GB!H67</f>
        <v>0</v>
      </c>
      <c r="I67" s="8">
        <f>CEO!I67+CS!I67+CFO!I67+LLA!I67+'C&amp;E'!I67+CES!I67+LLT!I67+GB!I67</f>
        <v>0</v>
      </c>
      <c r="J67" s="8">
        <f>CEO!J67+CS!J67+CFO!J67+LLA!J67+'C&amp;E'!J67+CES!J67+LLT!J67+GB!J67</f>
        <v>0</v>
      </c>
      <c r="K67" s="8">
        <f>CEO!K67+CS!K67+CFO!K67+LLA!K67+'C&amp;E'!K67+CES!K67+LLT!K67+GB!K67</f>
        <v>0</v>
      </c>
      <c r="L67" s="8">
        <f>CEO!L67+CS!L67+CFO!L67+LLA!L67+'C&amp;E'!L67+CES!L67+LLT!L67+GB!L67</f>
        <v>0</v>
      </c>
      <c r="M67" s="127" t="s">
        <v>461</v>
      </c>
      <c r="N67" s="8">
        <f t="shared" si="10"/>
        <v>209600</v>
      </c>
      <c r="O67" s="8">
        <f t="shared" si="6"/>
        <v>0</v>
      </c>
      <c r="P67" s="8">
        <f t="shared" si="1"/>
        <v>209600</v>
      </c>
      <c r="Q67" s="8">
        <f>CEO!Q67+CS!Q67+CFO!Q67+LLA!Q67+'C&amp;E'!Q67+CES!Q67+LLT!Q67+GB!Q67</f>
        <v>209600</v>
      </c>
      <c r="R67" s="8">
        <f t="shared" ref="R67:R89" si="39">Q67-P67</f>
        <v>0</v>
      </c>
      <c r="S67" s="8">
        <v>0</v>
      </c>
      <c r="T67" s="8">
        <f>CEO!T67+CS!T67+CFO!T67+LLA!T67+'C&amp;E'!T67+CES!T67+LLT!T67+GB!T67</f>
        <v>0</v>
      </c>
      <c r="U67" s="8">
        <f t="shared" si="7"/>
        <v>209600</v>
      </c>
      <c r="V67" s="8">
        <f t="shared" si="3"/>
        <v>0</v>
      </c>
      <c r="W67" s="8"/>
      <c r="X67" s="8">
        <f>CEO!Q67+CS!Q67+CFO!Q67+LLA!Q67+'C&amp;E'!Q67+CES!Q67+LLT!Q67+GB!Q67</f>
        <v>209600</v>
      </c>
      <c r="Y67" s="8">
        <f t="shared" ref="Y67:Y89" si="40">X67-Q67</f>
        <v>0</v>
      </c>
      <c r="Z67" s="8">
        <v>200000</v>
      </c>
      <c r="AA67" s="8">
        <f t="shared" ref="AA67:AB89" si="41">Z67*(1+AA$3)</f>
        <v>209600</v>
      </c>
      <c r="AB67" s="8">
        <f t="shared" si="41"/>
        <v>219451.19999999998</v>
      </c>
    </row>
    <row r="68" spans="1:28" x14ac:dyDescent="0.3">
      <c r="A68" s="7">
        <f>CEO!A68+CS!A68+CFO!A68+LLA!A68+'C&amp;E'!A68+CES!A68+LLT!A68+GB!A68</f>
        <v>20954.6897796333</v>
      </c>
      <c r="B68" s="7">
        <f>CEO!B68+CS!B68+CFO!B68+LLA!B68+'C&amp;E'!B68+CES!B68+LLT!B68+GB!B68</f>
        <v>20954.6897796333</v>
      </c>
      <c r="C68" s="7">
        <f>CEO!C68+CS!C68+CFO!C68+LLA!C68+'C&amp;E'!C68+CES!C68+LLT!C68+GB!C68</f>
        <v>20954.6897796333</v>
      </c>
      <c r="D68" s="7">
        <f>CEO!D68+CS!D68+CFO!D68+LLA!D68+'C&amp;E'!D68+CES!D68+LLT!D68+GB!D68</f>
        <v>20954.6897796333</v>
      </c>
      <c r="E68" s="7">
        <f>CEO!E68+CS!E68+CFO!E68+LLA!E68+'C&amp;E'!E68+CES!E68+LLT!E68+GB!E68</f>
        <v>20954.6897796333</v>
      </c>
      <c r="F68" s="7">
        <f>CEO!F68+CS!F68+CFO!F68+LLA!F68+'C&amp;E'!F68+CES!F68+LLT!F68+GB!F68</f>
        <v>20954.6897796333</v>
      </c>
      <c r="G68" s="7">
        <f>CEO!G68+CS!G68+CFO!G68+LLA!G68+'C&amp;E'!G68+CES!G68+LLT!G68+GB!G68</f>
        <v>20954.6897796333</v>
      </c>
      <c r="H68" s="7">
        <f>CEO!H68+CS!H68+CFO!H68+LLA!H68+'C&amp;E'!H68+CES!H68+LLT!H68+GB!H68</f>
        <v>20954.6897796333</v>
      </c>
      <c r="I68" s="7">
        <f>CEO!I68+CS!I68+CFO!I68+LLA!I68+'C&amp;E'!I68+CES!I68+LLT!I68+GB!I68</f>
        <v>20954.6897796333</v>
      </c>
      <c r="J68" s="7">
        <f>CEO!J68+CS!J68+CFO!J68+LLA!J68+'C&amp;E'!J68+CES!J68+LLT!J68+GB!J68</f>
        <v>20954.6897796333</v>
      </c>
      <c r="K68" s="7">
        <f>CEO!K68+CS!K68+CFO!K68+LLA!K68+'C&amp;E'!K68+CES!K68+LLT!K68+GB!K68</f>
        <v>20954.6897796333</v>
      </c>
      <c r="L68" s="7">
        <f>CEO!L68+CS!L68+CFO!L68+LLA!L68+'C&amp;E'!L68+CES!L68+LLT!L68+GB!L68</f>
        <v>20954.6897796333</v>
      </c>
      <c r="M68" s="13" t="s">
        <v>462</v>
      </c>
      <c r="N68" s="7">
        <f t="shared" si="10"/>
        <v>209546.89779633304</v>
      </c>
      <c r="O68" s="7">
        <f t="shared" si="6"/>
        <v>41909.379559266599</v>
      </c>
      <c r="P68" s="7">
        <f t="shared" si="1"/>
        <v>251456.27735559962</v>
      </c>
      <c r="Q68" s="7">
        <f>CEO!Q68+CS!Q68+CFO!Q68+LLA!Q68+'C&amp;E'!Q68+CES!Q68+LLT!Q68+GB!Q68</f>
        <v>251456.27735559965</v>
      </c>
      <c r="R68" s="7">
        <f t="shared" si="39"/>
        <v>0</v>
      </c>
      <c r="S68" s="7">
        <v>-30941</v>
      </c>
      <c r="T68" s="7">
        <f>CEO!T68+CS!T68+CFO!T68+LLA!T68+'C&amp;E'!T68+CES!T68+LLT!T68+GB!T68</f>
        <v>0</v>
      </c>
      <c r="U68" s="7">
        <f t="shared" si="7"/>
        <v>220515.27735559965</v>
      </c>
      <c r="V68" s="7">
        <f t="shared" si="3"/>
        <v>-30940.999999999971</v>
      </c>
      <c r="W68" s="7"/>
      <c r="X68" s="7">
        <f>CEO!Q68+CS!Q68+CFO!Q68+LLA!Q68+'C&amp;E'!Q68+CES!Q68+LLT!Q68+GB!Q68</f>
        <v>251456.27735559965</v>
      </c>
      <c r="Y68" s="7">
        <f t="shared" si="40"/>
        <v>0</v>
      </c>
      <c r="Z68" s="7">
        <v>239939.19594999996</v>
      </c>
      <c r="AA68" s="7">
        <f t="shared" si="41"/>
        <v>251456.27735559997</v>
      </c>
      <c r="AB68" s="7">
        <f t="shared" si="41"/>
        <v>263274.72239131317</v>
      </c>
    </row>
    <row r="69" spans="1:28" x14ac:dyDescent="0.3">
      <c r="A69" s="7">
        <f>CEO!A69+CS!A69+CFO!A69+LLA!A69+'C&amp;E'!A69+CES!A69+LLT!A69+GB!A69</f>
        <v>3492.9839999999999</v>
      </c>
      <c r="B69" s="7">
        <f>CEO!B69+CS!B69+CFO!B69+LLA!B69+'C&amp;E'!B69+CES!B69+LLT!B69+GB!B69</f>
        <v>3492.9839999999999</v>
      </c>
      <c r="C69" s="7">
        <f>CEO!C69+CS!C69+CFO!C69+LLA!C69+'C&amp;E'!C69+CES!C69+LLT!C69+GB!C69</f>
        <v>3492.9839999999999</v>
      </c>
      <c r="D69" s="7">
        <f>CEO!D69+CS!D69+CFO!D69+LLA!D69+'C&amp;E'!D69+CES!D69+LLT!D69+GB!D69</f>
        <v>3492.9839999999999</v>
      </c>
      <c r="E69" s="7">
        <f>CEO!E69+CS!E69+CFO!E69+LLA!E69+'C&amp;E'!E69+CES!E69+LLT!E69+GB!E69</f>
        <v>3492.9839999999999</v>
      </c>
      <c r="F69" s="7">
        <f>CEO!F69+CS!F69+CFO!F69+LLA!F69+'C&amp;E'!F69+CES!F69+LLT!F69+GB!F69</f>
        <v>213096.984</v>
      </c>
      <c r="G69" s="7">
        <f>CEO!G69+CS!G69+CFO!G69+LLA!G69+'C&amp;E'!G69+CES!G69+LLT!G69+GB!G69</f>
        <v>3492.9839999999999</v>
      </c>
      <c r="H69" s="7">
        <f>CEO!H69+CS!H69+CFO!H69+LLA!H69+'C&amp;E'!H69+CES!H69+LLT!H69+GB!H69</f>
        <v>3492.9839999999999</v>
      </c>
      <c r="I69" s="7">
        <f>CEO!I69+CS!I69+CFO!I69+LLA!I69+'C&amp;E'!I69+CES!I69+LLT!I69+GB!I69</f>
        <v>3492.9839999999999</v>
      </c>
      <c r="J69" s="7">
        <f>CEO!J69+CS!J69+CFO!J69+LLA!J69+'C&amp;E'!J69+CES!J69+LLT!J69+GB!J69</f>
        <v>3492.9839999999999</v>
      </c>
      <c r="K69" s="7">
        <f>CEO!K69+CS!K69+CFO!K69+LLA!K69+'C&amp;E'!K69+CES!K69+LLT!K69+GB!K69</f>
        <v>3492.9839999999999</v>
      </c>
      <c r="L69" s="7">
        <f>CEO!L69+CS!L69+CFO!L69+LLA!L69+'C&amp;E'!L69+CES!L69+LLT!L69+GB!L69</f>
        <v>3492.9839999999999</v>
      </c>
      <c r="M69" s="13" t="s">
        <v>463</v>
      </c>
      <c r="N69" s="7">
        <f t="shared" si="10"/>
        <v>244533.83999999997</v>
      </c>
      <c r="O69" s="7">
        <f t="shared" si="6"/>
        <v>6985.9679999999998</v>
      </c>
      <c r="P69" s="7">
        <f t="shared" si="1"/>
        <v>251519.80799999996</v>
      </c>
      <c r="Q69" s="7">
        <f>CEO!Q69+CS!Q69+CFO!Q69+LLA!Q69+'C&amp;E'!Q69+CES!Q69+LLT!Q69+GB!Q69</f>
        <v>251519.80799999999</v>
      </c>
      <c r="R69" s="7">
        <f t="shared" si="39"/>
        <v>0</v>
      </c>
      <c r="S69" s="7">
        <v>0</v>
      </c>
      <c r="T69" s="7">
        <f>CEO!T69+CS!T69+CFO!T69+LLA!T69+'C&amp;E'!T69+CES!T69+LLT!T69+GB!T69</f>
        <v>0</v>
      </c>
      <c r="U69" s="7">
        <f t="shared" si="7"/>
        <v>251519.80799999999</v>
      </c>
      <c r="V69" s="7">
        <f t="shared" si="3"/>
        <v>0</v>
      </c>
      <c r="W69" s="7"/>
      <c r="X69" s="7">
        <f>CEO!Q69+CS!Q69+CFO!Q69+LLA!Q69+'C&amp;E'!Q69+CES!Q69+LLT!Q69+GB!Q69</f>
        <v>251519.80799999999</v>
      </c>
      <c r="Y69" s="7">
        <f t="shared" si="40"/>
        <v>0</v>
      </c>
      <c r="Z69" s="7">
        <v>240000</v>
      </c>
      <c r="AA69" s="7">
        <f t="shared" si="41"/>
        <v>251520</v>
      </c>
      <c r="AB69" s="7">
        <f t="shared" si="41"/>
        <v>263341.44</v>
      </c>
    </row>
    <row r="70" spans="1:28" x14ac:dyDescent="0.3">
      <c r="A70" s="7">
        <f>CEO!A70+CS!A70+CFO!A70+LLA!A70+'C&amp;E'!A70+CES!A70+LLT!A70+GB!A70</f>
        <v>0</v>
      </c>
      <c r="B70" s="7">
        <f>CEO!B70+CS!B70+CFO!B70+LLA!B70+'C&amp;E'!B70+CES!B70+LLT!B70+GB!B70</f>
        <v>0</v>
      </c>
      <c r="C70" s="7">
        <f>CEO!C70+CS!C70+CFO!C70+LLA!C70+'C&amp;E'!C70+CES!C70+LLT!C70+GB!C70</f>
        <v>0</v>
      </c>
      <c r="D70" s="7">
        <f>CEO!D70+CS!D70+CFO!D70+LLA!D70+'C&amp;E'!D70+CES!D70+LLT!D70+GB!D70</f>
        <v>0</v>
      </c>
      <c r="E70" s="7">
        <f>CEO!E70+CS!E70+CFO!E70+LLA!E70+'C&amp;E'!E70+CES!E70+LLT!E70+GB!E70</f>
        <v>0</v>
      </c>
      <c r="F70" s="7">
        <f>CEO!F70+CS!F70+CFO!F70+LLA!F70+'C&amp;E'!F70+CES!F70+LLT!F70+GB!F70</f>
        <v>0</v>
      </c>
      <c r="G70" s="7">
        <f>CEO!G70+CS!G70+CFO!G70+LLA!G70+'C&amp;E'!G70+CES!G70+LLT!G70+GB!G70</f>
        <v>0</v>
      </c>
      <c r="H70" s="7">
        <f>CEO!H70+CS!H70+CFO!H70+LLA!H70+'C&amp;E'!H70+CES!H70+LLT!H70+GB!H70</f>
        <v>0</v>
      </c>
      <c r="I70" s="7">
        <f>CEO!I70+CS!I70+CFO!I70+LLA!I70+'C&amp;E'!I70+CES!I70+LLT!I70+GB!I70</f>
        <v>0</v>
      </c>
      <c r="J70" s="7">
        <f>CEO!J70+CS!J70+CFO!J70+LLA!J70+'C&amp;E'!J70+CES!J70+LLT!J70+GB!J70</f>
        <v>0</v>
      </c>
      <c r="K70" s="7">
        <f>CEO!K70+CS!K70+CFO!K70+LLA!K70+'C&amp;E'!K70+CES!K70+LLT!K70+GB!K70</f>
        <v>0</v>
      </c>
      <c r="L70" s="7">
        <f>CEO!L70+CS!L70+CFO!L70+LLA!L70+'C&amp;E'!L70+CES!L70+LLT!L70+GB!L70</f>
        <v>0</v>
      </c>
      <c r="M70" s="13" t="s">
        <v>464</v>
      </c>
      <c r="N70" s="7">
        <f t="shared" si="10"/>
        <v>0</v>
      </c>
      <c r="O70" s="7">
        <f t="shared" si="6"/>
        <v>0</v>
      </c>
      <c r="P70" s="7">
        <f t="shared" si="1"/>
        <v>0</v>
      </c>
      <c r="Q70" s="7">
        <f>CEO!Q70+CS!Q70+CFO!Q70+LLA!Q70+'C&amp;E'!Q70+CES!Q70+LLT!Q70+GB!Q70</f>
        <v>0</v>
      </c>
      <c r="R70" s="7">
        <f t="shared" si="39"/>
        <v>0</v>
      </c>
      <c r="S70" s="7">
        <v>0</v>
      </c>
      <c r="T70" s="7">
        <f>CEO!T70+CS!T70+CFO!T70+LLA!T70+'C&amp;E'!T70+CES!T70+LLT!T70+GB!T70</f>
        <v>0</v>
      </c>
      <c r="U70" s="7">
        <f t="shared" si="7"/>
        <v>0</v>
      </c>
      <c r="V70" s="7">
        <f t="shared" si="3"/>
        <v>0</v>
      </c>
      <c r="W70" s="7"/>
      <c r="X70" s="7">
        <f>CEO!Q70+CS!Q70+CFO!Q70+LLA!Q70+'C&amp;E'!Q70+CES!Q70+LLT!Q70+GB!Q70</f>
        <v>0</v>
      </c>
      <c r="Y70" s="7">
        <f t="shared" si="40"/>
        <v>0</v>
      </c>
      <c r="Z70" s="7">
        <f t="shared" ref="Z70:Z89" si="42">Q70</f>
        <v>0</v>
      </c>
      <c r="AA70" s="7">
        <f t="shared" si="41"/>
        <v>0</v>
      </c>
      <c r="AB70" s="7">
        <f t="shared" si="41"/>
        <v>0</v>
      </c>
    </row>
    <row r="71" spans="1:28" x14ac:dyDescent="0.3">
      <c r="A71" s="7">
        <f>CEO!A71+CS!A71+CFO!A71+LLA!A71+'C&amp;E'!A71+CES!A71+LLT!A71+GB!A71</f>
        <v>108537.92466666667</v>
      </c>
      <c r="B71" s="7">
        <f>CEO!B71+CS!B71+CFO!B71+LLA!B71+'C&amp;E'!B71+CES!B71+LLT!B71+GB!B71</f>
        <v>108537.92466666667</v>
      </c>
      <c r="C71" s="7">
        <f>CEO!C71+CS!C71+CFO!C71+LLA!C71+'C&amp;E'!C71+CES!C71+LLT!C71+GB!C71</f>
        <v>108537.92466666667</v>
      </c>
      <c r="D71" s="7">
        <f>CEO!D71+CS!D71+CFO!D71+LLA!D71+'C&amp;E'!D71+CES!D71+LLT!D71+GB!D71</f>
        <v>108537.92466666667</v>
      </c>
      <c r="E71" s="7">
        <f>CEO!E71+CS!E71+CFO!E71+LLA!E71+'C&amp;E'!E71+CES!E71+LLT!E71+GB!E71</f>
        <v>108537.92466666667</v>
      </c>
      <c r="F71" s="7">
        <f>CEO!F71+CS!F71+CFO!F71+LLA!F71+'C&amp;E'!F71+CES!F71+LLT!F71+GB!F71</f>
        <v>108537.92466666667</v>
      </c>
      <c r="G71" s="7">
        <f>CEO!G71+CS!G71+CFO!G71+LLA!G71+'C&amp;E'!G71+CES!G71+LLT!G71+GB!G71</f>
        <v>108537.92466666667</v>
      </c>
      <c r="H71" s="7">
        <f>CEO!H71+CS!H71+CFO!H71+LLA!H71+'C&amp;E'!H71+CES!H71+LLT!H71+GB!H71</f>
        <v>108537.92466666667</v>
      </c>
      <c r="I71" s="7">
        <f>CEO!I71+CS!I71+CFO!I71+LLA!I71+'C&amp;E'!I71+CES!I71+LLT!I71+GB!I71</f>
        <v>108537.92466666667</v>
      </c>
      <c r="J71" s="7">
        <f>CEO!J71+CS!J71+CFO!J71+LLA!J71+'C&amp;E'!J71+CES!J71+LLT!J71+GB!J71</f>
        <v>108537.92466666667</v>
      </c>
      <c r="K71" s="7">
        <f>CEO!K71+CS!K71+CFO!K71+LLA!K71+'C&amp;E'!K71+CES!K71+LLT!K71+GB!K71</f>
        <v>108537.92466666667</v>
      </c>
      <c r="L71" s="7">
        <f>CEO!L71+CS!L71+CFO!L71+LLA!L71+'C&amp;E'!L71+CES!L71+LLT!L71+GB!L71</f>
        <v>108566.92466666667</v>
      </c>
      <c r="M71" s="13" t="s">
        <v>465</v>
      </c>
      <c r="N71" s="7">
        <f t="shared" si="10"/>
        <v>1085379.2466666668</v>
      </c>
      <c r="O71" s="7">
        <f t="shared" si="6"/>
        <v>217104.84933333335</v>
      </c>
      <c r="P71" s="7">
        <f t="shared" si="1"/>
        <v>1302484.0960000001</v>
      </c>
      <c r="Q71" s="7">
        <f>CEO!Q71+CS!Q71+CFO!Q71+LLA!Q71+'C&amp;E'!Q71+CES!Q71+LLT!Q71+GB!Q71</f>
        <v>1302484.0959999999</v>
      </c>
      <c r="R71" s="7">
        <f t="shared" si="39"/>
        <v>0</v>
      </c>
      <c r="S71" s="7">
        <v>-4653</v>
      </c>
      <c r="T71" s="7">
        <f>CEO!T71+CS!T71+CFO!T71+LLA!T71+'C&amp;E'!T71+CES!T71+LLT!T71+GB!T71</f>
        <v>169523</v>
      </c>
      <c r="U71" s="7">
        <f t="shared" si="7"/>
        <v>1467354.0959999999</v>
      </c>
      <c r="V71" s="7">
        <f t="shared" si="3"/>
        <v>164869.99999999977</v>
      </c>
      <c r="W71" s="7"/>
      <c r="X71" s="7">
        <f>CEO!Q71+CS!Q71+CFO!Q71+LLA!Q71+'C&amp;E'!Q71+CES!Q71+LLT!Q71+GB!Q71</f>
        <v>1302484.0959999999</v>
      </c>
      <c r="Y71" s="7">
        <f t="shared" si="40"/>
        <v>0</v>
      </c>
      <c r="Z71" s="7">
        <f t="shared" si="42"/>
        <v>1302484.0959999999</v>
      </c>
      <c r="AA71" s="7">
        <f t="shared" si="41"/>
        <v>1365003.3326079999</v>
      </c>
      <c r="AB71" s="7">
        <f t="shared" si="41"/>
        <v>1429158.4892405758</v>
      </c>
    </row>
    <row r="72" spans="1:28" x14ac:dyDescent="0.3">
      <c r="A72" s="7">
        <f>CEO!A72+CS!A72+CFO!A72+LLA!A72+'C&amp;E'!A72+CES!A72+LLT!A72+GB!A72</f>
        <v>2380.0080000000003</v>
      </c>
      <c r="B72" s="7">
        <f>CEO!B72+CS!B72+CFO!B72+LLA!B72+'C&amp;E'!B72+CES!B72+LLT!B72+GB!B72</f>
        <v>2380.0080000000003</v>
      </c>
      <c r="C72" s="7">
        <f>CEO!C72+CS!C72+CFO!C72+LLA!C72+'C&amp;E'!C72+CES!C72+LLT!C72+GB!C72</f>
        <v>2380.0080000000003</v>
      </c>
      <c r="D72" s="7">
        <f>CEO!D72+CS!D72+CFO!D72+LLA!D72+'C&amp;E'!D72+CES!D72+LLT!D72+GB!D72</f>
        <v>2380.0080000000003</v>
      </c>
      <c r="E72" s="7">
        <f>CEO!E72+CS!E72+CFO!E72+LLA!E72+'C&amp;E'!E72+CES!E72+LLT!E72+GB!E72</f>
        <v>2380.0080000000003</v>
      </c>
      <c r="F72" s="7">
        <f>CEO!F72+CS!F72+CFO!F72+LLA!F72+'C&amp;E'!F72+CES!F72+LLT!F72+GB!F72</f>
        <v>2380.0080000000003</v>
      </c>
      <c r="G72" s="7">
        <f>CEO!G72+CS!G72+CFO!G72+LLA!G72+'C&amp;E'!G72+CES!G72+LLT!G72+GB!G72</f>
        <v>2380.0080000000003</v>
      </c>
      <c r="H72" s="7">
        <f>CEO!H72+CS!H72+CFO!H72+LLA!H72+'C&amp;E'!H72+CES!H72+LLT!H72+GB!H72</f>
        <v>2380.0080000000003</v>
      </c>
      <c r="I72" s="7">
        <f>CEO!I72+CS!I72+CFO!I72+LLA!I72+'C&amp;E'!I72+CES!I72+LLT!I72+GB!I72</f>
        <v>2380.0080000000003</v>
      </c>
      <c r="J72" s="7">
        <f>CEO!J72+CS!J72+CFO!J72+LLA!J72+'C&amp;E'!J72+CES!J72+LLT!J72+GB!J72</f>
        <v>2380.0080000000003</v>
      </c>
      <c r="K72" s="7">
        <f>CEO!K72+CS!K72+CFO!K72+LLA!K72+'C&amp;E'!K72+CES!K72+LLT!K72+GB!K72</f>
        <v>2380.0080000000003</v>
      </c>
      <c r="L72" s="7">
        <f>CEO!L72+CS!L72+CFO!L72+LLA!L72+'C&amp;E'!L72+CES!L72+LLT!L72+GB!L72</f>
        <v>2379.0080000000003</v>
      </c>
      <c r="M72" s="13" t="s">
        <v>466</v>
      </c>
      <c r="N72" s="7">
        <f t="shared" ref="N72:N89" si="43">SUM(A72:J72)</f>
        <v>23800.080000000005</v>
      </c>
      <c r="O72" s="7">
        <f t="shared" ref="O72:O135" si="44">SUM(K72:L72)</f>
        <v>4759.0160000000005</v>
      </c>
      <c r="P72" s="7">
        <f t="shared" ref="P72:P135" si="45">SUM(N72:O72)</f>
        <v>28559.096000000005</v>
      </c>
      <c r="Q72" s="7">
        <f>CEO!Q72+CS!Q72+CFO!Q72+LLA!Q72+'C&amp;E'!Q72+CES!Q72+LLT!Q72+GB!Q72</f>
        <v>28559.096000000009</v>
      </c>
      <c r="R72" s="7">
        <f t="shared" si="39"/>
        <v>0</v>
      </c>
      <c r="S72" s="7">
        <v>27251</v>
      </c>
      <c r="T72" s="7">
        <f>CEO!T72+CS!T72+CFO!T72+LLA!T72+'C&amp;E'!T72+CES!T72+LLT!T72+GB!T72</f>
        <v>0</v>
      </c>
      <c r="U72" s="7">
        <f t="shared" si="7"/>
        <v>55810.096000000005</v>
      </c>
      <c r="V72" s="7">
        <f t="shared" ref="V72:V135" si="46">U72-P72</f>
        <v>27251</v>
      </c>
      <c r="W72" s="7"/>
      <c r="X72" s="7">
        <f>CEO!Q72+CS!Q72+CFO!Q72+LLA!Q72+'C&amp;E'!Q72+CES!Q72+LLT!Q72+GB!Q72</f>
        <v>28559.096000000009</v>
      </c>
      <c r="Y72" s="7">
        <f t="shared" si="40"/>
        <v>0</v>
      </c>
      <c r="Z72" s="7">
        <f t="shared" si="42"/>
        <v>28559.096000000009</v>
      </c>
      <c r="AA72" s="7">
        <f t="shared" si="41"/>
        <v>29929.93260800001</v>
      </c>
      <c r="AB72" s="7">
        <f t="shared" si="41"/>
        <v>31336.639440576007</v>
      </c>
    </row>
    <row r="73" spans="1:28" x14ac:dyDescent="0.3">
      <c r="A73" s="7">
        <f>CEO!A73+CS!A73+CFO!A73+LLA!A73+'C&amp;E'!A73+CES!A73+LLT!A73+GB!A73</f>
        <v>0</v>
      </c>
      <c r="B73" s="7">
        <f>CEO!B73+CS!B73+CFO!B73+LLA!B73+'C&amp;E'!B73+CES!B73+LLT!B73+GB!B73</f>
        <v>0</v>
      </c>
      <c r="C73" s="7">
        <f>CEO!C73+CS!C73+CFO!C73+LLA!C73+'C&amp;E'!C73+CES!C73+LLT!C73+GB!C73</f>
        <v>0</v>
      </c>
      <c r="D73" s="7">
        <f>CEO!D73+CS!D73+CFO!D73+LLA!D73+'C&amp;E'!D73+CES!D73+LLT!D73+GB!D73</f>
        <v>0</v>
      </c>
      <c r="E73" s="7">
        <f>CEO!E73+CS!E73+CFO!E73+LLA!E73+'C&amp;E'!E73+CES!E73+LLT!E73+GB!E73</f>
        <v>0</v>
      </c>
      <c r="F73" s="7">
        <f>CEO!F73+CS!F73+CFO!F73+LLA!F73+'C&amp;E'!F73+CES!F73+LLT!F73+GB!F73</f>
        <v>0</v>
      </c>
      <c r="G73" s="7">
        <f>CEO!G73+CS!G73+CFO!G73+LLA!G73+'C&amp;E'!G73+CES!G73+LLT!G73+GB!G73</f>
        <v>0</v>
      </c>
      <c r="H73" s="7">
        <f>CEO!H73+CS!H73+CFO!H73+LLA!H73+'C&amp;E'!H73+CES!H73+LLT!H73+GB!H73</f>
        <v>0</v>
      </c>
      <c r="I73" s="7">
        <f>CEO!I73+CS!I73+CFO!I73+LLA!I73+'C&amp;E'!I73+CES!I73+LLT!I73+GB!I73</f>
        <v>0</v>
      </c>
      <c r="J73" s="7">
        <f>CEO!J73+CS!J73+CFO!J73+LLA!J73+'C&amp;E'!J73+CES!J73+LLT!J73+GB!J73</f>
        <v>0</v>
      </c>
      <c r="K73" s="7">
        <f>CEO!K73+CS!K73+CFO!K73+LLA!K73+'C&amp;E'!K73+CES!K73+LLT!K73+GB!K73</f>
        <v>0</v>
      </c>
      <c r="L73" s="7">
        <f>CEO!L73+CS!L73+CFO!L73+LLA!L73+'C&amp;E'!L73+CES!L73+LLT!L73+GB!L73</f>
        <v>0</v>
      </c>
      <c r="M73" s="13" t="s">
        <v>453</v>
      </c>
      <c r="N73" s="7">
        <f t="shared" si="43"/>
        <v>0</v>
      </c>
      <c r="O73" s="7">
        <f t="shared" si="44"/>
        <v>0</v>
      </c>
      <c r="P73" s="7">
        <f t="shared" si="45"/>
        <v>0</v>
      </c>
      <c r="Q73" s="7">
        <f>CEO!Q73+CS!Q73+CFO!Q73+LLA!Q73+'C&amp;E'!Q73+CES!Q73+LLT!Q73+GB!Q73</f>
        <v>0</v>
      </c>
      <c r="R73" s="7">
        <f t="shared" si="39"/>
        <v>0</v>
      </c>
      <c r="S73" s="7">
        <v>0</v>
      </c>
      <c r="T73" s="7">
        <f>CEO!T73+CS!T73+CFO!T73+LLA!T73+'C&amp;E'!T73+CES!T73+LLT!T73+GB!T73</f>
        <v>0</v>
      </c>
      <c r="U73" s="7">
        <f t="shared" ref="U73:U128" si="47">S73+Q73+T73</f>
        <v>0</v>
      </c>
      <c r="V73" s="7">
        <f t="shared" si="46"/>
        <v>0</v>
      </c>
      <c r="W73" s="7"/>
      <c r="X73" s="7">
        <f>CEO!Q73+CS!Q73+CFO!Q73+LLA!Q73+'C&amp;E'!Q73+CES!Q73+LLT!Q73+GB!Q73</f>
        <v>0</v>
      </c>
      <c r="Y73" s="7">
        <f t="shared" si="40"/>
        <v>0</v>
      </c>
      <c r="Z73" s="7">
        <f t="shared" si="42"/>
        <v>0</v>
      </c>
      <c r="AA73" s="7">
        <f t="shared" si="41"/>
        <v>0</v>
      </c>
      <c r="AB73" s="7">
        <f t="shared" si="41"/>
        <v>0</v>
      </c>
    </row>
    <row r="74" spans="1:28" x14ac:dyDescent="0.3">
      <c r="A74" s="7">
        <f>CEO!A74+CS!A74+CFO!A74+LLA!A74+'C&amp;E'!A74+CES!A74+LLT!A74+GB!A74</f>
        <v>293473.53600000002</v>
      </c>
      <c r="B74" s="7">
        <f>CEO!B74+CS!B74+CFO!B74+LLA!B74+'C&amp;E'!B74+CES!B74+LLT!B74+GB!B74</f>
        <v>293473.53600000002</v>
      </c>
      <c r="C74" s="7">
        <f>CEO!C74+CS!C74+CFO!C74+LLA!C74+'C&amp;E'!C74+CES!C74+LLT!C74+GB!C74</f>
        <v>293473.53600000002</v>
      </c>
      <c r="D74" s="7">
        <f>CEO!D74+CS!D74+CFO!D74+LLA!D74+'C&amp;E'!D74+CES!D74+LLT!D74+GB!D74</f>
        <v>293473.53600000002</v>
      </c>
      <c r="E74" s="7">
        <f>CEO!E74+CS!E74+CFO!E74+LLA!E74+'C&amp;E'!E74+CES!E74+LLT!E74+GB!E74</f>
        <v>293473.53600000002</v>
      </c>
      <c r="F74" s="7">
        <f>CEO!F74+CS!F74+CFO!F74+LLA!F74+'C&amp;E'!F74+CES!F74+LLT!F74+GB!F74</f>
        <v>293473.53600000002</v>
      </c>
      <c r="G74" s="7">
        <f>CEO!G74+CS!G74+CFO!G74+LLA!G74+'C&amp;E'!G74+CES!G74+LLT!G74+GB!G74</f>
        <v>293473.53600000002</v>
      </c>
      <c r="H74" s="7">
        <f>CEO!H74+CS!H74+CFO!H74+LLA!H74+'C&amp;E'!H74+CES!H74+LLT!H74+GB!H74</f>
        <v>293473.53600000002</v>
      </c>
      <c r="I74" s="7">
        <f>CEO!I74+CS!I74+CFO!I74+LLA!I74+'C&amp;E'!I74+CES!I74+LLT!I74+GB!I74</f>
        <v>293473.53600000002</v>
      </c>
      <c r="J74" s="7">
        <f>CEO!J74+CS!J74+CFO!J74+LLA!J74+'C&amp;E'!J74+CES!J74+LLT!J74+GB!J74</f>
        <v>293473.53600000002</v>
      </c>
      <c r="K74" s="7">
        <f>CEO!K74+CS!K74+CFO!K74+LLA!K74+'C&amp;E'!K74+CES!K74+LLT!K74+GB!K74</f>
        <v>293473.53600000002</v>
      </c>
      <c r="L74" s="7">
        <f>CEO!L74+CS!L74+CFO!L74+LLA!L74+'C&amp;E'!L74+CES!L74+LLT!L74+GB!L74</f>
        <v>293479.53600000002</v>
      </c>
      <c r="M74" s="127" t="s">
        <v>467</v>
      </c>
      <c r="N74" s="7">
        <f t="shared" si="43"/>
        <v>2934735.36</v>
      </c>
      <c r="O74" s="7">
        <f t="shared" si="44"/>
        <v>586953.07200000004</v>
      </c>
      <c r="P74" s="7">
        <f t="shared" si="45"/>
        <v>3521688.432</v>
      </c>
      <c r="Q74" s="7">
        <f>CEO!Q74+CS!Q74+CFO!Q74+LLA!Q74+'C&amp;E'!Q74+CES!Q74+LLT!Q74+GB!Q74</f>
        <v>3521688.4319999996</v>
      </c>
      <c r="R74" s="7">
        <f t="shared" si="39"/>
        <v>0</v>
      </c>
      <c r="S74" s="7">
        <v>0</v>
      </c>
      <c r="T74" s="7">
        <f>CEO!T74+CS!T74+CFO!T74+LLA!T74+'C&amp;E'!T74+CES!T74+LLT!T74+GB!T74</f>
        <v>0</v>
      </c>
      <c r="U74" s="7">
        <f t="shared" si="47"/>
        <v>3521688.4319999996</v>
      </c>
      <c r="V74" s="7">
        <f t="shared" si="46"/>
        <v>0</v>
      </c>
      <c r="W74" s="7"/>
      <c r="X74" s="7">
        <f>CEO!Q74+CS!Q74+CFO!Q74+LLA!Q74+'C&amp;E'!Q74+CES!Q74+LLT!Q74+GB!Q74</f>
        <v>3521688.4319999996</v>
      </c>
      <c r="Y74" s="7">
        <f t="shared" si="40"/>
        <v>0</v>
      </c>
      <c r="Z74" s="7">
        <f t="shared" si="42"/>
        <v>3521688.4319999996</v>
      </c>
      <c r="AA74" s="7">
        <f t="shared" si="41"/>
        <v>3690729.4767359998</v>
      </c>
      <c r="AB74" s="7">
        <f t="shared" si="41"/>
        <v>3864193.7621425916</v>
      </c>
    </row>
    <row r="75" spans="1:28" x14ac:dyDescent="0.3">
      <c r="A75" s="7">
        <f>CEO!A75+CS!A75+CFO!A75+LLA!A75+'C&amp;E'!A75+CES!A75+LLT!A75+GB!A75</f>
        <v>12241.688</v>
      </c>
      <c r="B75" s="7">
        <f>CEO!B75+CS!B75+CFO!B75+LLA!B75+'C&amp;E'!B75+CES!B75+LLT!B75+GB!B75</f>
        <v>12241.688</v>
      </c>
      <c r="C75" s="7">
        <f>CEO!C75+CS!C75+CFO!C75+LLA!C75+'C&amp;E'!C75+CES!C75+LLT!C75+GB!C75</f>
        <v>12241.688</v>
      </c>
      <c r="D75" s="7">
        <f>CEO!D75+CS!D75+CFO!D75+LLA!D75+'C&amp;E'!D75+CES!D75+LLT!D75+GB!D75</f>
        <v>12241.688</v>
      </c>
      <c r="E75" s="7">
        <f>CEO!E75+CS!E75+CFO!E75+LLA!E75+'C&amp;E'!E75+CES!E75+LLT!E75+GB!E75</f>
        <v>12241.688</v>
      </c>
      <c r="F75" s="7">
        <f>CEO!F75+CS!F75+CFO!F75+LLA!F75+'C&amp;E'!F75+CES!F75+LLT!F75+GB!F75</f>
        <v>12241.688</v>
      </c>
      <c r="G75" s="7">
        <f>CEO!G75+CS!G75+CFO!G75+LLA!G75+'C&amp;E'!G75+CES!G75+LLT!G75+GB!G75</f>
        <v>12241.688</v>
      </c>
      <c r="H75" s="7">
        <f>CEO!H75+CS!H75+CFO!H75+LLA!H75+'C&amp;E'!H75+CES!H75+LLT!H75+GB!H75</f>
        <v>12241.688</v>
      </c>
      <c r="I75" s="7">
        <f>CEO!I75+CS!I75+CFO!I75+LLA!I75+'C&amp;E'!I75+CES!I75+LLT!I75+GB!I75</f>
        <v>12241.688</v>
      </c>
      <c r="J75" s="7">
        <f>CEO!J75+CS!J75+CFO!J75+LLA!J75+'C&amp;E'!J75+CES!J75+LLT!J75+GB!J75</f>
        <v>12241.688</v>
      </c>
      <c r="K75" s="7">
        <f>CEO!K75+CS!K75+CFO!K75+LLA!K75+'C&amp;E'!K75+CES!K75+LLT!K75+GB!K75</f>
        <v>12241.688</v>
      </c>
      <c r="L75" s="7">
        <f>CEO!L75+CS!L75+CFO!L75+LLA!L75+'C&amp;E'!L75+CES!L75+LLT!L75+GB!L75</f>
        <v>12244.688</v>
      </c>
      <c r="M75" s="13" t="s">
        <v>468</v>
      </c>
      <c r="N75" s="7">
        <f t="shared" si="43"/>
        <v>122416.87999999998</v>
      </c>
      <c r="O75" s="7">
        <f t="shared" si="44"/>
        <v>24486.376</v>
      </c>
      <c r="P75" s="7">
        <f t="shared" si="45"/>
        <v>146903.25599999996</v>
      </c>
      <c r="Q75" s="7">
        <f>CEO!Q75+CS!Q75+CFO!Q75+LLA!Q75+'C&amp;E'!Q75+CES!Q75+LLT!Q75+GB!Q75</f>
        <v>146903.25599999996</v>
      </c>
      <c r="R75" s="7">
        <f t="shared" si="39"/>
        <v>0</v>
      </c>
      <c r="S75" s="7">
        <v>-34087</v>
      </c>
      <c r="T75" s="7">
        <f>CEO!T75+CS!T75+CFO!T75+LLA!T75+'C&amp;E'!T75+CES!T75+LLT!T75+GB!T75</f>
        <v>-9320.1090000000004</v>
      </c>
      <c r="U75" s="7">
        <f t="shared" si="47"/>
        <v>103496.14699999997</v>
      </c>
      <c r="V75" s="7">
        <f t="shared" si="46"/>
        <v>-43407.108999999997</v>
      </c>
      <c r="W75" s="7"/>
      <c r="X75" s="7">
        <f>CEO!Q75+CS!Q75+CFO!Q75+LLA!Q75+'C&amp;E'!Q75+CES!Q75+LLT!Q75+GB!Q75</f>
        <v>146903.25599999996</v>
      </c>
      <c r="Y75" s="7">
        <f t="shared" si="40"/>
        <v>0</v>
      </c>
      <c r="Z75" s="7">
        <f t="shared" si="42"/>
        <v>146903.25599999996</v>
      </c>
      <c r="AA75" s="7">
        <f t="shared" si="41"/>
        <v>153954.61228799997</v>
      </c>
      <c r="AB75" s="7">
        <f t="shared" si="41"/>
        <v>161190.47906553597</v>
      </c>
    </row>
    <row r="76" spans="1:28" x14ac:dyDescent="0.3">
      <c r="A76" s="7">
        <f>CEO!A76+CS!A76+CFO!A76+LLA!A76+'C&amp;E'!A76+CES!A76+LLT!A76+GB!A76</f>
        <v>2356.9520000000002</v>
      </c>
      <c r="B76" s="7">
        <f>CEO!B76+CS!B76+CFO!B76+LLA!B76+'C&amp;E'!B76+CES!B76+LLT!B76+GB!B76</f>
        <v>2356.9520000000002</v>
      </c>
      <c r="C76" s="7">
        <f>CEO!C76+CS!C76+CFO!C76+LLA!C76+'C&amp;E'!C76+CES!C76+LLT!C76+GB!C76</f>
        <v>2356.9520000000002</v>
      </c>
      <c r="D76" s="7">
        <f>CEO!D76+CS!D76+CFO!D76+LLA!D76+'C&amp;E'!D76+CES!D76+LLT!D76+GB!D76</f>
        <v>2356.9520000000002</v>
      </c>
      <c r="E76" s="7">
        <f>CEO!E76+CS!E76+CFO!E76+LLA!E76+'C&amp;E'!E76+CES!E76+LLT!E76+GB!E76</f>
        <v>2356.9520000000002</v>
      </c>
      <c r="F76" s="7">
        <f>CEO!F76+CS!F76+CFO!F76+LLA!F76+'C&amp;E'!F76+CES!F76+LLT!F76+GB!F76</f>
        <v>2356.9520000000002</v>
      </c>
      <c r="G76" s="7">
        <f>CEO!G76+CS!G76+CFO!G76+LLA!G76+'C&amp;E'!G76+CES!G76+LLT!G76+GB!G76</f>
        <v>2356.9520000000002</v>
      </c>
      <c r="H76" s="7">
        <f>CEO!H76+CS!H76+CFO!H76+LLA!H76+'C&amp;E'!H76+CES!H76+LLT!H76+GB!H76</f>
        <v>2356.9520000000002</v>
      </c>
      <c r="I76" s="7">
        <f>CEO!I76+CS!I76+CFO!I76+LLA!I76+'C&amp;E'!I76+CES!I76+LLT!I76+GB!I76</f>
        <v>2356.9520000000002</v>
      </c>
      <c r="J76" s="7">
        <f>CEO!J76+CS!J76+CFO!J76+LLA!J76+'C&amp;E'!J76+CES!J76+LLT!J76+GB!J76</f>
        <v>2356.9520000000002</v>
      </c>
      <c r="K76" s="7">
        <f>CEO!K76+CS!K76+CFO!K76+LLA!K76+'C&amp;E'!K76+CES!K76+LLT!K76+GB!K76</f>
        <v>2356.9520000000002</v>
      </c>
      <c r="L76" s="7">
        <f>CEO!L76+CS!L76+CFO!L76+LLA!L76+'C&amp;E'!L76+CES!L76+LLT!L76+GB!L76</f>
        <v>2352.9520000000002</v>
      </c>
      <c r="M76" s="13" t="s">
        <v>469</v>
      </c>
      <c r="N76" s="7">
        <f t="shared" si="43"/>
        <v>23569.520000000008</v>
      </c>
      <c r="O76" s="7">
        <f t="shared" si="44"/>
        <v>4709.9040000000005</v>
      </c>
      <c r="P76" s="7">
        <f t="shared" si="45"/>
        <v>28279.424000000006</v>
      </c>
      <c r="Q76" s="7">
        <f>CEO!Q76+CS!Q76+CFO!Q76+LLA!Q76+'C&amp;E'!Q76+CES!Q76+LLT!Q76+GB!Q76</f>
        <v>28279.42400000001</v>
      </c>
      <c r="R76" s="7">
        <f t="shared" si="39"/>
        <v>0</v>
      </c>
      <c r="S76" s="7">
        <v>4399</v>
      </c>
      <c r="T76" s="7">
        <f>CEO!T76+CS!T76+CFO!T76+LLA!T76+'C&amp;E'!T76+CES!T76+LLT!T76+GB!T76</f>
        <v>9320.1089999999967</v>
      </c>
      <c r="U76" s="7">
        <f t="shared" si="47"/>
        <v>41998.53300000001</v>
      </c>
      <c r="V76" s="7">
        <f t="shared" si="46"/>
        <v>13719.109000000004</v>
      </c>
      <c r="W76" s="7"/>
      <c r="X76" s="7">
        <f>CEO!Q76+CS!Q76+CFO!Q76+LLA!Q76+'C&amp;E'!Q76+CES!Q76+LLT!Q76+GB!Q76</f>
        <v>28279.42400000001</v>
      </c>
      <c r="Y76" s="7">
        <f t="shared" si="40"/>
        <v>0</v>
      </c>
      <c r="Z76" s="7">
        <f t="shared" si="42"/>
        <v>28279.42400000001</v>
      </c>
      <c r="AA76" s="7">
        <f t="shared" si="41"/>
        <v>29636.836352000013</v>
      </c>
      <c r="AB76" s="7">
        <f t="shared" si="41"/>
        <v>31029.76766054401</v>
      </c>
    </row>
    <row r="77" spans="1:28" x14ac:dyDescent="0.3">
      <c r="A77" s="7">
        <f>CEO!A77+CS!A77+CFO!A77+LLA!A77+'C&amp;E'!A77+CES!A77+LLT!A77+GB!A77</f>
        <v>0</v>
      </c>
      <c r="B77" s="7">
        <f>CEO!B77+CS!B77+CFO!B77+LLA!B77+'C&amp;E'!B77+CES!B77+LLT!B77+GB!B77</f>
        <v>0</v>
      </c>
      <c r="C77" s="7">
        <f>CEO!C77+CS!C77+CFO!C77+LLA!C77+'C&amp;E'!C77+CES!C77+LLT!C77+GB!C77</f>
        <v>0</v>
      </c>
      <c r="D77" s="7">
        <f>CEO!D77+CS!D77+CFO!D77+LLA!D77+'C&amp;E'!D77+CES!D77+LLT!D77+GB!D77</f>
        <v>0</v>
      </c>
      <c r="E77" s="7">
        <f>CEO!E77+CS!E77+CFO!E77+LLA!E77+'C&amp;E'!E77+CES!E77+LLT!E77+GB!E77</f>
        <v>0</v>
      </c>
      <c r="F77" s="7">
        <f>CEO!F77+CS!F77+CFO!F77+LLA!F77+'C&amp;E'!F77+CES!F77+LLT!F77+GB!F77</f>
        <v>0</v>
      </c>
      <c r="G77" s="7">
        <f>CEO!G77+CS!G77+CFO!G77+LLA!G77+'C&amp;E'!G77+CES!G77+LLT!G77+GB!G77</f>
        <v>0</v>
      </c>
      <c r="H77" s="7">
        <f>CEO!H77+CS!H77+CFO!H77+LLA!H77+'C&amp;E'!H77+CES!H77+LLT!H77+GB!H77</f>
        <v>0</v>
      </c>
      <c r="I77" s="7">
        <f>CEO!I77+CS!I77+CFO!I77+LLA!I77+'C&amp;E'!I77+CES!I77+LLT!I77+GB!I77</f>
        <v>0</v>
      </c>
      <c r="J77" s="7">
        <f>CEO!J77+CS!J77+CFO!J77+LLA!J77+'C&amp;E'!J77+CES!J77+LLT!J77+GB!J77</f>
        <v>0</v>
      </c>
      <c r="K77" s="7">
        <f>CEO!K77+CS!K77+CFO!K77+LLA!K77+'C&amp;E'!K77+CES!K77+LLT!K77+GB!K77</f>
        <v>0</v>
      </c>
      <c r="L77" s="7">
        <f>CEO!L77+CS!L77+CFO!L77+LLA!L77+'C&amp;E'!L77+CES!L77+LLT!L77+GB!L77</f>
        <v>0</v>
      </c>
      <c r="M77" s="13" t="s">
        <v>470</v>
      </c>
      <c r="N77" s="7">
        <f t="shared" si="43"/>
        <v>0</v>
      </c>
      <c r="O77" s="7">
        <f t="shared" si="44"/>
        <v>0</v>
      </c>
      <c r="P77" s="7">
        <f t="shared" si="45"/>
        <v>0</v>
      </c>
      <c r="Q77" s="7">
        <f>CEO!Q77+CS!Q77+CFO!Q77+LLA!Q77+'C&amp;E'!Q77+CES!Q77+LLT!Q77+GB!Q77</f>
        <v>0</v>
      </c>
      <c r="R77" s="7">
        <f t="shared" si="39"/>
        <v>0</v>
      </c>
      <c r="S77" s="7">
        <v>0</v>
      </c>
      <c r="T77" s="7">
        <f>CEO!T77+CS!T77+CFO!T77+LLA!T77+'C&amp;E'!T77+CES!T77+LLT!T77+GB!T77</f>
        <v>0</v>
      </c>
      <c r="U77" s="7">
        <f t="shared" si="47"/>
        <v>0</v>
      </c>
      <c r="V77" s="7">
        <f t="shared" si="46"/>
        <v>0</v>
      </c>
      <c r="W77" s="7"/>
      <c r="X77" s="7">
        <f>CEO!Q77+CS!Q77+CFO!Q77+LLA!Q77+'C&amp;E'!Q77+CES!Q77+LLT!Q77+GB!Q77</f>
        <v>0</v>
      </c>
      <c r="Y77" s="7">
        <f t="shared" si="40"/>
        <v>0</v>
      </c>
      <c r="Z77" s="7">
        <f t="shared" si="42"/>
        <v>0</v>
      </c>
      <c r="AA77" s="7">
        <f t="shared" si="41"/>
        <v>0</v>
      </c>
      <c r="AB77" s="7">
        <f t="shared" si="41"/>
        <v>0</v>
      </c>
    </row>
    <row r="78" spans="1:28" x14ac:dyDescent="0.3">
      <c r="A78" s="7">
        <f>CEO!A78+CS!A78+CFO!A78+LLA!A78+'C&amp;E'!A78+CES!A78+LLT!A78+GB!A78</f>
        <v>0</v>
      </c>
      <c r="B78" s="7">
        <f>CEO!B78+CS!B78+CFO!B78+LLA!B78+'C&amp;E'!B78+CES!B78+LLT!B78+GB!B78</f>
        <v>0</v>
      </c>
      <c r="C78" s="7">
        <f>CEO!C78+CS!C78+CFO!C78+LLA!C78+'C&amp;E'!C78+CES!C78+LLT!C78+GB!C78</f>
        <v>0</v>
      </c>
      <c r="D78" s="7">
        <f>CEO!D78+CS!D78+CFO!D78+LLA!D78+'C&amp;E'!D78+CES!D78+LLT!D78+GB!D78</f>
        <v>0</v>
      </c>
      <c r="E78" s="7">
        <f>CEO!E78+CS!E78+CFO!E78+LLA!E78+'C&amp;E'!E78+CES!E78+LLT!E78+GB!E78</f>
        <v>0</v>
      </c>
      <c r="F78" s="7">
        <f>CEO!F78+CS!F78+CFO!F78+LLA!F78+'C&amp;E'!F78+CES!F78+LLT!F78+GB!F78</f>
        <v>0</v>
      </c>
      <c r="G78" s="7">
        <f>CEO!G78+CS!G78+CFO!G78+LLA!G78+'C&amp;E'!G78+CES!G78+LLT!G78+GB!G78</f>
        <v>0</v>
      </c>
      <c r="H78" s="7">
        <f>CEO!H78+CS!H78+CFO!H78+LLA!H78+'C&amp;E'!H78+CES!H78+LLT!H78+GB!H78</f>
        <v>0</v>
      </c>
      <c r="I78" s="7">
        <f>CEO!I78+CS!I78+CFO!I78+LLA!I78+'C&amp;E'!I78+CES!I78+LLT!I78+GB!I78</f>
        <v>0</v>
      </c>
      <c r="J78" s="7">
        <f>CEO!J78+CS!J78+CFO!J78+LLA!J78+'C&amp;E'!J78+CES!J78+LLT!J78+GB!J78</f>
        <v>0</v>
      </c>
      <c r="K78" s="7">
        <f>CEO!K78+CS!K78+CFO!K78+LLA!K78+'C&amp;E'!K78+CES!K78+LLT!K78+GB!K78</f>
        <v>0</v>
      </c>
      <c r="L78" s="7">
        <f>CEO!L78+CS!L78+CFO!L78+LLA!L78+'C&amp;E'!L78+CES!L78+LLT!L78+GB!L78</f>
        <v>0</v>
      </c>
      <c r="M78" s="13" t="s">
        <v>471</v>
      </c>
      <c r="N78" s="7">
        <f t="shared" si="43"/>
        <v>0</v>
      </c>
      <c r="O78" s="7">
        <f t="shared" si="44"/>
        <v>0</v>
      </c>
      <c r="P78" s="7">
        <f t="shared" si="45"/>
        <v>0</v>
      </c>
      <c r="Q78" s="7">
        <f>CEO!Q78+CS!Q78+CFO!Q78+LLA!Q78+'C&amp;E'!Q78+CES!Q78+LLT!Q78+GB!Q78</f>
        <v>0</v>
      </c>
      <c r="R78" s="7">
        <f t="shared" si="39"/>
        <v>0</v>
      </c>
      <c r="S78" s="7">
        <v>0</v>
      </c>
      <c r="T78" s="7">
        <f>CEO!T78+CS!T78+CFO!T78+LLA!T78+'C&amp;E'!T78+CES!T78+LLT!T78+GB!T78</f>
        <v>0</v>
      </c>
      <c r="U78" s="7">
        <f t="shared" si="47"/>
        <v>0</v>
      </c>
      <c r="V78" s="7">
        <f t="shared" si="46"/>
        <v>0</v>
      </c>
      <c r="W78" s="7"/>
      <c r="X78" s="7">
        <f>CEO!Q78+CS!Q78+CFO!Q78+LLA!Q78+'C&amp;E'!Q78+CES!Q78+LLT!Q78+GB!Q78</f>
        <v>0</v>
      </c>
      <c r="Y78" s="7">
        <f t="shared" si="40"/>
        <v>0</v>
      </c>
      <c r="Z78" s="7">
        <f t="shared" si="42"/>
        <v>0</v>
      </c>
      <c r="AA78" s="7">
        <f t="shared" si="41"/>
        <v>0</v>
      </c>
      <c r="AB78" s="7">
        <f t="shared" si="41"/>
        <v>0</v>
      </c>
    </row>
    <row r="79" spans="1:28" x14ac:dyDescent="0.3">
      <c r="A79" s="7">
        <f>CEO!A79+CS!A79+CFO!A79+LLA!A79+'C&amp;E'!A79+CES!A79+LLT!A79+GB!A79</f>
        <v>8732.9840000000004</v>
      </c>
      <c r="B79" s="7">
        <f>CEO!B79+CS!B79+CFO!B79+LLA!B79+'C&amp;E'!B79+CES!B79+LLT!B79+GB!B79</f>
        <v>8732.9840000000004</v>
      </c>
      <c r="C79" s="7">
        <f>CEO!C79+CS!C79+CFO!C79+LLA!C79+'C&amp;E'!C79+CES!C79+LLT!C79+GB!C79</f>
        <v>8732.9840000000004</v>
      </c>
      <c r="D79" s="7">
        <f>CEO!D79+CS!D79+CFO!D79+LLA!D79+'C&amp;E'!D79+CES!D79+LLT!D79+GB!D79</f>
        <v>8732.9840000000004</v>
      </c>
      <c r="E79" s="7">
        <f>CEO!E79+CS!E79+CFO!E79+LLA!E79+'C&amp;E'!E79+CES!E79+LLT!E79+GB!E79</f>
        <v>8732.9840000000004</v>
      </c>
      <c r="F79" s="7">
        <f>CEO!F79+CS!F79+CFO!F79+LLA!F79+'C&amp;E'!F79+CES!F79+LLT!F79+GB!F79</f>
        <v>8732.9840000000004</v>
      </c>
      <c r="G79" s="7">
        <f>CEO!G79+CS!G79+CFO!G79+LLA!G79+'C&amp;E'!G79+CES!G79+LLT!G79+GB!G79</f>
        <v>8732.9840000000004</v>
      </c>
      <c r="H79" s="7">
        <f>CEO!H79+CS!H79+CFO!H79+LLA!H79+'C&amp;E'!H79+CES!H79+LLT!H79+GB!H79</f>
        <v>8732.9840000000004</v>
      </c>
      <c r="I79" s="7">
        <f>CEO!I79+CS!I79+CFO!I79+LLA!I79+'C&amp;E'!I79+CES!I79+LLT!I79+GB!I79</f>
        <v>8732.9840000000004</v>
      </c>
      <c r="J79" s="7">
        <f>CEO!J79+CS!J79+CFO!J79+LLA!J79+'C&amp;E'!J79+CES!J79+LLT!J79+GB!J79</f>
        <v>8732.9840000000004</v>
      </c>
      <c r="K79" s="7">
        <f>CEO!K79+CS!K79+CFO!K79+LLA!K79+'C&amp;E'!K79+CES!K79+LLT!K79+GB!K79</f>
        <v>8732.9840000000004</v>
      </c>
      <c r="L79" s="7">
        <f>CEO!L79+CS!L79+CFO!L79+LLA!L79+'C&amp;E'!L79+CES!L79+LLT!L79+GB!L79</f>
        <v>8736.9840000000004</v>
      </c>
      <c r="M79" s="13" t="s">
        <v>472</v>
      </c>
      <c r="N79" s="7">
        <f t="shared" si="43"/>
        <v>87329.839999999982</v>
      </c>
      <c r="O79" s="7">
        <f t="shared" si="44"/>
        <v>17469.968000000001</v>
      </c>
      <c r="P79" s="7">
        <f t="shared" si="45"/>
        <v>104799.80799999999</v>
      </c>
      <c r="Q79" s="7">
        <f>CEO!Q79+CS!Q79+CFO!Q79+LLA!Q79+'C&amp;E'!Q79+CES!Q79+LLT!Q79+GB!Q79</f>
        <v>104799.80799999998</v>
      </c>
      <c r="R79" s="7">
        <f t="shared" si="39"/>
        <v>0</v>
      </c>
      <c r="S79" s="7">
        <v>0</v>
      </c>
      <c r="T79" s="7">
        <f>CEO!T79+CS!T79+CFO!T79+LLA!T79+'C&amp;E'!T79+CES!T79+LLT!T79+GB!T79</f>
        <v>0</v>
      </c>
      <c r="U79" s="7">
        <f t="shared" si="47"/>
        <v>104799.80799999998</v>
      </c>
      <c r="V79" s="7">
        <f t="shared" si="46"/>
        <v>0</v>
      </c>
      <c r="W79" s="7"/>
      <c r="X79" s="7">
        <f>CEO!Q79+CS!Q79+CFO!Q79+LLA!Q79+'C&amp;E'!Q79+CES!Q79+LLT!Q79+GB!Q79</f>
        <v>104799.80799999998</v>
      </c>
      <c r="Y79" s="7">
        <f t="shared" si="40"/>
        <v>0</v>
      </c>
      <c r="Z79" s="7">
        <f t="shared" si="42"/>
        <v>104799.80799999998</v>
      </c>
      <c r="AA79" s="7">
        <f t="shared" si="41"/>
        <v>109830.19878399998</v>
      </c>
      <c r="AB79" s="7">
        <f t="shared" si="41"/>
        <v>114992.21812684798</v>
      </c>
    </row>
    <row r="80" spans="1:28" x14ac:dyDescent="0.3">
      <c r="A80" s="7">
        <f>CEO!A80+CS!A80+CFO!A80+LLA!A80+'C&amp;E'!A80+CES!A80+LLT!A80+GB!A80</f>
        <v>0</v>
      </c>
      <c r="B80" s="7">
        <f>CEO!B80+CS!B80+CFO!B80+LLA!B80+'C&amp;E'!B80+CES!B80+LLT!B80+GB!B80</f>
        <v>0</v>
      </c>
      <c r="C80" s="7">
        <f>CEO!C80+CS!C80+CFO!C80+LLA!C80+'C&amp;E'!C80+CES!C80+LLT!C80+GB!C80</f>
        <v>0</v>
      </c>
      <c r="D80" s="7">
        <f>CEO!D80+CS!D80+CFO!D80+LLA!D80+'C&amp;E'!D80+CES!D80+LLT!D80+GB!D80</f>
        <v>0</v>
      </c>
      <c r="E80" s="7">
        <f>CEO!E80+CS!E80+CFO!E80+LLA!E80+'C&amp;E'!E80+CES!E80+LLT!E80+GB!E80</f>
        <v>0</v>
      </c>
      <c r="F80" s="7">
        <f>CEO!F80+CS!F80+CFO!F80+LLA!F80+'C&amp;E'!F80+CES!F80+LLT!F80+GB!F80</f>
        <v>0</v>
      </c>
      <c r="G80" s="7">
        <f>CEO!G80+CS!G80+CFO!G80+LLA!G80+'C&amp;E'!G80+CES!G80+LLT!G80+GB!G80</f>
        <v>0</v>
      </c>
      <c r="H80" s="7">
        <f>CEO!H80+CS!H80+CFO!H80+LLA!H80+'C&amp;E'!H80+CES!H80+LLT!H80+GB!H80</f>
        <v>0</v>
      </c>
      <c r="I80" s="7">
        <f>CEO!I80+CS!I80+CFO!I80+LLA!I80+'C&amp;E'!I80+CES!I80+LLT!I80+GB!I80</f>
        <v>0</v>
      </c>
      <c r="J80" s="7">
        <f>CEO!J80+CS!J80+CFO!J80+LLA!J80+'C&amp;E'!J80+CES!J80+LLT!J80+GB!J80</f>
        <v>0</v>
      </c>
      <c r="K80" s="7">
        <f>CEO!K80+CS!K80+CFO!K80+LLA!K80+'C&amp;E'!K80+CES!K80+LLT!K80+GB!K80</f>
        <v>0</v>
      </c>
      <c r="L80" s="7">
        <f>CEO!L80+CS!L80+CFO!L80+LLA!L80+'C&amp;E'!L80+CES!L80+LLT!L80+GB!L80</f>
        <v>0</v>
      </c>
      <c r="M80" s="13" t="s">
        <v>145</v>
      </c>
      <c r="N80" s="7">
        <f t="shared" si="43"/>
        <v>0</v>
      </c>
      <c r="O80" s="7">
        <f t="shared" si="44"/>
        <v>0</v>
      </c>
      <c r="P80" s="7">
        <f t="shared" si="45"/>
        <v>0</v>
      </c>
      <c r="Q80" s="7">
        <f>CEO!Q80+CS!Q80+CFO!Q80+LLA!Q80+'C&amp;E'!Q80+CES!Q80+LLT!Q80+GB!Q80</f>
        <v>0</v>
      </c>
      <c r="R80" s="7">
        <f t="shared" si="39"/>
        <v>0</v>
      </c>
      <c r="S80" s="7">
        <v>0</v>
      </c>
      <c r="T80" s="7">
        <f>CEO!T80+CS!T80+CFO!T80+LLA!T80+'C&amp;E'!T80+CES!T80+LLT!T80+GB!T80</f>
        <v>0</v>
      </c>
      <c r="U80" s="7">
        <f t="shared" si="47"/>
        <v>0</v>
      </c>
      <c r="V80" s="7">
        <f t="shared" si="46"/>
        <v>0</v>
      </c>
      <c r="W80" s="7"/>
      <c r="X80" s="7">
        <f>CEO!Q80+CS!Q80+CFO!Q80+LLA!Q80+'C&amp;E'!Q80+CES!Q80+LLT!Q80+GB!Q80</f>
        <v>0</v>
      </c>
      <c r="Y80" s="7">
        <f t="shared" si="40"/>
        <v>0</v>
      </c>
      <c r="Z80" s="7">
        <f t="shared" si="42"/>
        <v>0</v>
      </c>
      <c r="AA80" s="7">
        <f t="shared" si="41"/>
        <v>0</v>
      </c>
      <c r="AB80" s="7">
        <f t="shared" si="41"/>
        <v>0</v>
      </c>
    </row>
    <row r="81" spans="1:28" x14ac:dyDescent="0.3">
      <c r="A81" s="7">
        <f>CEO!A81+CS!A81+CFO!A81+LLA!A81+'C&amp;E'!A81+CES!A81+LLT!A81+GB!A81</f>
        <v>0</v>
      </c>
      <c r="B81" s="7">
        <f>CEO!B81+CS!B81+CFO!B81+LLA!B81+'C&amp;E'!B81+CES!B81+LLT!B81+GB!B81</f>
        <v>0</v>
      </c>
      <c r="C81" s="7">
        <f>CEO!C81+CS!C81+CFO!C81+LLA!C81+'C&amp;E'!C81+CES!C81+LLT!C81+GB!C81</f>
        <v>0</v>
      </c>
      <c r="D81" s="7">
        <f>CEO!D81+CS!D81+CFO!D81+LLA!D81+'C&amp;E'!D81+CES!D81+LLT!D81+GB!D81</f>
        <v>0</v>
      </c>
      <c r="E81" s="7">
        <f>CEO!E81+CS!E81+CFO!E81+LLA!E81+'C&amp;E'!E81+CES!E81+LLT!E81+GB!E81</f>
        <v>13355.712</v>
      </c>
      <c r="F81" s="7">
        <f>CEO!F81+CS!F81+CFO!F81+LLA!F81+'C&amp;E'!F81+CES!F81+LLT!F81+GB!F81</f>
        <v>0</v>
      </c>
      <c r="G81" s="7">
        <f>CEO!G81+CS!G81+CFO!G81+LLA!G81+'C&amp;E'!G81+CES!G81+LLT!G81+GB!G81</f>
        <v>62198.75808</v>
      </c>
      <c r="H81" s="7">
        <f>CEO!H81+CS!H81+CFO!H81+LLA!H81+'C&amp;E'!H81+CES!H81+LLT!H81+GB!H81</f>
        <v>0</v>
      </c>
      <c r="I81" s="7">
        <f>CEO!I81+CS!I81+CFO!I81+LLA!I81+'C&amp;E'!I81+CES!I81+LLT!I81+GB!I81</f>
        <v>0</v>
      </c>
      <c r="J81" s="7">
        <f>CEO!J81+CS!J81+CFO!J81+LLA!J81+'C&amp;E'!J81+CES!J81+LLT!J81+GB!J81</f>
        <v>0</v>
      </c>
      <c r="K81" s="7">
        <f>CEO!K81+CS!K81+CFO!K81+LLA!K81+'C&amp;E'!K81+CES!K81+LLT!K81+GB!K81</f>
        <v>32121.200000000001</v>
      </c>
      <c r="L81" s="7">
        <f>CEO!L81+CS!L81+CFO!L81+LLA!L81+'C&amp;E'!L81+CES!L81+LLT!L81+GB!L81</f>
        <v>18366.2</v>
      </c>
      <c r="M81" s="127" t="s">
        <v>473</v>
      </c>
      <c r="N81" s="7">
        <f t="shared" si="43"/>
        <v>75554.470079999999</v>
      </c>
      <c r="O81" s="7">
        <f t="shared" si="44"/>
        <v>50487.4</v>
      </c>
      <c r="P81" s="7">
        <f t="shared" si="45"/>
        <v>126041.87007999999</v>
      </c>
      <c r="Q81" s="7">
        <f>CEO!Q81+CS!Q81+CFO!Q81+LLA!Q81+'C&amp;E'!Q81+CES!Q81+LLT!Q81+GB!Q81</f>
        <v>126041.87007999999</v>
      </c>
      <c r="R81" s="7">
        <f t="shared" si="39"/>
        <v>0</v>
      </c>
      <c r="S81" s="7">
        <v>-4646</v>
      </c>
      <c r="T81" s="7">
        <f>CEO!T81+CS!T81+CFO!T81+LLA!T81+'C&amp;E'!T81+CES!T81+LLT!T81+GB!T81</f>
        <v>-48974.99</v>
      </c>
      <c r="U81" s="7">
        <f t="shared" si="47"/>
        <v>72420.880080000003</v>
      </c>
      <c r="V81" s="7">
        <f t="shared" si="46"/>
        <v>-53620.989999999991</v>
      </c>
      <c r="W81" s="7"/>
      <c r="X81" s="7">
        <f>CEO!Q81+CS!Q81+CFO!Q81+LLA!Q81+'C&amp;E'!Q81+CES!Q81+LLT!Q81+GB!Q81</f>
        <v>126041.87007999999</v>
      </c>
      <c r="Y81" s="7">
        <f t="shared" si="40"/>
        <v>0</v>
      </c>
      <c r="Z81" s="7">
        <f t="shared" si="42"/>
        <v>126041.87007999999</v>
      </c>
      <c r="AA81" s="7">
        <f t="shared" si="41"/>
        <v>132091.87984384</v>
      </c>
      <c r="AB81" s="7">
        <f t="shared" si="41"/>
        <v>138300.19819650048</v>
      </c>
    </row>
    <row r="82" spans="1:28" x14ac:dyDescent="0.3">
      <c r="A82" s="7">
        <f>CEO!A82+CS!A82+CFO!A82+LLA!A82+'C&amp;E'!A82+CES!A82+LLT!A82+GB!A82</f>
        <v>126291.33600000001</v>
      </c>
      <c r="B82" s="7">
        <f>CEO!B82+CS!B82+CFO!B82+LLA!B82+'C&amp;E'!B82+CES!B82+LLT!B82+GB!B82</f>
        <v>126291.33600000001</v>
      </c>
      <c r="C82" s="7">
        <f>CEO!C82+CS!C82+CFO!C82+LLA!C82+'C&amp;E'!C82+CES!C82+LLT!C82+GB!C82</f>
        <v>126291.33600000001</v>
      </c>
      <c r="D82" s="7">
        <f>CEO!D82+CS!D82+CFO!D82+LLA!D82+'C&amp;E'!D82+CES!D82+LLT!D82+GB!D82</f>
        <v>126291.33600000001</v>
      </c>
      <c r="E82" s="7">
        <f>CEO!E82+CS!E82+CFO!E82+LLA!E82+'C&amp;E'!E82+CES!E82+LLT!E82+GB!E82</f>
        <v>126291.33600000001</v>
      </c>
      <c r="F82" s="7">
        <f>CEO!F82+CS!F82+CFO!F82+LLA!F82+'C&amp;E'!F82+CES!F82+LLT!F82+GB!F82</f>
        <v>126291.33600000001</v>
      </c>
      <c r="G82" s="7">
        <f>CEO!G82+CS!G82+CFO!G82+LLA!G82+'C&amp;E'!G82+CES!G82+LLT!G82+GB!G82</f>
        <v>126291.33600000001</v>
      </c>
      <c r="H82" s="7">
        <f>CEO!H82+CS!H82+CFO!H82+LLA!H82+'C&amp;E'!H82+CES!H82+LLT!H82+GB!H82</f>
        <v>126291.33600000001</v>
      </c>
      <c r="I82" s="7">
        <f>CEO!I82+CS!I82+CFO!I82+LLA!I82+'C&amp;E'!I82+CES!I82+LLT!I82+GB!I82</f>
        <v>126291.33600000001</v>
      </c>
      <c r="J82" s="7">
        <f>CEO!J82+CS!J82+CFO!J82+LLA!J82+'C&amp;E'!J82+CES!J82+LLT!J82+GB!J82</f>
        <v>126291.33600000001</v>
      </c>
      <c r="K82" s="7">
        <f>CEO!K82+CS!K82+CFO!K82+LLA!K82+'C&amp;E'!K82+CES!K82+LLT!K82+GB!K82</f>
        <v>126291.33600000001</v>
      </c>
      <c r="L82" s="7">
        <f>CEO!L82+CS!L82+CFO!L82+LLA!L82+'C&amp;E'!L82+CES!L82+LLT!L82+GB!L82</f>
        <v>126291.33600000001</v>
      </c>
      <c r="M82" s="127" t="s">
        <v>474</v>
      </c>
      <c r="N82" s="7">
        <f t="shared" si="43"/>
        <v>1262913.3600000003</v>
      </c>
      <c r="O82" s="7">
        <f t="shared" si="44"/>
        <v>252582.67200000002</v>
      </c>
      <c r="P82" s="7">
        <f t="shared" si="45"/>
        <v>1515496.0320000004</v>
      </c>
      <c r="Q82" s="7">
        <f>CEO!Q82+CS!Q82+CFO!Q82+LLA!Q82+'C&amp;E'!Q82+CES!Q82+LLT!Q82+GB!Q82</f>
        <v>1515496.0320000006</v>
      </c>
      <c r="R82" s="7">
        <f t="shared" si="39"/>
        <v>0</v>
      </c>
      <c r="S82" s="7">
        <v>141340.00000000003</v>
      </c>
      <c r="T82" s="7">
        <f>CEO!T82+CS!T82+CFO!T82+LLA!T82+'C&amp;E'!T82+CES!T82+LLT!T82+GB!T82</f>
        <v>281269</v>
      </c>
      <c r="U82" s="7">
        <f t="shared" si="47"/>
        <v>1938105.0320000006</v>
      </c>
      <c r="V82" s="7">
        <f t="shared" si="46"/>
        <v>422609.00000000023</v>
      </c>
      <c r="W82" s="7"/>
      <c r="X82" s="7">
        <f>CEO!Q82+CS!Q82+CFO!Q82+LLA!Q82+'C&amp;E'!Q82+CES!Q82+LLT!Q82+GB!Q82</f>
        <v>1515496.0320000006</v>
      </c>
      <c r="Y82" s="7">
        <f t="shared" si="40"/>
        <v>0</v>
      </c>
      <c r="Z82" s="7">
        <f t="shared" si="42"/>
        <v>1515496.0320000006</v>
      </c>
      <c r="AA82" s="7">
        <f t="shared" si="41"/>
        <v>1588239.8415360006</v>
      </c>
      <c r="AB82" s="7">
        <f t="shared" si="41"/>
        <v>1662887.1140881926</v>
      </c>
    </row>
    <row r="83" spans="1:28" x14ac:dyDescent="0.3">
      <c r="A83" s="7">
        <f>CEO!A83+CS!A83+CFO!A83+LLA!A83+'C&amp;E'!A83+CES!A83+LLT!A83+GB!A83</f>
        <v>0</v>
      </c>
      <c r="B83" s="7">
        <f>CEO!B83+CS!B83+CFO!B83+LLA!B83+'C&amp;E'!B83+CES!B83+LLT!B83+GB!B83</f>
        <v>0</v>
      </c>
      <c r="C83" s="7">
        <f>CEO!C83+CS!C83+CFO!C83+LLA!C83+'C&amp;E'!C83+CES!C83+LLT!C83+GB!C83</f>
        <v>0</v>
      </c>
      <c r="D83" s="7">
        <f>CEO!D83+CS!D83+CFO!D83+LLA!D83+'C&amp;E'!D83+CES!D83+LLT!D83+GB!D83</f>
        <v>0</v>
      </c>
      <c r="E83" s="7">
        <f>CEO!E83+CS!E83+CFO!E83+LLA!E83+'C&amp;E'!E83+CES!E83+LLT!E83+GB!E83</f>
        <v>0</v>
      </c>
      <c r="F83" s="7">
        <f>CEO!F83+CS!F83+CFO!F83+LLA!F83+'C&amp;E'!F83+CES!F83+LLT!F83+GB!F83</f>
        <v>0</v>
      </c>
      <c r="G83" s="7">
        <f>CEO!G83+CS!G83+CFO!G83+LLA!G83+'C&amp;E'!G83+CES!G83+LLT!G83+GB!G83</f>
        <v>0</v>
      </c>
      <c r="H83" s="7">
        <f>CEO!H83+CS!H83+CFO!H83+LLA!H83+'C&amp;E'!H83+CES!H83+LLT!H83+GB!H83</f>
        <v>0</v>
      </c>
      <c r="I83" s="7">
        <f>CEO!I83+CS!I83+CFO!I83+LLA!I83+'C&amp;E'!I83+CES!I83+LLT!I83+GB!I83</f>
        <v>0</v>
      </c>
      <c r="J83" s="7">
        <f>CEO!J83+CS!J83+CFO!J83+LLA!J83+'C&amp;E'!J83+CES!J83+LLT!J83+GB!J83</f>
        <v>0</v>
      </c>
      <c r="K83" s="7">
        <f>CEO!K83+CS!K83+CFO!K83+LLA!K83+'C&amp;E'!K83+CES!K83+LLT!K83+GB!K83</f>
        <v>0</v>
      </c>
      <c r="L83" s="7">
        <f>CEO!L83+CS!L83+CFO!L83+LLA!L83+'C&amp;E'!L83+CES!L83+LLT!L83+GB!L83</f>
        <v>0</v>
      </c>
      <c r="M83" s="127" t="s">
        <v>148</v>
      </c>
      <c r="N83" s="7">
        <f t="shared" si="43"/>
        <v>0</v>
      </c>
      <c r="O83" s="7">
        <f t="shared" si="44"/>
        <v>0</v>
      </c>
      <c r="P83" s="7">
        <f t="shared" si="45"/>
        <v>0</v>
      </c>
      <c r="Q83" s="7">
        <f>CEO!Q83+CS!Q83+CFO!Q83+LLA!Q83+'C&amp;E'!Q83+CES!Q83+LLT!Q83+GB!Q83</f>
        <v>0</v>
      </c>
      <c r="R83" s="7">
        <f t="shared" si="39"/>
        <v>0</v>
      </c>
      <c r="S83" s="7">
        <v>0</v>
      </c>
      <c r="T83" s="7">
        <f>CEO!T83+CS!T83+CFO!T83+LLA!T83+'C&amp;E'!T83+CES!T83+LLT!T83+GB!T83</f>
        <v>0</v>
      </c>
      <c r="U83" s="7">
        <f t="shared" si="47"/>
        <v>0</v>
      </c>
      <c r="V83" s="7">
        <f t="shared" si="46"/>
        <v>0</v>
      </c>
      <c r="W83" s="7"/>
      <c r="X83" s="7">
        <f>CEO!Q83+CS!Q83+CFO!Q83+LLA!Q83+'C&amp;E'!Q83+CES!Q83+LLT!Q83+GB!Q83</f>
        <v>0</v>
      </c>
      <c r="Y83" s="7">
        <f t="shared" si="40"/>
        <v>0</v>
      </c>
      <c r="Z83" s="7">
        <f t="shared" si="42"/>
        <v>0</v>
      </c>
      <c r="AA83" s="7">
        <f t="shared" si="41"/>
        <v>0</v>
      </c>
      <c r="AB83" s="7">
        <f t="shared" si="41"/>
        <v>0</v>
      </c>
    </row>
    <row r="84" spans="1:28" x14ac:dyDescent="0.3">
      <c r="A84" s="7">
        <f>CEO!A84+CS!A84+CFO!A84+LLA!A84+'C&amp;E'!A84+CES!A84+LLT!A84+GB!A84</f>
        <v>0</v>
      </c>
      <c r="B84" s="7">
        <f>CEO!B84+CS!B84+CFO!B84+LLA!B84+'C&amp;E'!B84+CES!B84+LLT!B84+GB!B84</f>
        <v>0</v>
      </c>
      <c r="C84" s="7">
        <f>CEO!C84+CS!C84+CFO!C84+LLA!C84+'C&amp;E'!C84+CES!C84+LLT!C84+GB!C84</f>
        <v>0</v>
      </c>
      <c r="D84" s="7">
        <f>CEO!D84+CS!D84+CFO!D84+LLA!D84+'C&amp;E'!D84+CES!D84+LLT!D84+GB!D84</f>
        <v>0</v>
      </c>
      <c r="E84" s="7">
        <f>CEO!E84+CS!E84+CFO!E84+LLA!E84+'C&amp;E'!E84+CES!E84+LLT!E84+GB!E84</f>
        <v>0</v>
      </c>
      <c r="F84" s="7">
        <f>CEO!F84+CS!F84+CFO!F84+LLA!F84+'C&amp;E'!F84+CES!F84+LLT!F84+GB!F84</f>
        <v>0</v>
      </c>
      <c r="G84" s="7">
        <f>CEO!G84+CS!G84+CFO!G84+LLA!G84+'C&amp;E'!G84+CES!G84+LLT!G84+GB!G84</f>
        <v>0</v>
      </c>
      <c r="H84" s="7">
        <f>CEO!H84+CS!H84+CFO!H84+LLA!H84+'C&amp;E'!H84+CES!H84+LLT!H84+GB!H84</f>
        <v>0</v>
      </c>
      <c r="I84" s="7">
        <f>CEO!I84+CS!I84+CFO!I84+LLA!I84+'C&amp;E'!I84+CES!I84+LLT!I84+GB!I84</f>
        <v>0</v>
      </c>
      <c r="J84" s="7">
        <f>CEO!J84+CS!J84+CFO!J84+LLA!J84+'C&amp;E'!J84+CES!J84+LLT!J84+GB!J84</f>
        <v>0</v>
      </c>
      <c r="K84" s="7">
        <f>CEO!K84+CS!K84+CFO!K84+LLA!K84+'C&amp;E'!K84+CES!K84+LLT!K84+GB!K84</f>
        <v>0</v>
      </c>
      <c r="L84" s="7">
        <f>CEO!L84+CS!L84+CFO!L84+LLA!L84+'C&amp;E'!L84+CES!L84+LLT!L84+GB!L84</f>
        <v>0</v>
      </c>
      <c r="M84" s="13" t="s">
        <v>475</v>
      </c>
      <c r="N84" s="7">
        <f t="shared" si="43"/>
        <v>0</v>
      </c>
      <c r="O84" s="7">
        <f t="shared" si="44"/>
        <v>0</v>
      </c>
      <c r="P84" s="7">
        <f t="shared" si="45"/>
        <v>0</v>
      </c>
      <c r="Q84" s="7">
        <f>CEO!Q84+CS!Q84+CFO!Q84+LLA!Q84+'C&amp;E'!Q84+CES!Q84+LLT!Q84+GB!Q84</f>
        <v>0</v>
      </c>
      <c r="R84" s="7">
        <f t="shared" si="39"/>
        <v>0</v>
      </c>
      <c r="S84" s="7">
        <v>0</v>
      </c>
      <c r="T84" s="7">
        <f>CEO!T84+CS!T84+CFO!T84+LLA!T84+'C&amp;E'!T84+CES!T84+LLT!T84+GB!T84</f>
        <v>0</v>
      </c>
      <c r="U84" s="7">
        <f t="shared" si="47"/>
        <v>0</v>
      </c>
      <c r="V84" s="7">
        <f t="shared" si="46"/>
        <v>0</v>
      </c>
      <c r="W84" s="7"/>
      <c r="X84" s="7">
        <f>CEO!Q84+CS!Q84+CFO!Q84+LLA!Q84+'C&amp;E'!Q84+CES!Q84+LLT!Q84+GB!Q84</f>
        <v>0</v>
      </c>
      <c r="Y84" s="7">
        <f t="shared" si="40"/>
        <v>0</v>
      </c>
      <c r="Z84" s="7">
        <f t="shared" si="42"/>
        <v>0</v>
      </c>
      <c r="AA84" s="7">
        <f t="shared" si="41"/>
        <v>0</v>
      </c>
      <c r="AB84" s="7">
        <f t="shared" si="41"/>
        <v>0</v>
      </c>
    </row>
    <row r="85" spans="1:28" x14ac:dyDescent="0.3">
      <c r="A85" s="7">
        <f>CEO!A85+CS!A85+CFO!A85+LLA!A85+'C&amp;E'!A85+CES!A85+LLT!A85+GB!A85</f>
        <v>0</v>
      </c>
      <c r="B85" s="7">
        <f>CEO!B85+CS!B85+CFO!B85+LLA!B85+'C&amp;E'!B85+CES!B85+LLT!B85+GB!B85</f>
        <v>0</v>
      </c>
      <c r="C85" s="7">
        <f>CEO!C85+CS!C85+CFO!C85+LLA!C85+'C&amp;E'!C85+CES!C85+LLT!C85+GB!C85</f>
        <v>0</v>
      </c>
      <c r="D85" s="7">
        <f>CEO!D85+CS!D85+CFO!D85+LLA!D85+'C&amp;E'!D85+CES!D85+LLT!D85+GB!D85</f>
        <v>0</v>
      </c>
      <c r="E85" s="7">
        <f>CEO!E85+CS!E85+CFO!E85+LLA!E85+'C&amp;E'!E85+CES!E85+LLT!E85+GB!E85</f>
        <v>0</v>
      </c>
      <c r="F85" s="7">
        <f>CEO!F85+CS!F85+CFO!F85+LLA!F85+'C&amp;E'!F85+CES!F85+LLT!F85+GB!F85</f>
        <v>0</v>
      </c>
      <c r="G85" s="7">
        <f>CEO!G85+CS!G85+CFO!G85+LLA!G85+'C&amp;E'!G85+CES!G85+LLT!G85+GB!G85</f>
        <v>0</v>
      </c>
      <c r="H85" s="7">
        <f>CEO!H85+CS!H85+CFO!H85+LLA!H85+'C&amp;E'!H85+CES!H85+LLT!H85+GB!H85</f>
        <v>0</v>
      </c>
      <c r="I85" s="7">
        <f>CEO!I85+CS!I85+CFO!I85+LLA!I85+'C&amp;E'!I85+CES!I85+LLT!I85+GB!I85</f>
        <v>0</v>
      </c>
      <c r="J85" s="7">
        <f>CEO!J85+CS!J85+CFO!J85+LLA!J85+'C&amp;E'!J85+CES!J85+LLT!J85+GB!J85</f>
        <v>0</v>
      </c>
      <c r="K85" s="7">
        <f>CEO!K85+CS!K85+CFO!K85+LLA!K85+'C&amp;E'!K85+CES!K85+LLT!K85+GB!K85</f>
        <v>0</v>
      </c>
      <c r="L85" s="7">
        <f>CEO!L85+CS!L85+CFO!L85+LLA!L85+'C&amp;E'!L85+CES!L85+LLT!L85+GB!L85</f>
        <v>0</v>
      </c>
      <c r="M85" s="13" t="s">
        <v>476</v>
      </c>
      <c r="N85" s="7">
        <f t="shared" si="43"/>
        <v>0</v>
      </c>
      <c r="O85" s="7">
        <f t="shared" si="44"/>
        <v>0</v>
      </c>
      <c r="P85" s="7">
        <f t="shared" si="45"/>
        <v>0</v>
      </c>
      <c r="Q85" s="7">
        <f>CEO!Q85+CS!Q85+CFO!Q85+LLA!Q85+'C&amp;E'!Q85+CES!Q85+LLT!Q85+GB!Q85</f>
        <v>0</v>
      </c>
      <c r="R85" s="7">
        <f t="shared" si="39"/>
        <v>0</v>
      </c>
      <c r="S85" s="7">
        <v>16103.362572296999</v>
      </c>
      <c r="T85" s="7">
        <f>CEO!T85+CS!T85+CFO!T85+LLA!T85+'C&amp;E'!T85+CES!T85+LLT!T85+GB!T85</f>
        <v>0</v>
      </c>
      <c r="U85" s="7">
        <f t="shared" si="47"/>
        <v>16103.362572296999</v>
      </c>
      <c r="V85" s="7">
        <f t="shared" si="46"/>
        <v>16103.362572296999</v>
      </c>
      <c r="W85" s="7"/>
      <c r="X85" s="7">
        <f>CEO!Q85+CS!Q85+CFO!Q85+LLA!Q85+'C&amp;E'!Q85+CES!Q85+LLT!Q85+GB!Q85</f>
        <v>0</v>
      </c>
      <c r="Y85" s="7">
        <f t="shared" si="40"/>
        <v>0</v>
      </c>
      <c r="Z85" s="7">
        <f t="shared" si="42"/>
        <v>0</v>
      </c>
      <c r="AA85" s="7">
        <f t="shared" si="41"/>
        <v>0</v>
      </c>
      <c r="AB85" s="7">
        <f t="shared" si="41"/>
        <v>0</v>
      </c>
    </row>
    <row r="86" spans="1:28" x14ac:dyDescent="0.3">
      <c r="A86" s="7">
        <f>CEO!A86+CS!A86+CFO!A86+LLA!A86+'C&amp;E'!A86+CES!A86+LLT!A86+GB!A86</f>
        <v>0</v>
      </c>
      <c r="B86" s="7">
        <f>CEO!B86+CS!B86+CFO!B86+LLA!B86+'C&amp;E'!B86+CES!B86+LLT!B86+GB!B86</f>
        <v>0</v>
      </c>
      <c r="C86" s="7">
        <f>CEO!C86+CS!C86+CFO!C86+LLA!C86+'C&amp;E'!C86+CES!C86+LLT!C86+GB!C86</f>
        <v>0</v>
      </c>
      <c r="D86" s="7">
        <f>CEO!D86+CS!D86+CFO!D86+LLA!D86+'C&amp;E'!D86+CES!D86+LLT!D86+GB!D86</f>
        <v>0</v>
      </c>
      <c r="E86" s="7">
        <f>CEO!E86+CS!E86+CFO!E86+LLA!E86+'C&amp;E'!E86+CES!E86+LLT!E86+GB!E86</f>
        <v>0</v>
      </c>
      <c r="F86" s="7">
        <f>CEO!F86+CS!F86+CFO!F86+LLA!F86+'C&amp;E'!F86+CES!F86+LLT!F86+GB!F86</f>
        <v>0</v>
      </c>
      <c r="G86" s="7">
        <f>CEO!G86+CS!G86+CFO!G86+LLA!G86+'C&amp;E'!G86+CES!G86+LLT!G86+GB!G86</f>
        <v>0</v>
      </c>
      <c r="H86" s="7">
        <f>CEO!H86+CS!H86+CFO!H86+LLA!H86+'C&amp;E'!H86+CES!H86+LLT!H86+GB!H86</f>
        <v>0</v>
      </c>
      <c r="I86" s="7">
        <f>CEO!I86+CS!I86+CFO!I86+LLA!I86+'C&amp;E'!I86+CES!I86+LLT!I86+GB!I86</f>
        <v>0</v>
      </c>
      <c r="J86" s="7">
        <f>CEO!J86+CS!J86+CFO!J86+LLA!J86+'C&amp;E'!J86+CES!J86+LLT!J86+GB!J86</f>
        <v>0</v>
      </c>
      <c r="K86" s="7">
        <f>CEO!K86+CS!K86+CFO!K86+LLA!K86+'C&amp;E'!K86+CES!K86+LLT!K86+GB!K86</f>
        <v>0</v>
      </c>
      <c r="L86" s="7">
        <f>CEO!L86+CS!L86+CFO!L86+LLA!L86+'C&amp;E'!L86+CES!L86+LLT!L86+GB!L86</f>
        <v>0</v>
      </c>
      <c r="M86" s="13" t="s">
        <v>151</v>
      </c>
      <c r="N86" s="7">
        <f t="shared" si="43"/>
        <v>0</v>
      </c>
      <c r="O86" s="7">
        <f t="shared" si="44"/>
        <v>0</v>
      </c>
      <c r="P86" s="7">
        <f t="shared" si="45"/>
        <v>0</v>
      </c>
      <c r="Q86" s="7">
        <f>CEO!Q86+CS!Q86+CFO!Q86+LLA!Q86+'C&amp;E'!Q86+CES!Q86+LLT!Q86+GB!Q86</f>
        <v>0</v>
      </c>
      <c r="R86" s="7">
        <f t="shared" si="39"/>
        <v>0</v>
      </c>
      <c r="S86" s="7">
        <v>0</v>
      </c>
      <c r="T86" s="7">
        <f>CEO!T86+CS!T86+CFO!T86+LLA!T86+'C&amp;E'!T86+CES!T86+LLT!T86+GB!T86</f>
        <v>0</v>
      </c>
      <c r="U86" s="7">
        <f t="shared" si="47"/>
        <v>0</v>
      </c>
      <c r="V86" s="7">
        <f t="shared" si="46"/>
        <v>0</v>
      </c>
      <c r="W86" s="7"/>
      <c r="X86" s="7">
        <f>CEO!Q86+CS!Q86+CFO!Q86+LLA!Q86+'C&amp;E'!Q86+CES!Q86+LLT!Q86+GB!Q86</f>
        <v>0</v>
      </c>
      <c r="Y86" s="7">
        <f t="shared" si="40"/>
        <v>0</v>
      </c>
      <c r="Z86" s="7">
        <f t="shared" si="42"/>
        <v>0</v>
      </c>
      <c r="AA86" s="7">
        <f t="shared" si="41"/>
        <v>0</v>
      </c>
      <c r="AB86" s="7">
        <f t="shared" si="41"/>
        <v>0</v>
      </c>
    </row>
    <row r="87" spans="1:28" x14ac:dyDescent="0.3">
      <c r="A87" s="7">
        <f>CEO!A87+CS!A87+CFO!A87+LLA!A87+'C&amp;E'!A87+CES!A87+LLT!A87+GB!A87</f>
        <v>4318.808</v>
      </c>
      <c r="B87" s="7">
        <f>CEO!B87+CS!B87+CFO!B87+LLA!B87+'C&amp;E'!B87+CES!B87+LLT!B87+GB!B87</f>
        <v>4318.808</v>
      </c>
      <c r="C87" s="7">
        <f>CEO!C87+CS!C87+CFO!C87+LLA!C87+'C&amp;E'!C87+CES!C87+LLT!C87+GB!C87</f>
        <v>4318.808</v>
      </c>
      <c r="D87" s="7">
        <f>CEO!D87+CS!D87+CFO!D87+LLA!D87+'C&amp;E'!D87+CES!D87+LLT!D87+GB!D87</f>
        <v>4318.808</v>
      </c>
      <c r="E87" s="7">
        <f>CEO!E87+CS!E87+CFO!E87+LLA!E87+'C&amp;E'!E87+CES!E87+LLT!E87+GB!E87</f>
        <v>4318.808</v>
      </c>
      <c r="F87" s="7">
        <f>CEO!F87+CS!F87+CFO!F87+LLA!F87+'C&amp;E'!F87+CES!F87+LLT!F87+GB!F87</f>
        <v>4318.808</v>
      </c>
      <c r="G87" s="7">
        <f>CEO!G87+CS!G87+CFO!G87+LLA!G87+'C&amp;E'!G87+CES!G87+LLT!G87+GB!G87</f>
        <v>4318.808</v>
      </c>
      <c r="H87" s="7">
        <f>CEO!H87+CS!H87+CFO!H87+LLA!H87+'C&amp;E'!H87+CES!H87+LLT!H87+GB!H87</f>
        <v>4318.808</v>
      </c>
      <c r="I87" s="7">
        <f>CEO!I87+CS!I87+CFO!I87+LLA!I87+'C&amp;E'!I87+CES!I87+LLT!I87+GB!I87</f>
        <v>4318.808</v>
      </c>
      <c r="J87" s="7">
        <f>CEO!J87+CS!J87+CFO!J87+LLA!J87+'C&amp;E'!J87+CES!J87+LLT!J87+GB!J87</f>
        <v>4318.808</v>
      </c>
      <c r="K87" s="7">
        <f>CEO!K87+CS!K87+CFO!K87+LLA!K87+'C&amp;E'!K87+CES!K87+LLT!K87+GB!K87</f>
        <v>4318.808</v>
      </c>
      <c r="L87" s="7">
        <f>CEO!L87+CS!L87+CFO!L87+LLA!L87+'C&amp;E'!L87+CES!L87+LLT!L87+GB!L87</f>
        <v>4318.808</v>
      </c>
      <c r="M87" s="13" t="s">
        <v>477</v>
      </c>
      <c r="N87" s="7">
        <f t="shared" si="43"/>
        <v>43188.079999999994</v>
      </c>
      <c r="O87" s="7">
        <f t="shared" si="44"/>
        <v>8637.616</v>
      </c>
      <c r="P87" s="7">
        <f t="shared" si="45"/>
        <v>51825.695999999996</v>
      </c>
      <c r="Q87" s="7">
        <f>CEO!Q87+CS!Q87+CFO!Q87+LLA!Q87+'C&amp;E'!Q87+CES!Q87+LLT!Q87+GB!Q87</f>
        <v>51825.695999999989</v>
      </c>
      <c r="R87" s="7">
        <f t="shared" si="39"/>
        <v>0</v>
      </c>
      <c r="S87" s="7">
        <v>100000</v>
      </c>
      <c r="T87" s="7">
        <f>CEO!T87+CS!T87+CFO!T87+LLA!T87+'C&amp;E'!T87+CES!T87+LLT!T87+GB!T87</f>
        <v>19393</v>
      </c>
      <c r="U87" s="7">
        <f t="shared" si="47"/>
        <v>171218.696</v>
      </c>
      <c r="V87" s="7">
        <f t="shared" si="46"/>
        <v>119393</v>
      </c>
      <c r="W87" s="7"/>
      <c r="X87" s="7">
        <f>CEO!Q87+CS!Q87+CFO!Q87+LLA!Q87+'C&amp;E'!Q87+CES!Q87+LLT!Q87+GB!Q87</f>
        <v>51825.695999999989</v>
      </c>
      <c r="Y87" s="7">
        <f t="shared" si="40"/>
        <v>0</v>
      </c>
      <c r="Z87" s="7">
        <f t="shared" si="42"/>
        <v>51825.695999999989</v>
      </c>
      <c r="AA87" s="7">
        <f t="shared" si="41"/>
        <v>54313.329407999991</v>
      </c>
      <c r="AB87" s="7">
        <f t="shared" si="41"/>
        <v>56866.055890175987</v>
      </c>
    </row>
    <row r="88" spans="1:28" x14ac:dyDescent="0.3">
      <c r="A88" s="7">
        <f>CEO!A88+CS!A88+CFO!A88+LLA!A88+'C&amp;E'!A88+CES!A88+LLT!A88+GB!A88</f>
        <v>0</v>
      </c>
      <c r="B88" s="7">
        <f>CEO!B88+CS!B88+CFO!B88+LLA!B88+'C&amp;E'!B88+CES!B88+LLT!B88+GB!B88</f>
        <v>0</v>
      </c>
      <c r="C88" s="7">
        <f>CEO!C88+CS!C88+CFO!C88+LLA!C88+'C&amp;E'!C88+CES!C88+LLT!C88+GB!C88</f>
        <v>0</v>
      </c>
      <c r="D88" s="7">
        <f>CEO!D88+CS!D88+CFO!D88+LLA!D88+'C&amp;E'!D88+CES!D88+LLT!D88+GB!D88</f>
        <v>0</v>
      </c>
      <c r="E88" s="7">
        <f>CEO!E88+CS!E88+CFO!E88+LLA!E88+'C&amp;E'!E88+CES!E88+LLT!E88+GB!E88</f>
        <v>0</v>
      </c>
      <c r="F88" s="7">
        <f>CEO!F88+CS!F88+CFO!F88+LLA!F88+'C&amp;E'!F88+CES!F88+LLT!F88+GB!F88</f>
        <v>0</v>
      </c>
      <c r="G88" s="7">
        <f>CEO!G88+CS!G88+CFO!G88+LLA!G88+'C&amp;E'!G88+CES!G88+LLT!G88+GB!G88</f>
        <v>0</v>
      </c>
      <c r="H88" s="7">
        <f>CEO!H88+CS!H88+CFO!H88+LLA!H88+'C&amp;E'!H88+CES!H88+LLT!H88+GB!H88</f>
        <v>0</v>
      </c>
      <c r="I88" s="7">
        <f>CEO!I88+CS!I88+CFO!I88+LLA!I88+'C&amp;E'!I88+CES!I88+LLT!I88+GB!I88</f>
        <v>0</v>
      </c>
      <c r="J88" s="7">
        <f>CEO!J88+CS!J88+CFO!J88+LLA!J88+'C&amp;E'!J88+CES!J88+LLT!J88+GB!J88</f>
        <v>0</v>
      </c>
      <c r="K88" s="7">
        <f>CEO!K88+CS!K88+CFO!K88+LLA!K88+'C&amp;E'!K88+CES!K88+LLT!K88+GB!K88</f>
        <v>0</v>
      </c>
      <c r="L88" s="7">
        <f>CEO!L88+CS!L88+CFO!L88+LLA!L88+'C&amp;E'!L88+CES!L88+LLT!L88+GB!L88</f>
        <v>0</v>
      </c>
      <c r="M88" s="13" t="s">
        <v>478</v>
      </c>
      <c r="N88" s="7">
        <f t="shared" si="43"/>
        <v>0</v>
      </c>
      <c r="O88" s="7">
        <f t="shared" si="44"/>
        <v>0</v>
      </c>
      <c r="P88" s="7">
        <f t="shared" si="45"/>
        <v>0</v>
      </c>
      <c r="Q88" s="7">
        <f>CEO!Q88+CS!Q88+CFO!Q88+LLA!Q88+'C&amp;E'!Q88+CES!Q88+LLT!Q88+GB!Q88</f>
        <v>0</v>
      </c>
      <c r="R88" s="7">
        <f t="shared" si="39"/>
        <v>0</v>
      </c>
      <c r="S88" s="7">
        <v>-16103.362572296999</v>
      </c>
      <c r="T88" s="7">
        <f>CEO!T88+CS!T88+CFO!T88+LLA!T88+'C&amp;E'!T88+CES!T88+LLT!T88+GB!T88</f>
        <v>0</v>
      </c>
      <c r="U88" s="7">
        <f t="shared" si="47"/>
        <v>-16103.362572296999</v>
      </c>
      <c r="V88" s="7">
        <f t="shared" si="46"/>
        <v>-16103.362572296999</v>
      </c>
      <c r="W88" s="7"/>
      <c r="X88" s="7">
        <f>CEO!Q88+CS!Q88+CFO!Q88+LLA!Q88+'C&amp;E'!Q88+CES!Q88+LLT!Q88+GB!Q88</f>
        <v>0</v>
      </c>
      <c r="Y88" s="7">
        <f t="shared" si="40"/>
        <v>0</v>
      </c>
      <c r="Z88" s="7">
        <f t="shared" si="42"/>
        <v>0</v>
      </c>
      <c r="AA88" s="7">
        <f t="shared" si="41"/>
        <v>0</v>
      </c>
      <c r="AB88" s="7">
        <f t="shared" si="41"/>
        <v>0</v>
      </c>
    </row>
    <row r="89" spans="1:28" x14ac:dyDescent="0.3">
      <c r="A89" s="11">
        <f>CEO!A89+CS!A89+CFO!A89+LLA!A89+'C&amp;E'!A89+CES!A89+LLT!A89+GB!A89</f>
        <v>0</v>
      </c>
      <c r="B89" s="11">
        <f>CEO!B89+CS!B89+CFO!B89+LLA!B89+'C&amp;E'!B89+CES!B89+LLT!B89+GB!B89</f>
        <v>0</v>
      </c>
      <c r="C89" s="11">
        <f>CEO!C89+CS!C89+CFO!C89+LLA!C89+'C&amp;E'!C89+CES!C89+LLT!C89+GB!C89</f>
        <v>0</v>
      </c>
      <c r="D89" s="11">
        <f>CEO!D89+CS!D89+CFO!D89+LLA!D89+'C&amp;E'!D89+CES!D89+LLT!D89+GB!D89</f>
        <v>0</v>
      </c>
      <c r="E89" s="11">
        <f>CEO!E89+CS!E89+CFO!E89+LLA!E89+'C&amp;E'!E89+CES!E89+LLT!E89+GB!E89</f>
        <v>0</v>
      </c>
      <c r="F89" s="11">
        <f>CEO!F89+CS!F89+CFO!F89+LLA!F89+'C&amp;E'!F89+CES!F89+LLT!F89+GB!F89</f>
        <v>0</v>
      </c>
      <c r="G89" s="11">
        <f>CEO!G89+CS!G89+CFO!G89+LLA!G89+'C&amp;E'!G89+CES!G89+LLT!G89+GB!G89</f>
        <v>0</v>
      </c>
      <c r="H89" s="11">
        <f>CEO!H89+CS!H89+CFO!H89+LLA!H89+'C&amp;E'!H89+CES!H89+LLT!H89+GB!H89</f>
        <v>0</v>
      </c>
      <c r="I89" s="11">
        <f>CEO!I89+CS!I89+CFO!I89+LLA!I89+'C&amp;E'!I89+CES!I89+LLT!I89+GB!I89</f>
        <v>0</v>
      </c>
      <c r="J89" s="11">
        <f>CEO!J89+CS!J89+CFO!J89+LLA!J89+'C&amp;E'!J89+CES!J89+LLT!J89+GB!J89</f>
        <v>0</v>
      </c>
      <c r="K89" s="11">
        <f>CEO!K89+CS!K89+CFO!K89+LLA!K89+'C&amp;E'!K89+CES!K89+LLT!K89+GB!K89</f>
        <v>0</v>
      </c>
      <c r="L89" s="11">
        <f>CEO!L89+CS!L89+CFO!L89+LLA!L89+'C&amp;E'!L89+CES!L89+LLT!L89+GB!L89</f>
        <v>0</v>
      </c>
      <c r="M89" s="127" t="s">
        <v>479</v>
      </c>
      <c r="N89" s="11">
        <f t="shared" si="43"/>
        <v>0</v>
      </c>
      <c r="O89" s="11">
        <f t="shared" si="44"/>
        <v>0</v>
      </c>
      <c r="P89" s="11">
        <f t="shared" si="45"/>
        <v>0</v>
      </c>
      <c r="Q89" s="11">
        <f>CEO!Q89+CS!Q89+CFO!Q89+LLA!Q89+'C&amp;E'!Q89+CES!Q89+LLT!Q89+GB!Q89</f>
        <v>0</v>
      </c>
      <c r="R89" s="11">
        <f t="shared" si="39"/>
        <v>0</v>
      </c>
      <c r="S89" s="11">
        <v>0</v>
      </c>
      <c r="T89" s="11">
        <f>CEO!T89+CS!T89+CFO!T89+LLA!T89+'C&amp;E'!T89+CES!T89+LLT!T89+GB!T89</f>
        <v>0</v>
      </c>
      <c r="U89" s="11">
        <f t="shared" si="47"/>
        <v>0</v>
      </c>
      <c r="V89" s="11">
        <f t="shared" si="46"/>
        <v>0</v>
      </c>
      <c r="W89" s="11"/>
      <c r="X89" s="11">
        <f>CEO!Q89+CS!Q89+CFO!Q89+LLA!Q89+'C&amp;E'!Q89+CES!Q89+LLT!Q89+GB!Q89</f>
        <v>0</v>
      </c>
      <c r="Y89" s="11">
        <f t="shared" si="40"/>
        <v>0</v>
      </c>
      <c r="Z89" s="11">
        <f t="shared" si="42"/>
        <v>0</v>
      </c>
      <c r="AA89" s="11">
        <f t="shared" si="41"/>
        <v>0</v>
      </c>
      <c r="AB89" s="11">
        <f t="shared" si="41"/>
        <v>0</v>
      </c>
    </row>
    <row r="90" spans="1:28" ht="4.2" customHeight="1" thickBot="1" x14ac:dyDescent="0.35">
      <c r="A90" s="93"/>
      <c r="B90" s="93"/>
      <c r="C90" s="93"/>
      <c r="D90" s="94"/>
      <c r="E90" s="91"/>
      <c r="F90" s="91"/>
      <c r="G90" s="91"/>
      <c r="H90" s="91"/>
      <c r="I90" s="91"/>
      <c r="J90" s="91"/>
      <c r="K90" s="91"/>
      <c r="L90" s="91"/>
      <c r="M90" s="13"/>
      <c r="N90" s="91">
        <f t="shared" ref="N90:N135" si="48">SUM(A90:J90)</f>
        <v>0</v>
      </c>
      <c r="O90" s="91">
        <f t="shared" si="44"/>
        <v>0</v>
      </c>
      <c r="P90" s="91">
        <f t="shared" si="45"/>
        <v>0</v>
      </c>
      <c r="Q90" s="91"/>
      <c r="R90" s="91">
        <f t="shared" ref="R90:R103" si="49">P90-Q90</f>
        <v>0</v>
      </c>
      <c r="S90" s="91">
        <v>0</v>
      </c>
      <c r="T90" s="93">
        <f>CEO!T90+CS!T90+CFO!T90+LLA!T90+'C&amp;E'!T90+CES!T90+LLT!T90+GB!T90</f>
        <v>0</v>
      </c>
      <c r="U90" s="93">
        <f t="shared" si="47"/>
        <v>0</v>
      </c>
      <c r="V90" s="93">
        <f t="shared" si="46"/>
        <v>0</v>
      </c>
      <c r="W90" s="93"/>
      <c r="X90" s="91">
        <f>CEO!Q90+CS!Q90+CFO!Q90+LLA!Q90+'C&amp;E'!Q90+CES!Q90+LLT!Q90+GB!Q90</f>
        <v>0</v>
      </c>
      <c r="Y90" s="91">
        <f t="shared" ref="Y90:Y130" si="50">Q90-X90</f>
        <v>0</v>
      </c>
      <c r="Z90" s="91"/>
      <c r="AA90" s="91"/>
      <c r="AB90" s="91"/>
    </row>
    <row r="91" spans="1:28" x14ac:dyDescent="0.3">
      <c r="A91" s="4">
        <f>SUM(A67:A89)</f>
        <v>582780.91044629994</v>
      </c>
      <c r="B91" s="4">
        <f>SUM(B67:B89)</f>
        <v>582780.91044629994</v>
      </c>
      <c r="C91" s="4">
        <f t="shared" ref="C91:L91" si="51">SUM(C67:C89)</f>
        <v>639786.8704462999</v>
      </c>
      <c r="D91" s="4">
        <f t="shared" si="51"/>
        <v>582780.91044629994</v>
      </c>
      <c r="E91" s="4">
        <f t="shared" si="51"/>
        <v>596136.6224463</v>
      </c>
      <c r="F91" s="4">
        <f t="shared" si="51"/>
        <v>944978.95044629998</v>
      </c>
      <c r="G91" s="4">
        <f t="shared" si="51"/>
        <v>644979.6685263</v>
      </c>
      <c r="H91" s="4">
        <f t="shared" si="51"/>
        <v>582780.91044629994</v>
      </c>
      <c r="I91" s="4">
        <f t="shared" si="51"/>
        <v>582780.91044629994</v>
      </c>
      <c r="J91" s="4">
        <f t="shared" si="51"/>
        <v>582780.91044629994</v>
      </c>
      <c r="K91" s="4">
        <f>SUM(K67:K89)</f>
        <v>614902.11044630001</v>
      </c>
      <c r="L91" s="4">
        <f t="shared" si="51"/>
        <v>601184.11044630001</v>
      </c>
      <c r="M91" s="13" t="s">
        <v>155</v>
      </c>
      <c r="N91" s="4">
        <f t="shared" ref="N91:P91" si="52">SUM(N67:N89)</f>
        <v>6322567.5745430002</v>
      </c>
      <c r="O91" s="4">
        <f t="shared" si="52"/>
        <v>1216086.2208926</v>
      </c>
      <c r="P91" s="4">
        <f t="shared" si="52"/>
        <v>7538653.7954356</v>
      </c>
      <c r="Q91" s="4">
        <f>SUM(Q67:Q89)</f>
        <v>7538653.7954355991</v>
      </c>
      <c r="R91" s="4">
        <f t="shared" ref="R91:S91" si="53">SUM(R67:R89)</f>
        <v>0</v>
      </c>
      <c r="S91" s="4">
        <f t="shared" si="53"/>
        <v>198663.00000000006</v>
      </c>
      <c r="T91" s="4">
        <f>CEO!T91+CS!T91+CFO!T91+LLA!T91+'C&amp;E'!T91+CES!T91+LLT!T91+GB!T91</f>
        <v>421210.01</v>
      </c>
      <c r="U91" s="4">
        <f t="shared" si="47"/>
        <v>8158526.8054355988</v>
      </c>
      <c r="V91" s="4">
        <f t="shared" si="46"/>
        <v>619873.00999999885</v>
      </c>
      <c r="W91" s="4"/>
      <c r="X91" s="4">
        <f>CEO!Q91+CS!Q91+CFO!Q91+LLA!Q91+'C&amp;E'!Q91+CES!Q91+LLT!Q91+GB!Q91</f>
        <v>7538653.7954356</v>
      </c>
      <c r="Y91" s="4">
        <f t="shared" si="50"/>
        <v>0</v>
      </c>
      <c r="Z91" s="4">
        <f>SUM(Z67:Z89)</f>
        <v>7506016.9060299993</v>
      </c>
      <c r="AA91" s="4">
        <f>SUM(AA67:AA89)</f>
        <v>7866305.7175194416</v>
      </c>
      <c r="AB91" s="4">
        <f>SUM(AB67:AB89)</f>
        <v>8236022.0862428546</v>
      </c>
    </row>
    <row r="92" spans="1:28" x14ac:dyDescent="0.3">
      <c r="A92" s="81"/>
      <c r="B92" s="81"/>
      <c r="C92" s="81"/>
      <c r="D92" s="82"/>
      <c r="E92" s="86"/>
      <c r="F92" s="86"/>
      <c r="G92" s="86"/>
      <c r="H92" s="86"/>
      <c r="I92" s="86"/>
      <c r="J92" s="86"/>
      <c r="K92" s="86"/>
      <c r="L92" s="86"/>
      <c r="M92" s="80"/>
      <c r="N92" s="86">
        <f t="shared" si="48"/>
        <v>0</v>
      </c>
      <c r="O92" s="86">
        <f t="shared" si="44"/>
        <v>0</v>
      </c>
      <c r="P92" s="86">
        <f t="shared" si="45"/>
        <v>0</v>
      </c>
      <c r="Q92" s="86"/>
      <c r="R92" s="86">
        <f t="shared" si="49"/>
        <v>0</v>
      </c>
      <c r="S92" s="86">
        <v>0</v>
      </c>
      <c r="T92" s="81">
        <f>CEO!T92+CS!T92+CFO!T92+LLA!T92+'C&amp;E'!T92+CES!T92+LLT!T92+GB!T92</f>
        <v>0</v>
      </c>
      <c r="U92" s="81">
        <f t="shared" si="47"/>
        <v>0</v>
      </c>
      <c r="V92" s="81">
        <f t="shared" si="46"/>
        <v>0</v>
      </c>
      <c r="W92" s="81"/>
      <c r="X92" s="86">
        <f>CEO!Q92+CS!Q92+CFO!Q92+LLA!Q92+'C&amp;E'!Q92+CES!Q92+LLT!Q92+GB!Q92</f>
        <v>0</v>
      </c>
      <c r="Y92" s="86">
        <f t="shared" si="50"/>
        <v>0</v>
      </c>
      <c r="Z92" s="86"/>
      <c r="AA92" s="86"/>
      <c r="AB92" s="86"/>
    </row>
    <row r="93" spans="1:28" x14ac:dyDescent="0.3">
      <c r="A93" s="7">
        <f>CEO!A93+CS!A93+CFO!A93+LLA!A93+'C&amp;E'!A93+CES!A93+LLT!A93+GB!A93</f>
        <v>5095.3760000000002</v>
      </c>
      <c r="B93" s="7">
        <f>CEO!B93+CS!B93+CFO!B93+LLA!B93+'C&amp;E'!B93+CES!B93+LLT!B93+GB!B93</f>
        <v>3806.3360000000002</v>
      </c>
      <c r="C93" s="7">
        <f>CEO!C93+CS!C93+CFO!C93+LLA!C93+'C&amp;E'!C93+CES!C93+LLT!C93+GB!C93</f>
        <v>5095.3760000000002</v>
      </c>
      <c r="D93" s="7">
        <f>CEO!D93+CS!D93+CFO!D93+LLA!D93+'C&amp;E'!D93+CES!D93+LLT!D93+GB!D93</f>
        <v>3806.3360000000002</v>
      </c>
      <c r="E93" s="7">
        <f>CEO!E93+CS!E93+CFO!E93+LLA!E93+'C&amp;E'!E93+CES!E93+LLT!E93+GB!E93</f>
        <v>3806.3360000000002</v>
      </c>
      <c r="F93" s="7">
        <f>CEO!F93+CS!F93+CFO!F93+LLA!F93+'C&amp;E'!F93+CES!F93+LLT!F93+GB!F93</f>
        <v>3806.3360000000002</v>
      </c>
      <c r="G93" s="7">
        <f>CEO!G93+CS!G93+CFO!G93+LLA!G93+'C&amp;E'!G93+CES!G93+LLT!G93+GB!G93</f>
        <v>3806.3360000000002</v>
      </c>
      <c r="H93" s="7">
        <f>CEO!H93+CS!H93+CFO!H93+LLA!H93+'C&amp;E'!H93+CES!H93+LLT!H93+GB!H93</f>
        <v>3806.3360000000002</v>
      </c>
      <c r="I93" s="7">
        <f>CEO!I93+CS!I93+CFO!I93+LLA!I93+'C&amp;E'!I93+CES!I93+LLT!I93+GB!I93</f>
        <v>3806.3360000000002</v>
      </c>
      <c r="J93" s="7">
        <f>CEO!J93+CS!J93+CFO!J93+LLA!J93+'C&amp;E'!J93+CES!J93+LLT!J93+GB!J93</f>
        <v>3806.3360000000002</v>
      </c>
      <c r="K93" s="7">
        <f>CEO!K93+CS!K93+CFO!K93+LLA!K93+'C&amp;E'!K93+CES!K93+LLT!K93+GB!K93</f>
        <v>3806.3360000000002</v>
      </c>
      <c r="L93" s="7">
        <f>CEO!L93+CS!L93+CFO!L93+LLA!L93+'C&amp;E'!L93+CES!L93+LLT!L93+GB!L93</f>
        <v>168307.08800000002</v>
      </c>
      <c r="M93" s="127" t="s">
        <v>480</v>
      </c>
      <c r="N93" s="8">
        <f t="shared" si="48"/>
        <v>40641.440000000002</v>
      </c>
      <c r="O93" s="8">
        <f t="shared" si="44"/>
        <v>172113.42400000003</v>
      </c>
      <c r="P93" s="8">
        <f t="shared" si="45"/>
        <v>212754.86400000003</v>
      </c>
      <c r="Q93" s="8">
        <f>CEO!Q93+CS!Q93+CFO!Q93+LLA!Q93+'C&amp;E'!Q93+CES!Q93+LLT!Q93+GB!Q93</f>
        <v>212754.864</v>
      </c>
      <c r="R93" s="8">
        <f t="shared" ref="R93:R100" si="54">Q93-P93</f>
        <v>0</v>
      </c>
      <c r="S93" s="8">
        <v>-3791</v>
      </c>
      <c r="T93" s="8">
        <f>CEO!T93+CS!T93+CFO!T93+LLA!T93+'C&amp;E'!T93+CES!T93+LLT!T93+GB!T93</f>
        <v>27372</v>
      </c>
      <c r="U93" s="8">
        <f t="shared" si="47"/>
        <v>236335.864</v>
      </c>
      <c r="V93" s="8">
        <f t="shared" si="46"/>
        <v>23580.999999999971</v>
      </c>
      <c r="W93" s="8"/>
      <c r="X93" s="8">
        <f>CEO!Q93+CS!Q93+CFO!Q93+LLA!Q93+'C&amp;E'!Q93+CES!Q93+LLT!Q93+GB!Q93</f>
        <v>212754.864</v>
      </c>
      <c r="Y93" s="8">
        <f t="shared" ref="Y93:Y100" si="55">X93-Q93</f>
        <v>0</v>
      </c>
      <c r="Z93" s="8">
        <f t="shared" ref="Z93:Z100" si="56">Q93</f>
        <v>212754.864</v>
      </c>
      <c r="AA93" s="8">
        <f t="shared" ref="AA93:AB100" si="57">Z93*(1+AA$3)</f>
        <v>222967.09747200002</v>
      </c>
      <c r="AB93" s="8">
        <f t="shared" si="57"/>
        <v>233446.551053184</v>
      </c>
    </row>
    <row r="94" spans="1:28" x14ac:dyDescent="0.3">
      <c r="A94" s="7">
        <f>CEO!A94+CS!A94+CFO!A94+LLA!A94+'C&amp;E'!A94+CES!A94+LLT!A94+GB!A94</f>
        <v>5097.3169212393295</v>
      </c>
      <c r="B94" s="7">
        <f>CEO!B94+CS!B94+CFO!B94+LLA!B94+'C&amp;E'!B94+CES!B94+LLT!B94+GB!B94</f>
        <v>4641.4369212393303</v>
      </c>
      <c r="C94" s="7">
        <f>CEO!C94+CS!C94+CFO!C94+LLA!C94+'C&amp;E'!C94+CES!C94+LLT!C94+GB!C94</f>
        <v>5097.3169212393295</v>
      </c>
      <c r="D94" s="7">
        <f>CEO!D94+CS!D94+CFO!D94+LLA!D94+'C&amp;E'!D94+CES!D94+LLT!D94+GB!D94</f>
        <v>4641.4369212393303</v>
      </c>
      <c r="E94" s="7">
        <f>CEO!E94+CS!E94+CFO!E94+LLA!E94+'C&amp;E'!E94+CES!E94+LLT!E94+GB!E94</f>
        <v>4641.4369212393303</v>
      </c>
      <c r="F94" s="7">
        <f>CEO!F94+CS!F94+CFO!F94+LLA!F94+'C&amp;E'!F94+CES!F94+LLT!F94+GB!F94</f>
        <v>4641.4369212393303</v>
      </c>
      <c r="G94" s="7">
        <f>CEO!G94+CS!G94+CFO!G94+LLA!G94+'C&amp;E'!G94+CES!G94+LLT!G94+GB!G94</f>
        <v>4641.4369212393303</v>
      </c>
      <c r="H94" s="7">
        <f>CEO!H94+CS!H94+CFO!H94+LLA!H94+'C&amp;E'!H94+CES!H94+LLT!H94+GB!H94</f>
        <v>4641.4369212393303</v>
      </c>
      <c r="I94" s="7">
        <f>CEO!I94+CS!I94+CFO!I94+LLA!I94+'C&amp;E'!I94+CES!I94+LLT!I94+GB!I94</f>
        <v>4641.4369212393303</v>
      </c>
      <c r="J94" s="7">
        <f>CEO!J94+CS!J94+CFO!J94+LLA!J94+'C&amp;E'!J94+CES!J94+LLT!J94+GB!J94</f>
        <v>4641.4369212393303</v>
      </c>
      <c r="K94" s="7">
        <f>CEO!K94+CS!K94+CFO!K94+LLA!K94+'C&amp;E'!K94+CES!K94+LLT!K94+GB!K94</f>
        <v>4641.4369212393303</v>
      </c>
      <c r="L94" s="7">
        <f>CEO!L94+CS!L94+CFO!L94+LLA!L94+'C&amp;E'!L94+CES!L94+LLT!L94+GB!L94</f>
        <v>4639.4369212393303</v>
      </c>
      <c r="M94" s="13" t="s">
        <v>481</v>
      </c>
      <c r="N94" s="7">
        <f t="shared" si="48"/>
        <v>47326.129212393294</v>
      </c>
      <c r="O94" s="7">
        <f t="shared" si="44"/>
        <v>9280.8738424786607</v>
      </c>
      <c r="P94" s="7">
        <f t="shared" si="45"/>
        <v>56607.003054871951</v>
      </c>
      <c r="Q94" s="7">
        <f>CEO!Q94+CS!Q94+CFO!Q94+LLA!Q94+'C&amp;E'!Q94+CES!Q94+LLT!Q94+GB!Q94</f>
        <v>56607.003054871966</v>
      </c>
      <c r="R94" s="7">
        <f t="shared" si="54"/>
        <v>0</v>
      </c>
      <c r="S94" s="7">
        <v>0</v>
      </c>
      <c r="T94" s="7">
        <f>CEO!T94+CS!T94+CFO!T94+LLA!T94+'C&amp;E'!T94+CES!T94+LLT!T94+GB!T94</f>
        <v>870</v>
      </c>
      <c r="U94" s="7">
        <f t="shared" si="47"/>
        <v>57477.003054871966</v>
      </c>
      <c r="V94" s="7">
        <f t="shared" si="46"/>
        <v>870.00000000001455</v>
      </c>
      <c r="W94" s="7"/>
      <c r="X94" s="7">
        <f>CEO!Q94+CS!Q94+CFO!Q94+LLA!Q94+'C&amp;E'!Q94+CES!Q94+LLT!Q94+GB!Q94</f>
        <v>56607.003054871966</v>
      </c>
      <c r="Y94" s="7">
        <f t="shared" si="55"/>
        <v>0</v>
      </c>
      <c r="Z94" s="7">
        <f t="shared" si="56"/>
        <v>56607.003054871966</v>
      </c>
      <c r="AA94" s="7">
        <f t="shared" si="57"/>
        <v>59324.139201505823</v>
      </c>
      <c r="AB94" s="7">
        <f t="shared" si="57"/>
        <v>62112.37374397659</v>
      </c>
    </row>
    <row r="95" spans="1:28" x14ac:dyDescent="0.3">
      <c r="A95" s="7">
        <f>CEO!A95+CS!A95+CFO!A95+LLA!A95+'C&amp;E'!A95+CES!A95+LLT!A95+GB!A95</f>
        <v>0</v>
      </c>
      <c r="B95" s="7">
        <f>CEO!B95+CS!B95+CFO!B95+LLA!B95+'C&amp;E'!B95+CES!B95+LLT!B95+GB!B95</f>
        <v>0</v>
      </c>
      <c r="C95" s="7">
        <f>CEO!C95+CS!C95+CFO!C95+LLA!C95+'C&amp;E'!C95+CES!C95+LLT!C95+GB!C95</f>
        <v>0</v>
      </c>
      <c r="D95" s="7">
        <f>CEO!D95+CS!D95+CFO!D95+LLA!D95+'C&amp;E'!D95+CES!D95+LLT!D95+GB!D95</f>
        <v>0</v>
      </c>
      <c r="E95" s="7">
        <f>CEO!E95+CS!E95+CFO!E95+LLA!E95+'C&amp;E'!E95+CES!E95+LLT!E95+GB!E95</f>
        <v>0</v>
      </c>
      <c r="F95" s="7">
        <f>CEO!F95+CS!F95+CFO!F95+LLA!F95+'C&amp;E'!F95+CES!F95+LLT!F95+GB!F95</f>
        <v>0</v>
      </c>
      <c r="G95" s="7">
        <f>CEO!G95+CS!G95+CFO!G95+LLA!G95+'C&amp;E'!G95+CES!G95+LLT!G95+GB!G95</f>
        <v>0</v>
      </c>
      <c r="H95" s="7">
        <f>CEO!H95+CS!H95+CFO!H95+LLA!H95+'C&amp;E'!H95+CES!H95+LLT!H95+GB!H95</f>
        <v>0</v>
      </c>
      <c r="I95" s="7">
        <f>CEO!I95+CS!I95+CFO!I95+LLA!I95+'C&amp;E'!I95+CES!I95+LLT!I95+GB!I95</f>
        <v>0</v>
      </c>
      <c r="J95" s="7">
        <f>CEO!J95+CS!J95+CFO!J95+LLA!J95+'C&amp;E'!J95+CES!J95+LLT!J95+GB!J95</f>
        <v>0</v>
      </c>
      <c r="K95" s="7">
        <f>CEO!K95+CS!K95+CFO!K95+LLA!K95+'C&amp;E'!K95+CES!K95+LLT!K95+GB!K95</f>
        <v>0</v>
      </c>
      <c r="L95" s="7">
        <f>CEO!L95+CS!L95+CFO!L95+LLA!L95+'C&amp;E'!L95+CES!L95+LLT!L95+GB!L95</f>
        <v>0</v>
      </c>
      <c r="M95" s="13" t="s">
        <v>482</v>
      </c>
      <c r="N95" s="7">
        <f t="shared" si="48"/>
        <v>0</v>
      </c>
      <c r="O95" s="7">
        <f t="shared" si="44"/>
        <v>0</v>
      </c>
      <c r="P95" s="7">
        <f t="shared" si="45"/>
        <v>0</v>
      </c>
      <c r="Q95" s="7">
        <f>CEO!Q95+CS!Q95+CFO!Q95+LLA!Q95+'C&amp;E'!Q95+CES!Q95+LLT!Q95+GB!Q95</f>
        <v>0</v>
      </c>
      <c r="R95" s="7">
        <f t="shared" si="54"/>
        <v>0</v>
      </c>
      <c r="S95" s="7">
        <v>0</v>
      </c>
      <c r="T95" s="7">
        <f>CEO!T95+CS!T95+CFO!T95+LLA!T95+'C&amp;E'!T95+CES!T95+LLT!T95+GB!T95</f>
        <v>0</v>
      </c>
      <c r="U95" s="7">
        <f t="shared" si="47"/>
        <v>0</v>
      </c>
      <c r="V95" s="7">
        <f t="shared" si="46"/>
        <v>0</v>
      </c>
      <c r="W95" s="7"/>
      <c r="X95" s="7">
        <f>CEO!Q95+CS!Q95+CFO!Q95+LLA!Q95+'C&amp;E'!Q95+CES!Q95+LLT!Q95+GB!Q95</f>
        <v>0</v>
      </c>
      <c r="Y95" s="7">
        <f t="shared" si="55"/>
        <v>0</v>
      </c>
      <c r="Z95" s="7">
        <f t="shared" si="56"/>
        <v>0</v>
      </c>
      <c r="AA95" s="7">
        <f t="shared" si="57"/>
        <v>0</v>
      </c>
      <c r="AB95" s="7">
        <f t="shared" si="57"/>
        <v>0</v>
      </c>
    </row>
    <row r="96" spans="1:28" x14ac:dyDescent="0.3">
      <c r="A96" s="7">
        <f>CEO!A96+CS!A96+CFO!A96+LLA!A96+'C&amp;E'!A96+CES!A96+LLT!A96+GB!A96</f>
        <v>1210.4399999999998</v>
      </c>
      <c r="B96" s="7">
        <f>CEO!B96+CS!B96+CFO!B96+LLA!B96+'C&amp;E'!B96+CES!B96+LLT!B96+GB!B96</f>
        <v>1210.4399999999998</v>
      </c>
      <c r="C96" s="7">
        <f>CEO!C96+CS!C96+CFO!C96+LLA!C96+'C&amp;E'!C96+CES!C96+LLT!C96+GB!C96</f>
        <v>1210.4399999999998</v>
      </c>
      <c r="D96" s="7">
        <f>CEO!D96+CS!D96+CFO!D96+LLA!D96+'C&amp;E'!D96+CES!D96+LLT!D96+GB!D96</f>
        <v>1210.4399999999998</v>
      </c>
      <c r="E96" s="7">
        <f>CEO!E96+CS!E96+CFO!E96+LLA!E96+'C&amp;E'!E96+CES!E96+LLT!E96+GB!E96</f>
        <v>1210.4399999999998</v>
      </c>
      <c r="F96" s="7">
        <f>CEO!F96+CS!F96+CFO!F96+LLA!F96+'C&amp;E'!F96+CES!F96+LLT!F96+GB!F96</f>
        <v>1210.4399999999998</v>
      </c>
      <c r="G96" s="7">
        <f>CEO!G96+CS!G96+CFO!G96+LLA!G96+'C&amp;E'!G96+CES!G96+LLT!G96+GB!G96</f>
        <v>1210.4399999999998</v>
      </c>
      <c r="H96" s="7">
        <f>CEO!H96+CS!H96+CFO!H96+LLA!H96+'C&amp;E'!H96+CES!H96+LLT!H96+GB!H96</f>
        <v>1210.4399999999998</v>
      </c>
      <c r="I96" s="7">
        <f>CEO!I96+CS!I96+CFO!I96+LLA!I96+'C&amp;E'!I96+CES!I96+LLT!I96+GB!I96</f>
        <v>1210.4399999999998</v>
      </c>
      <c r="J96" s="7">
        <f>CEO!J96+CS!J96+CFO!J96+LLA!J96+'C&amp;E'!J96+CES!J96+LLT!J96+GB!J96</f>
        <v>1210.4399999999998</v>
      </c>
      <c r="K96" s="7">
        <f>CEO!K96+CS!K96+CFO!K96+LLA!K96+'C&amp;E'!K96+CES!K96+LLT!K96+GB!K96</f>
        <v>1210.4399999999998</v>
      </c>
      <c r="L96" s="7">
        <f>CEO!L96+CS!L96+CFO!L96+LLA!L96+'C&amp;E'!L96+CES!L96+LLT!L96+GB!L96</f>
        <v>1195.7109688880021</v>
      </c>
      <c r="M96" s="13" t="s">
        <v>483</v>
      </c>
      <c r="N96" s="7">
        <f t="shared" si="48"/>
        <v>12104.4</v>
      </c>
      <c r="O96" s="7">
        <f t="shared" si="44"/>
        <v>2406.1509688880019</v>
      </c>
      <c r="P96" s="7">
        <f t="shared" si="45"/>
        <v>14510.550968888001</v>
      </c>
      <c r="Q96" s="7">
        <f>CEO!Q96+CS!Q96+CFO!Q96+LLA!Q96+'C&amp;E'!Q96+CES!Q96+LLT!Q96+GB!Q96</f>
        <v>14510.550968888001</v>
      </c>
      <c r="R96" s="7">
        <f t="shared" si="54"/>
        <v>0</v>
      </c>
      <c r="S96" s="7">
        <v>-762.99999999999818</v>
      </c>
      <c r="T96" s="7">
        <f>CEO!T96+CS!T96+CFO!T96+LLA!T96+'C&amp;E'!T96+CES!T96+LLT!T96+GB!T96</f>
        <v>5202</v>
      </c>
      <c r="U96" s="7">
        <f t="shared" si="47"/>
        <v>18949.550968888005</v>
      </c>
      <c r="V96" s="7">
        <f t="shared" si="46"/>
        <v>4439.0000000000036</v>
      </c>
      <c r="W96" s="7"/>
      <c r="X96" s="7">
        <f>CEO!Q96+CS!Q96+CFO!Q96+LLA!Q96+'C&amp;E'!Q96+CES!Q96+LLT!Q96+GB!Q96</f>
        <v>14510.550968888001</v>
      </c>
      <c r="Y96" s="7">
        <f t="shared" si="55"/>
        <v>0</v>
      </c>
      <c r="Z96" s="7">
        <f t="shared" si="56"/>
        <v>14510.550968888001</v>
      </c>
      <c r="AA96" s="7">
        <f t="shared" si="57"/>
        <v>15207.057415394625</v>
      </c>
      <c r="AB96" s="7">
        <f t="shared" si="57"/>
        <v>15921.789113918172</v>
      </c>
    </row>
    <row r="97" spans="1:28" x14ac:dyDescent="0.3">
      <c r="A97" s="7">
        <f>CEO!A97+CS!A97+CFO!A97+LLA!A97+'C&amp;E'!A97+CES!A97+LLT!A97+GB!A97</f>
        <v>15157.224</v>
      </c>
      <c r="B97" s="7">
        <f>CEO!B97+CS!B97+CFO!B97+LLA!B97+'C&amp;E'!B97+CES!B97+LLT!B97+GB!B97</f>
        <v>15157.224</v>
      </c>
      <c r="C97" s="7">
        <f>CEO!C97+CS!C97+CFO!C97+LLA!C97+'C&amp;E'!C97+CES!C97+LLT!C97+GB!C97</f>
        <v>15157.224</v>
      </c>
      <c r="D97" s="7">
        <f>CEO!D97+CS!D97+CFO!D97+LLA!D97+'C&amp;E'!D97+CES!D97+LLT!D97+GB!D97</f>
        <v>15157.224</v>
      </c>
      <c r="E97" s="7">
        <f>CEO!E97+CS!E97+CFO!E97+LLA!E97+'C&amp;E'!E97+CES!E97+LLT!E97+GB!E97</f>
        <v>15157.224</v>
      </c>
      <c r="F97" s="7">
        <f>CEO!F97+CS!F97+CFO!F97+LLA!F97+'C&amp;E'!F97+CES!F97+LLT!F97+GB!F97</f>
        <v>15157.224</v>
      </c>
      <c r="G97" s="7">
        <f>CEO!G97+CS!G97+CFO!G97+LLA!G97+'C&amp;E'!G97+CES!G97+LLT!G97+GB!G97</f>
        <v>15157.224</v>
      </c>
      <c r="H97" s="7">
        <f>CEO!H97+CS!H97+CFO!H97+LLA!H97+'C&amp;E'!H97+CES!H97+LLT!H97+GB!H97</f>
        <v>15157.224</v>
      </c>
      <c r="I97" s="7">
        <f>CEO!I97+CS!I97+CFO!I97+LLA!I97+'C&amp;E'!I97+CES!I97+LLT!I97+GB!I97</f>
        <v>15157.224</v>
      </c>
      <c r="J97" s="7">
        <f>CEO!J97+CS!J97+CFO!J97+LLA!J97+'C&amp;E'!J97+CES!J97+LLT!J97+GB!J97</f>
        <v>15157.224</v>
      </c>
      <c r="K97" s="7">
        <f>CEO!K97+CS!K97+CFO!K97+LLA!K97+'C&amp;E'!K97+CES!K97+LLT!K97+GB!K97</f>
        <v>15157.224</v>
      </c>
      <c r="L97" s="7">
        <f>CEO!L97+CS!L97+CFO!L97+LLA!L97+'C&amp;E'!L97+CES!L97+LLT!L97+GB!L97</f>
        <v>15149.38081138722</v>
      </c>
      <c r="M97" s="13" t="s">
        <v>484</v>
      </c>
      <c r="N97" s="7">
        <f t="shared" si="48"/>
        <v>151572.24</v>
      </c>
      <c r="O97" s="7">
        <f t="shared" si="44"/>
        <v>30306.60481138722</v>
      </c>
      <c r="P97" s="7">
        <f t="shared" si="45"/>
        <v>181878.84481138721</v>
      </c>
      <c r="Q97" s="7">
        <f>CEO!Q97+CS!Q97+CFO!Q97+LLA!Q97+'C&amp;E'!Q97+CES!Q97+LLT!Q97+GB!Q97</f>
        <v>181878.84481138721</v>
      </c>
      <c r="R97" s="7">
        <f t="shared" si="54"/>
        <v>0</v>
      </c>
      <c r="S97" s="7">
        <v>0</v>
      </c>
      <c r="T97" s="7">
        <f>CEO!T97+CS!T97+CFO!T97+LLA!T97+'C&amp;E'!T97+CES!T97+LLT!T97+GB!T97</f>
        <v>0</v>
      </c>
      <c r="U97" s="7">
        <f t="shared" si="47"/>
        <v>181878.84481138721</v>
      </c>
      <c r="V97" s="7">
        <f t="shared" si="46"/>
        <v>0</v>
      </c>
      <c r="W97" s="7"/>
      <c r="X97" s="7">
        <f>CEO!Q97+CS!Q97+CFO!Q97+LLA!Q97+'C&amp;E'!Q97+CES!Q97+LLT!Q97+GB!Q97</f>
        <v>181878.84481138721</v>
      </c>
      <c r="Y97" s="7">
        <f t="shared" si="55"/>
        <v>0</v>
      </c>
      <c r="Z97" s="7">
        <f t="shared" si="56"/>
        <v>181878.84481138721</v>
      </c>
      <c r="AA97" s="7">
        <f t="shared" si="57"/>
        <v>190609.02936233382</v>
      </c>
      <c r="AB97" s="7">
        <f t="shared" si="57"/>
        <v>199567.6537423635</v>
      </c>
    </row>
    <row r="98" spans="1:28" x14ac:dyDescent="0.3">
      <c r="A98" s="7">
        <f>CEO!A98+CS!A98+CFO!A98+LLA!A98+'C&amp;E'!A98+CES!A98+LLT!A98+GB!A98</f>
        <v>442.25600000000009</v>
      </c>
      <c r="B98" s="7">
        <f>CEO!B98+CS!B98+CFO!B98+LLA!B98+'C&amp;E'!B98+CES!B98+LLT!B98+GB!B98</f>
        <v>442.25600000000009</v>
      </c>
      <c r="C98" s="7">
        <f>CEO!C98+CS!C98+CFO!C98+LLA!C98+'C&amp;E'!C98+CES!C98+LLT!C98+GB!C98</f>
        <v>442.25600000000009</v>
      </c>
      <c r="D98" s="7">
        <f>CEO!D98+CS!D98+CFO!D98+LLA!D98+'C&amp;E'!D98+CES!D98+LLT!D98+GB!D98</f>
        <v>442.25600000000009</v>
      </c>
      <c r="E98" s="7">
        <f>CEO!E98+CS!E98+CFO!E98+LLA!E98+'C&amp;E'!E98+CES!E98+LLT!E98+GB!E98</f>
        <v>442.25600000000009</v>
      </c>
      <c r="F98" s="7">
        <f>CEO!F98+CS!F98+CFO!F98+LLA!F98+'C&amp;E'!F98+CES!F98+LLT!F98+GB!F98</f>
        <v>442.25600000000009</v>
      </c>
      <c r="G98" s="7">
        <f>CEO!G98+CS!G98+CFO!G98+LLA!G98+'C&amp;E'!G98+CES!G98+LLT!G98+GB!G98</f>
        <v>442.25600000000009</v>
      </c>
      <c r="H98" s="7">
        <f>CEO!H98+CS!H98+CFO!H98+LLA!H98+'C&amp;E'!H98+CES!H98+LLT!H98+GB!H98</f>
        <v>442.25600000000009</v>
      </c>
      <c r="I98" s="7">
        <f>CEO!I98+CS!I98+CFO!I98+LLA!I98+'C&amp;E'!I98+CES!I98+LLT!I98+GB!I98</f>
        <v>442.25600000000009</v>
      </c>
      <c r="J98" s="7">
        <f>CEO!J98+CS!J98+CFO!J98+LLA!J98+'C&amp;E'!J98+CES!J98+LLT!J98+GB!J98</f>
        <v>442.25600000000009</v>
      </c>
      <c r="K98" s="7">
        <f>CEO!K98+CS!K98+CFO!K98+LLA!K98+'C&amp;E'!K98+CES!K98+LLT!K98+GB!K98</f>
        <v>442.25600000000009</v>
      </c>
      <c r="L98" s="7">
        <f>CEO!L98+CS!L98+CFO!L98+LLA!L98+'C&amp;E'!L98+CES!L98+LLT!L98+GB!L98</f>
        <v>435.92780448400094</v>
      </c>
      <c r="M98" s="13" t="s">
        <v>485</v>
      </c>
      <c r="N98" s="7">
        <f t="shared" si="48"/>
        <v>4422.5600000000022</v>
      </c>
      <c r="O98" s="7">
        <f t="shared" si="44"/>
        <v>878.18380448400103</v>
      </c>
      <c r="P98" s="7">
        <f t="shared" si="45"/>
        <v>5300.7438044840037</v>
      </c>
      <c r="Q98" s="7">
        <f>CEO!Q98+CS!Q98+CFO!Q98+LLA!Q98+'C&amp;E'!Q98+CES!Q98+LLT!Q98+GB!Q98</f>
        <v>5300.7438044840001</v>
      </c>
      <c r="R98" s="7">
        <f t="shared" si="54"/>
        <v>0</v>
      </c>
      <c r="S98" s="7">
        <v>453</v>
      </c>
      <c r="T98" s="7">
        <f>CEO!T98+CS!T98+CFO!T98+LLA!T98+'C&amp;E'!T98+CES!T98+LLT!T98+GB!T98</f>
        <v>-6956</v>
      </c>
      <c r="U98" s="7">
        <f t="shared" si="47"/>
        <v>-1202.2561955159999</v>
      </c>
      <c r="V98" s="7">
        <f t="shared" si="46"/>
        <v>-6503.0000000000036</v>
      </c>
      <c r="W98" s="7"/>
      <c r="X98" s="7">
        <f>CEO!Q98+CS!Q98+CFO!Q98+LLA!Q98+'C&amp;E'!Q98+CES!Q98+LLT!Q98+GB!Q98</f>
        <v>5300.7438044840001</v>
      </c>
      <c r="Y98" s="7">
        <f t="shared" si="55"/>
        <v>0</v>
      </c>
      <c r="Z98" s="7">
        <f t="shared" si="56"/>
        <v>5300.7438044840001</v>
      </c>
      <c r="AA98" s="7">
        <f t="shared" si="57"/>
        <v>5555.1795070992321</v>
      </c>
      <c r="AB98" s="7">
        <f t="shared" si="57"/>
        <v>5816.2729439328959</v>
      </c>
    </row>
    <row r="99" spans="1:28" x14ac:dyDescent="0.3">
      <c r="A99" s="7">
        <f>CEO!A99+CS!A99+CFO!A99+LLA!A99+'C&amp;E'!A99+CES!A99+LLT!A99+GB!A99</f>
        <v>40422.408000000003</v>
      </c>
      <c r="B99" s="7">
        <f>CEO!B99+CS!B99+CFO!B99+LLA!B99+'C&amp;E'!B99+CES!B99+LLT!B99+GB!B99</f>
        <v>40422.408000000003</v>
      </c>
      <c r="C99" s="7">
        <f>CEO!C99+CS!C99+CFO!C99+LLA!C99+'C&amp;E'!C99+CES!C99+LLT!C99+GB!C99</f>
        <v>40422.408000000003</v>
      </c>
      <c r="D99" s="7">
        <f>CEO!D99+CS!D99+CFO!D99+LLA!D99+'C&amp;E'!D99+CES!D99+LLT!D99+GB!D99</f>
        <v>40422.408000000003</v>
      </c>
      <c r="E99" s="7">
        <f>CEO!E99+CS!E99+CFO!E99+LLA!E99+'C&amp;E'!E99+CES!E99+LLT!E99+GB!E99</f>
        <v>40422.408000000003</v>
      </c>
      <c r="F99" s="7">
        <f>CEO!F99+CS!F99+CFO!F99+LLA!F99+'C&amp;E'!F99+CES!F99+LLT!F99+GB!F99</f>
        <v>40422.408000000003</v>
      </c>
      <c r="G99" s="7">
        <f>CEO!G99+CS!G99+CFO!G99+LLA!G99+'C&amp;E'!G99+CES!G99+LLT!G99+GB!G99</f>
        <v>40422.408000000003</v>
      </c>
      <c r="H99" s="7">
        <f>CEO!H99+CS!H99+CFO!H99+LLA!H99+'C&amp;E'!H99+CES!H99+LLT!H99+GB!H99</f>
        <v>40422.408000000003</v>
      </c>
      <c r="I99" s="7">
        <f>CEO!I99+CS!I99+CFO!I99+LLA!I99+'C&amp;E'!I99+CES!I99+LLT!I99+GB!I99</f>
        <v>40422.408000000003</v>
      </c>
      <c r="J99" s="7">
        <f>CEO!J99+CS!J99+CFO!J99+LLA!J99+'C&amp;E'!J99+CES!J99+LLT!J99+GB!J99</f>
        <v>40422.408000000003</v>
      </c>
      <c r="K99" s="7">
        <f>CEO!K99+CS!K99+CFO!K99+LLA!K99+'C&amp;E'!K99+CES!K99+LLT!K99+GB!K99</f>
        <v>40422.408000000003</v>
      </c>
      <c r="L99" s="7">
        <f>CEO!L99+CS!L99+CFO!L99+LLA!L99+'C&amp;E'!L99+CES!L99+LLT!L99+GB!L99</f>
        <v>40423.718000000001</v>
      </c>
      <c r="M99" s="13" t="s">
        <v>486</v>
      </c>
      <c r="N99" s="7">
        <f t="shared" si="48"/>
        <v>404224.08</v>
      </c>
      <c r="O99" s="7">
        <f t="shared" si="44"/>
        <v>80846.126000000004</v>
      </c>
      <c r="P99" s="7">
        <f t="shared" si="45"/>
        <v>485070.20600000001</v>
      </c>
      <c r="Q99" s="7">
        <f>CEO!Q99+CS!Q99+CFO!Q99+LLA!Q99+'C&amp;E'!Q99+CES!Q99+LLT!Q99+GB!Q99</f>
        <v>485070.20600000001</v>
      </c>
      <c r="R99" s="7">
        <f t="shared" si="54"/>
        <v>0</v>
      </c>
      <c r="S99" s="7">
        <v>-38953</v>
      </c>
      <c r="T99" s="7">
        <f>CEO!T99+CS!T99+CFO!T99+LLA!T99+'C&amp;E'!T99+CES!T99+LLT!T99+GB!T99</f>
        <v>-11071</v>
      </c>
      <c r="U99" s="7">
        <f t="shared" si="47"/>
        <v>435046.20600000001</v>
      </c>
      <c r="V99" s="7">
        <f t="shared" si="46"/>
        <v>-50024</v>
      </c>
      <c r="W99" s="7"/>
      <c r="X99" s="7">
        <f>CEO!Q99+CS!Q99+CFO!Q99+LLA!Q99+'C&amp;E'!Q99+CES!Q99+LLT!Q99+GB!Q99</f>
        <v>485070.20600000001</v>
      </c>
      <c r="Y99" s="7">
        <f t="shared" si="55"/>
        <v>0</v>
      </c>
      <c r="Z99" s="7">
        <f t="shared" si="56"/>
        <v>485070.20600000001</v>
      </c>
      <c r="AA99" s="7">
        <f t="shared" si="57"/>
        <v>508353.57588800002</v>
      </c>
      <c r="AB99" s="7">
        <f t="shared" si="57"/>
        <v>532246.19395473599</v>
      </c>
    </row>
    <row r="100" spans="1:28" x14ac:dyDescent="0.3">
      <c r="A100" s="7">
        <f>CEO!A100+CS!A100+CFO!A100+LLA!A100+'C&amp;E'!A100+CES!A100+LLT!A100+GB!A100</f>
        <v>5303.9280000000008</v>
      </c>
      <c r="B100" s="7">
        <f>CEO!B100+CS!B100+CFO!B100+LLA!B100+'C&amp;E'!B100+CES!B100+LLT!B100+GB!B100</f>
        <v>2788.7280000000001</v>
      </c>
      <c r="C100" s="7">
        <f>CEO!C100+CS!C100+CFO!C100+LLA!C100+'C&amp;E'!C100+CES!C100+LLT!C100+GB!C100</f>
        <v>5303.9280000000008</v>
      </c>
      <c r="D100" s="7">
        <f>CEO!D100+CS!D100+CFO!D100+LLA!D100+'C&amp;E'!D100+CES!D100+LLT!D100+GB!D100</f>
        <v>2788.7280000000001</v>
      </c>
      <c r="E100" s="7">
        <f>CEO!E100+CS!E100+CFO!E100+LLA!E100+'C&amp;E'!E100+CES!E100+LLT!E100+GB!E100</f>
        <v>2788.7280000000001</v>
      </c>
      <c r="F100" s="7">
        <f>CEO!F100+CS!F100+CFO!F100+LLA!F100+'C&amp;E'!F100+CES!F100+LLT!F100+GB!F100</f>
        <v>2788.7280000000001</v>
      </c>
      <c r="G100" s="7">
        <f>CEO!G100+CS!G100+CFO!G100+LLA!G100+'C&amp;E'!G100+CES!G100+LLT!G100+GB!G100</f>
        <v>2788.7280000000001</v>
      </c>
      <c r="H100" s="7">
        <f>CEO!H100+CS!H100+CFO!H100+LLA!H100+'C&amp;E'!H100+CES!H100+LLT!H100+GB!H100</f>
        <v>2788.7280000000001</v>
      </c>
      <c r="I100" s="7">
        <f>CEO!I100+CS!I100+CFO!I100+LLA!I100+'C&amp;E'!I100+CES!I100+LLT!I100+GB!I100</f>
        <v>2788.7280000000001</v>
      </c>
      <c r="J100" s="7">
        <f>CEO!J100+CS!J100+CFO!J100+LLA!J100+'C&amp;E'!J100+CES!J100+LLT!J100+GB!J100</f>
        <v>2788.7280000000001</v>
      </c>
      <c r="K100" s="7">
        <f>CEO!K100+CS!K100+CFO!K100+LLA!K100+'C&amp;E'!K100+CES!K100+LLT!K100+GB!K100</f>
        <v>2788.7280000000001</v>
      </c>
      <c r="L100" s="7">
        <f>CEO!L100+CS!L100+CFO!L100+LLA!L100+'C&amp;E'!L100+CES!L100+LLT!L100+GB!L100</f>
        <v>2793.1703939239933</v>
      </c>
      <c r="M100" s="127" t="s">
        <v>487</v>
      </c>
      <c r="N100" s="11">
        <f t="shared" si="48"/>
        <v>32917.68</v>
      </c>
      <c r="O100" s="11">
        <f t="shared" si="44"/>
        <v>5581.8983939239934</v>
      </c>
      <c r="P100" s="11">
        <f t="shared" si="45"/>
        <v>38499.578393923992</v>
      </c>
      <c r="Q100" s="11">
        <f>CEO!Q100+CS!Q100+CFO!Q100+LLA!Q100+'C&amp;E'!Q100+CES!Q100+LLT!Q100+GB!Q100</f>
        <v>38499.578393923999</v>
      </c>
      <c r="R100" s="11">
        <f t="shared" si="54"/>
        <v>0</v>
      </c>
      <c r="S100" s="11">
        <v>-9525.9999999999927</v>
      </c>
      <c r="T100" s="11">
        <f>CEO!T100+CS!T100+CFO!T100+LLA!T100+'C&amp;E'!T100+CES!T100+LLT!T100+GB!T100</f>
        <v>0</v>
      </c>
      <c r="U100" s="11">
        <f t="shared" si="47"/>
        <v>28973.578393924006</v>
      </c>
      <c r="V100" s="11">
        <f t="shared" si="46"/>
        <v>-9525.9999999999854</v>
      </c>
      <c r="W100" s="11"/>
      <c r="X100" s="11">
        <f>CEO!Q100+CS!Q100+CFO!Q100+LLA!Q100+'C&amp;E'!Q100+CES!Q100+LLT!Q100+GB!Q100</f>
        <v>38499.578393923999</v>
      </c>
      <c r="Y100" s="11">
        <f t="shared" si="55"/>
        <v>0</v>
      </c>
      <c r="Z100" s="11">
        <f t="shared" si="56"/>
        <v>38499.578393923999</v>
      </c>
      <c r="AA100" s="11">
        <f t="shared" si="57"/>
        <v>40347.558156832354</v>
      </c>
      <c r="AB100" s="11">
        <f t="shared" si="57"/>
        <v>42243.89339020347</v>
      </c>
    </row>
    <row r="101" spans="1:28" ht="6" customHeight="1" thickBot="1" x14ac:dyDescent="0.35">
      <c r="A101" s="89"/>
      <c r="B101" s="89"/>
      <c r="C101" s="89"/>
      <c r="D101" s="90"/>
      <c r="E101" s="91"/>
      <c r="F101" s="91"/>
      <c r="G101" s="91"/>
      <c r="H101" s="91"/>
      <c r="I101" s="91"/>
      <c r="J101" s="91"/>
      <c r="K101" s="91"/>
      <c r="L101" s="91"/>
      <c r="M101" s="13"/>
      <c r="N101" s="91">
        <f t="shared" si="48"/>
        <v>0</v>
      </c>
      <c r="O101" s="91">
        <f t="shared" si="44"/>
        <v>0</v>
      </c>
      <c r="P101" s="91">
        <f t="shared" si="45"/>
        <v>0</v>
      </c>
      <c r="Q101" s="91"/>
      <c r="R101" s="91">
        <f t="shared" si="49"/>
        <v>0</v>
      </c>
      <c r="S101" s="91">
        <v>0</v>
      </c>
      <c r="T101" s="89">
        <f>CEO!T101+CS!T101+CFO!T101+LLA!T101+'C&amp;E'!T101+CES!T101+LLT!T101+GB!T101</f>
        <v>0</v>
      </c>
      <c r="U101" s="89">
        <f t="shared" si="47"/>
        <v>0</v>
      </c>
      <c r="V101" s="89">
        <f t="shared" si="46"/>
        <v>0</v>
      </c>
      <c r="W101" s="89"/>
      <c r="X101" s="91">
        <f>CEO!Q101+CS!Q101+CFO!Q101+LLA!Q101+'C&amp;E'!Q101+CES!Q101+LLT!Q101+GB!Q101</f>
        <v>0</v>
      </c>
      <c r="Y101" s="91">
        <f t="shared" si="50"/>
        <v>0</v>
      </c>
      <c r="Z101" s="91"/>
      <c r="AA101" s="91"/>
      <c r="AB101" s="91"/>
    </row>
    <row r="102" spans="1:28" x14ac:dyDescent="0.3">
      <c r="A102" s="4">
        <f>SUM(A93:A100)</f>
        <v>72728.948921239338</v>
      </c>
      <c r="B102" s="4">
        <f>SUM(B93:B100)</f>
        <v>68468.828921239343</v>
      </c>
      <c r="C102" s="4">
        <f t="shared" ref="C102:L102" si="58">SUM(C93:C100)</f>
        <v>72728.948921239338</v>
      </c>
      <c r="D102" s="4">
        <f t="shared" si="58"/>
        <v>68468.828921239343</v>
      </c>
      <c r="E102" s="4">
        <f t="shared" si="58"/>
        <v>68468.828921239343</v>
      </c>
      <c r="F102" s="4">
        <f t="shared" si="58"/>
        <v>68468.828921239343</v>
      </c>
      <c r="G102" s="4">
        <f t="shared" si="58"/>
        <v>68468.828921239343</v>
      </c>
      <c r="H102" s="4">
        <f t="shared" si="58"/>
        <v>68468.828921239343</v>
      </c>
      <c r="I102" s="4">
        <f t="shared" si="58"/>
        <v>68468.828921239343</v>
      </c>
      <c r="J102" s="4">
        <f t="shared" si="58"/>
        <v>68468.828921239343</v>
      </c>
      <c r="K102" s="4">
        <f t="shared" si="58"/>
        <v>68468.828921239343</v>
      </c>
      <c r="L102" s="4">
        <f t="shared" si="58"/>
        <v>232944.43289992257</v>
      </c>
      <c r="M102" s="13" t="s">
        <v>166</v>
      </c>
      <c r="N102" s="4">
        <f t="shared" ref="N102:P102" si="59">SUM(N93:N100)</f>
        <v>693208.52921239333</v>
      </c>
      <c r="O102" s="4">
        <f t="shared" si="59"/>
        <v>301413.2618211619</v>
      </c>
      <c r="P102" s="4">
        <f t="shared" si="59"/>
        <v>994621.79103355529</v>
      </c>
      <c r="Q102" s="4">
        <f>SUM(Q93:Q100)</f>
        <v>994621.79103355529</v>
      </c>
      <c r="R102" s="4">
        <f t="shared" ref="R102:S102" si="60">SUM(R93:R100)</f>
        <v>0</v>
      </c>
      <c r="S102" s="4">
        <f t="shared" si="60"/>
        <v>-52579.999999999993</v>
      </c>
      <c r="T102" s="4">
        <f>CEO!T102+CS!T102+CFO!T102+LLA!T102+'C&amp;E'!T102+CES!T102+LLT!T102+GB!T102</f>
        <v>15417</v>
      </c>
      <c r="U102" s="4">
        <f t="shared" si="47"/>
        <v>957458.79103355529</v>
      </c>
      <c r="V102" s="4">
        <f t="shared" si="46"/>
        <v>-37163</v>
      </c>
      <c r="W102" s="4"/>
      <c r="X102" s="4">
        <f>CEO!Q102+CS!Q102+CFO!Q102+LLA!Q102+'C&amp;E'!Q102+CES!Q102+LLT!Q102+GB!Q102</f>
        <v>994621.79103355517</v>
      </c>
      <c r="Y102" s="4">
        <f t="shared" si="50"/>
        <v>0</v>
      </c>
      <c r="Z102" s="4">
        <f>SUM(Z93:Z100)</f>
        <v>994621.79103355529</v>
      </c>
      <c r="AA102" s="4">
        <f>SUM(AA93:AA100)</f>
        <v>1042363.6370031659</v>
      </c>
      <c r="AB102" s="4">
        <f>SUM(AB93:AB100)</f>
        <v>1091354.7279423145</v>
      </c>
    </row>
    <row r="103" spans="1:28" ht="6" customHeight="1" x14ac:dyDescent="0.3">
      <c r="A103" s="81"/>
      <c r="B103" s="81"/>
      <c r="C103" s="81"/>
      <c r="D103" s="82"/>
      <c r="E103" s="86"/>
      <c r="F103" s="86"/>
      <c r="G103" s="86"/>
      <c r="H103" s="86"/>
      <c r="I103" s="86"/>
      <c r="J103" s="86"/>
      <c r="K103" s="86"/>
      <c r="L103" s="86"/>
      <c r="M103" s="80"/>
      <c r="N103" s="86">
        <f t="shared" si="48"/>
        <v>0</v>
      </c>
      <c r="O103" s="86">
        <f t="shared" si="44"/>
        <v>0</v>
      </c>
      <c r="P103" s="86">
        <f t="shared" si="45"/>
        <v>0</v>
      </c>
      <c r="Q103" s="86"/>
      <c r="R103" s="86">
        <f t="shared" si="49"/>
        <v>0</v>
      </c>
      <c r="S103" s="86">
        <v>0</v>
      </c>
      <c r="T103" s="81">
        <f>CEO!T103+CS!T103+CFO!T103+LLA!T103+'C&amp;E'!T103+CES!T103+LLT!T103+GB!T103</f>
        <v>0</v>
      </c>
      <c r="U103" s="81">
        <f t="shared" si="47"/>
        <v>0</v>
      </c>
      <c r="V103" s="81">
        <f t="shared" si="46"/>
        <v>0</v>
      </c>
      <c r="W103" s="81"/>
      <c r="X103" s="86">
        <f>CEO!Q103+CS!Q103+CFO!Q103+LLA!Q103+'C&amp;E'!Q103+CES!Q103+LLT!Q103+GB!Q103</f>
        <v>0</v>
      </c>
      <c r="Y103" s="86">
        <f t="shared" si="50"/>
        <v>0</v>
      </c>
      <c r="Z103" s="86"/>
      <c r="AA103" s="86"/>
      <c r="AB103" s="86"/>
    </row>
    <row r="104" spans="1:28" x14ac:dyDescent="0.3">
      <c r="A104" s="7">
        <f>CEO!A104+CS!A104+CFO!A104+LLA!A104+'C&amp;E'!A104+CES!A104+LLT!A104+GB!A104</f>
        <v>874.03200000000015</v>
      </c>
      <c r="B104" s="7">
        <f>CEO!B104+CS!B104+CFO!B104+LLA!B104+'C&amp;E'!B104+CES!B104+LLT!B104+GB!B104</f>
        <v>874.03200000000015</v>
      </c>
      <c r="C104" s="7">
        <f>CEO!C104+CS!C104+CFO!C104+LLA!C104+'C&amp;E'!C104+CES!C104+LLT!C104+GB!C104</f>
        <v>874.03200000000015</v>
      </c>
      <c r="D104" s="7">
        <f>CEO!D104+CS!D104+CFO!D104+LLA!D104+'C&amp;E'!D104+CES!D104+LLT!D104+GB!D104</f>
        <v>874.03200000000015</v>
      </c>
      <c r="E104" s="7">
        <f>CEO!E104+CS!E104+CFO!E104+LLA!E104+'C&amp;E'!E104+CES!E104+LLT!E104+GB!E104</f>
        <v>2970.0320000000002</v>
      </c>
      <c r="F104" s="7">
        <f>CEO!F104+CS!F104+CFO!F104+LLA!F104+'C&amp;E'!F104+CES!F104+LLT!F104+GB!F104</f>
        <v>874.03200000000015</v>
      </c>
      <c r="G104" s="7">
        <f>CEO!G104+CS!G104+CFO!G104+LLA!G104+'C&amp;E'!G104+CES!G104+LLT!G104+GB!G104</f>
        <v>874.03200000000015</v>
      </c>
      <c r="H104" s="7">
        <f>CEO!H104+CS!H104+CFO!H104+LLA!H104+'C&amp;E'!H104+CES!H104+LLT!H104+GB!H104</f>
        <v>874.03200000000015</v>
      </c>
      <c r="I104" s="7">
        <f>CEO!I104+CS!I104+CFO!I104+LLA!I104+'C&amp;E'!I104+CES!I104+LLT!I104+GB!I104</f>
        <v>874.03200000000015</v>
      </c>
      <c r="J104" s="7">
        <f>CEO!J104+CS!J104+CFO!J104+LLA!J104+'C&amp;E'!J104+CES!J104+LLT!J104+GB!J104</f>
        <v>874.03200000000015</v>
      </c>
      <c r="K104" s="7">
        <f>CEO!K104+CS!K104+CFO!K104+LLA!K104+'C&amp;E'!K104+CES!K104+LLT!K104+GB!K104</f>
        <v>874.03200000000015</v>
      </c>
      <c r="L104" s="7">
        <f>CEO!L104+CS!L104+CFO!L104+LLA!L104+'C&amp;E'!L104+CES!L104+LLT!L104+GB!L104</f>
        <v>2961.6479999999983</v>
      </c>
      <c r="M104" s="127" t="s">
        <v>488</v>
      </c>
      <c r="N104" s="8">
        <f t="shared" si="48"/>
        <v>10836.32</v>
      </c>
      <c r="O104" s="8">
        <f t="shared" si="44"/>
        <v>3835.6799999999985</v>
      </c>
      <c r="P104" s="8">
        <f t="shared" si="45"/>
        <v>14671.999999999998</v>
      </c>
      <c r="Q104" s="8">
        <f>CEO!Q104+CS!Q104+CFO!Q104+LLA!Q104+'C&amp;E'!Q104+CES!Q104+LLT!Q104+GB!Q104</f>
        <v>14672</v>
      </c>
      <c r="R104" s="8">
        <f t="shared" ref="R104:R106" si="61">Q104-P104</f>
        <v>0</v>
      </c>
      <c r="S104" s="8">
        <v>0</v>
      </c>
      <c r="T104" s="8">
        <f>CEO!T104+CS!T104+CFO!T104+LLA!T104+'C&amp;E'!T104+CES!T104+LLT!T104+GB!T104</f>
        <v>0</v>
      </c>
      <c r="U104" s="8">
        <f t="shared" si="47"/>
        <v>14672</v>
      </c>
      <c r="V104" s="8">
        <f t="shared" si="46"/>
        <v>0</v>
      </c>
      <c r="W104" s="8"/>
      <c r="X104" s="8">
        <f>CEO!Q104+CS!Q104+CFO!Q104+LLA!Q104+'C&amp;E'!Q104+CES!Q104+LLT!Q104+GB!Q104</f>
        <v>14672</v>
      </c>
      <c r="Y104" s="8">
        <f t="shared" ref="Y104:Y106" si="62">X104-Q104</f>
        <v>0</v>
      </c>
      <c r="Z104" s="8">
        <f t="shared" ref="Z104:Z106" si="63">Q104</f>
        <v>14672</v>
      </c>
      <c r="AA104" s="8">
        <f t="shared" ref="AA104:AB106" si="64">Z104*(1+AA$3)</f>
        <v>15376.256000000001</v>
      </c>
      <c r="AB104" s="8">
        <f t="shared" si="64"/>
        <v>16098.940032</v>
      </c>
    </row>
    <row r="105" spans="1:28" x14ac:dyDescent="0.3">
      <c r="A105" s="7">
        <f>CEO!A105+CS!A105+CFO!A105+LLA!A105+'C&amp;E'!A105+CES!A105+LLT!A105+GB!A105</f>
        <v>162.44</v>
      </c>
      <c r="B105" s="7">
        <f>CEO!B105+CS!B105+CFO!B105+LLA!B105+'C&amp;E'!B105+CES!B105+LLT!B105+GB!B105</f>
        <v>162.44</v>
      </c>
      <c r="C105" s="7">
        <f>CEO!C105+CS!C105+CFO!C105+LLA!C105+'C&amp;E'!C105+CES!C105+LLT!C105+GB!C105</f>
        <v>162.44</v>
      </c>
      <c r="D105" s="7">
        <f>CEO!D105+CS!D105+CFO!D105+LLA!D105+'C&amp;E'!D105+CES!D105+LLT!D105+GB!D105</f>
        <v>162.44</v>
      </c>
      <c r="E105" s="7">
        <f>CEO!E105+CS!E105+CFO!E105+LLA!E105+'C&amp;E'!E105+CES!E105+LLT!E105+GB!E105</f>
        <v>162.44</v>
      </c>
      <c r="F105" s="7">
        <f>CEO!F105+CS!F105+CFO!F105+LLA!F105+'C&amp;E'!F105+CES!F105+LLT!F105+GB!F105</f>
        <v>162.44</v>
      </c>
      <c r="G105" s="7">
        <f>CEO!G105+CS!G105+CFO!G105+LLA!G105+'C&amp;E'!G105+CES!G105+LLT!G105+GB!G105</f>
        <v>162.44</v>
      </c>
      <c r="H105" s="7">
        <f>CEO!H105+CS!H105+CFO!H105+LLA!H105+'C&amp;E'!H105+CES!H105+LLT!H105+GB!H105</f>
        <v>162.44</v>
      </c>
      <c r="I105" s="7">
        <f>CEO!I105+CS!I105+CFO!I105+LLA!I105+'C&amp;E'!I105+CES!I105+LLT!I105+GB!I105</f>
        <v>162.44</v>
      </c>
      <c r="J105" s="7">
        <f>CEO!J105+CS!J105+CFO!J105+LLA!J105+'C&amp;E'!J105+CES!J105+LLT!J105+GB!J105</f>
        <v>162.44</v>
      </c>
      <c r="K105" s="7">
        <f>CEO!K105+CS!K105+CFO!K105+LLA!K105+'C&amp;E'!K105+CES!K105+LLT!K105+GB!K105</f>
        <v>162.44</v>
      </c>
      <c r="L105" s="7">
        <f>CEO!L105+CS!L105+CFO!L105+LLA!L105+'C&amp;E'!L105+CES!L105+LLT!L105+GB!L105</f>
        <v>158.24799999999976</v>
      </c>
      <c r="M105" s="13" t="s">
        <v>489</v>
      </c>
      <c r="N105" s="7">
        <f t="shared" si="48"/>
        <v>1624.4000000000003</v>
      </c>
      <c r="O105" s="7">
        <f t="shared" si="44"/>
        <v>320.68799999999976</v>
      </c>
      <c r="P105" s="7">
        <f t="shared" si="45"/>
        <v>1945.0880000000002</v>
      </c>
      <c r="Q105" s="7">
        <f>CEO!Q105+CS!Q105+CFO!Q105+LLA!Q105+'C&amp;E'!Q105+CES!Q105+LLT!Q105+GB!Q105</f>
        <v>1945.0880000000002</v>
      </c>
      <c r="R105" s="7">
        <f t="shared" si="61"/>
        <v>0</v>
      </c>
      <c r="S105" s="7">
        <v>1856</v>
      </c>
      <c r="T105" s="7">
        <f>CEO!T105+CS!T105+CFO!T105+LLA!T105+'C&amp;E'!T105+CES!T105+LLT!T105+GB!T105</f>
        <v>0</v>
      </c>
      <c r="U105" s="7">
        <f t="shared" si="47"/>
        <v>3801.0880000000002</v>
      </c>
      <c r="V105" s="7">
        <f t="shared" si="46"/>
        <v>1856</v>
      </c>
      <c r="W105" s="7"/>
      <c r="X105" s="7">
        <f>CEO!Q105+CS!Q105+CFO!Q105+LLA!Q105+'C&amp;E'!Q105+CES!Q105+LLT!Q105+GB!Q105</f>
        <v>1945.0880000000002</v>
      </c>
      <c r="Y105" s="7">
        <f t="shared" si="62"/>
        <v>0</v>
      </c>
      <c r="Z105" s="7">
        <f t="shared" si="63"/>
        <v>1945.0880000000002</v>
      </c>
      <c r="AA105" s="7">
        <f t="shared" si="64"/>
        <v>2038.4522240000003</v>
      </c>
      <c r="AB105" s="7">
        <f t="shared" si="64"/>
        <v>2134.2594785280003</v>
      </c>
    </row>
    <row r="106" spans="1:28" x14ac:dyDescent="0.3">
      <c r="A106" s="7">
        <f>CEO!A106+CS!A106+CFO!A106+LLA!A106+'C&amp;E'!A106+CES!A106+LLT!A106+GB!A106</f>
        <v>325.928</v>
      </c>
      <c r="B106" s="7">
        <f>CEO!B106+CS!B106+CFO!B106+LLA!B106+'C&amp;E'!B106+CES!B106+LLT!B106+GB!B106</f>
        <v>325.928</v>
      </c>
      <c r="C106" s="7">
        <f>CEO!C106+CS!C106+CFO!C106+LLA!C106+'C&amp;E'!C106+CES!C106+LLT!C106+GB!C106</f>
        <v>325.928</v>
      </c>
      <c r="D106" s="7">
        <f>CEO!D106+CS!D106+CFO!D106+LLA!D106+'C&amp;E'!D106+CES!D106+LLT!D106+GB!D106</f>
        <v>325.928</v>
      </c>
      <c r="E106" s="7">
        <f>CEO!E106+CS!E106+CFO!E106+LLA!E106+'C&amp;E'!E106+CES!E106+LLT!E106+GB!E106</f>
        <v>325.928</v>
      </c>
      <c r="F106" s="7">
        <f>CEO!F106+CS!F106+CFO!F106+LLA!F106+'C&amp;E'!F106+CES!F106+LLT!F106+GB!F106</f>
        <v>325.928</v>
      </c>
      <c r="G106" s="7">
        <f>CEO!G106+CS!G106+CFO!G106+LLA!G106+'C&amp;E'!G106+CES!G106+LLT!G106+GB!G106</f>
        <v>325.928</v>
      </c>
      <c r="H106" s="7">
        <f>CEO!H106+CS!H106+CFO!H106+LLA!H106+'C&amp;E'!H106+CES!H106+LLT!H106+GB!H106</f>
        <v>325.928</v>
      </c>
      <c r="I106" s="7">
        <f>CEO!I106+CS!I106+CFO!I106+LLA!I106+'C&amp;E'!I106+CES!I106+LLT!I106+GB!I106</f>
        <v>325.928</v>
      </c>
      <c r="J106" s="7">
        <f>CEO!J106+CS!J106+CFO!J106+LLA!J106+'C&amp;E'!J106+CES!J106+LLT!J106+GB!J106</f>
        <v>325.928</v>
      </c>
      <c r="K106" s="7">
        <f>CEO!K106+CS!K106+CFO!K106+LLA!K106+'C&amp;E'!K106+CES!K106+LLT!K106+GB!K106</f>
        <v>325.928</v>
      </c>
      <c r="L106" s="7">
        <f>CEO!L106+CS!L106+CFO!L106+LLA!L106+'C&amp;E'!L106+CES!L106+LLT!L106+GB!L106</f>
        <v>324.88000000000113</v>
      </c>
      <c r="M106" s="13" t="s">
        <v>490</v>
      </c>
      <c r="N106" s="11">
        <f t="shared" si="48"/>
        <v>3259.2799999999993</v>
      </c>
      <c r="O106" s="11">
        <f t="shared" si="44"/>
        <v>650.80800000000113</v>
      </c>
      <c r="P106" s="11">
        <f t="shared" si="45"/>
        <v>3910.0880000000006</v>
      </c>
      <c r="Q106" s="11">
        <f>CEO!Q106+CS!Q106+CFO!Q106+LLA!Q106+'C&amp;E'!Q106+CES!Q106+LLT!Q106+GB!Q106</f>
        <v>3910.0880000000002</v>
      </c>
      <c r="R106" s="11">
        <f t="shared" si="61"/>
        <v>0</v>
      </c>
      <c r="S106" s="11">
        <v>3731</v>
      </c>
      <c r="T106" s="11">
        <f>CEO!T106+CS!T106+CFO!T106+LLA!T106+'C&amp;E'!T106+CES!T106+LLT!T106+GB!T106</f>
        <v>0</v>
      </c>
      <c r="U106" s="11">
        <f t="shared" si="47"/>
        <v>7641.0879999999997</v>
      </c>
      <c r="V106" s="11">
        <f t="shared" si="46"/>
        <v>3730.9999999999991</v>
      </c>
      <c r="W106" s="11"/>
      <c r="X106" s="11">
        <f>CEO!Q106+CS!Q106+CFO!Q106+LLA!Q106+'C&amp;E'!Q106+CES!Q106+LLT!Q106+GB!Q106</f>
        <v>3910.0880000000002</v>
      </c>
      <c r="Y106" s="11">
        <f t="shared" si="62"/>
        <v>0</v>
      </c>
      <c r="Z106" s="11">
        <f t="shared" si="63"/>
        <v>3910.0880000000002</v>
      </c>
      <c r="AA106" s="11">
        <f t="shared" si="64"/>
        <v>4097.7722240000003</v>
      </c>
      <c r="AB106" s="11">
        <f t="shared" si="64"/>
        <v>4290.3675185279999</v>
      </c>
    </row>
    <row r="107" spans="1:28" ht="3.6" customHeight="1" thickBot="1" x14ac:dyDescent="0.35">
      <c r="A107" s="89"/>
      <c r="B107" s="89"/>
      <c r="C107" s="89"/>
      <c r="D107" s="90"/>
      <c r="E107" s="91"/>
      <c r="F107" s="91"/>
      <c r="G107" s="91"/>
      <c r="H107" s="91"/>
      <c r="I107" s="91"/>
      <c r="J107" s="91"/>
      <c r="K107" s="91"/>
      <c r="L107" s="91"/>
      <c r="M107" s="13"/>
      <c r="N107" s="91">
        <f t="shared" si="48"/>
        <v>0</v>
      </c>
      <c r="O107" s="91">
        <f t="shared" si="44"/>
        <v>0</v>
      </c>
      <c r="P107" s="91">
        <f t="shared" si="45"/>
        <v>0</v>
      </c>
      <c r="Q107" s="91"/>
      <c r="R107" s="91">
        <f t="shared" ref="R107:R130" si="65">P107-Q107</f>
        <v>0</v>
      </c>
      <c r="S107" s="91">
        <v>0</v>
      </c>
      <c r="T107" s="89">
        <f>CEO!T107+CS!T107+CFO!T107+LLA!T107+'C&amp;E'!T107+CES!T107+LLT!T107+GB!T107</f>
        <v>0</v>
      </c>
      <c r="U107" s="89">
        <f t="shared" si="47"/>
        <v>0</v>
      </c>
      <c r="V107" s="89">
        <f t="shared" si="46"/>
        <v>0</v>
      </c>
      <c r="W107" s="89"/>
      <c r="X107" s="91">
        <f>CEO!Q107+CS!Q107+CFO!Q107+LLA!Q107+'C&amp;E'!Q107+CES!Q107+LLT!Q107+GB!Q107</f>
        <v>0</v>
      </c>
      <c r="Y107" s="91">
        <f t="shared" si="50"/>
        <v>0</v>
      </c>
      <c r="Z107" s="91"/>
      <c r="AA107" s="91"/>
      <c r="AB107" s="91"/>
    </row>
    <row r="108" spans="1:28" x14ac:dyDescent="0.3">
      <c r="A108" s="4">
        <f>SUM(A104:A106)</f>
        <v>1362.4</v>
      </c>
      <c r="B108" s="4">
        <f>SUM(B104:B106)</f>
        <v>1362.4</v>
      </c>
      <c r="C108" s="4">
        <f t="shared" ref="C108:L108" si="66">SUM(C104:C106)</f>
        <v>1362.4</v>
      </c>
      <c r="D108" s="4">
        <f t="shared" si="66"/>
        <v>1362.4</v>
      </c>
      <c r="E108" s="4">
        <f t="shared" si="66"/>
        <v>3458.4</v>
      </c>
      <c r="F108" s="4">
        <f t="shared" si="66"/>
        <v>1362.4</v>
      </c>
      <c r="G108" s="4">
        <f t="shared" si="66"/>
        <v>1362.4</v>
      </c>
      <c r="H108" s="4">
        <f t="shared" si="66"/>
        <v>1362.4</v>
      </c>
      <c r="I108" s="4">
        <f t="shared" si="66"/>
        <v>1362.4</v>
      </c>
      <c r="J108" s="4">
        <f t="shared" si="66"/>
        <v>1362.4</v>
      </c>
      <c r="K108" s="4">
        <f t="shared" si="66"/>
        <v>1362.4</v>
      </c>
      <c r="L108" s="4">
        <f t="shared" si="66"/>
        <v>3444.7759999999989</v>
      </c>
      <c r="M108" s="13" t="s">
        <v>170</v>
      </c>
      <c r="N108" s="4">
        <f t="shared" ref="N108:P108" si="67">SUM(N104:N106)</f>
        <v>15719.999999999998</v>
      </c>
      <c r="O108" s="4">
        <f t="shared" si="67"/>
        <v>4807.1759999999995</v>
      </c>
      <c r="P108" s="4">
        <f t="shared" si="67"/>
        <v>20527.175999999999</v>
      </c>
      <c r="Q108" s="4">
        <f>SUM(Q104:Q106)</f>
        <v>20527.175999999999</v>
      </c>
      <c r="R108" s="4">
        <f>SUM(R104:R106)</f>
        <v>0</v>
      </c>
      <c r="S108" s="4">
        <f>SUM(S104:S106)</f>
        <v>5587</v>
      </c>
      <c r="T108" s="4">
        <f t="shared" ref="T108" si="68">SUM(T104:T106)</f>
        <v>0</v>
      </c>
      <c r="U108" s="4">
        <f t="shared" si="47"/>
        <v>26114.175999999999</v>
      </c>
      <c r="V108" s="4">
        <f t="shared" si="46"/>
        <v>5587</v>
      </c>
      <c r="W108" s="4"/>
      <c r="X108" s="4">
        <f>CEO!Q108+CS!Q108+CFO!Q108+LLA!Q108+'C&amp;E'!Q108+CES!Q108+LLT!Q108+GB!Q108</f>
        <v>20527.175999999999</v>
      </c>
      <c r="Y108" s="4">
        <f t="shared" si="50"/>
        <v>0</v>
      </c>
      <c r="Z108" s="4">
        <f>SUM(Z104:Z106)</f>
        <v>20527.175999999999</v>
      </c>
      <c r="AA108" s="4">
        <f>SUM(AA104:AA106)</f>
        <v>21512.480448000002</v>
      </c>
      <c r="AB108" s="4">
        <f>SUM(AB104:AB106)</f>
        <v>22523.567029056001</v>
      </c>
    </row>
    <row r="109" spans="1:28" ht="6" customHeight="1" x14ac:dyDescent="0.3">
      <c r="A109" s="81"/>
      <c r="B109" s="81"/>
      <c r="C109" s="81"/>
      <c r="D109" s="82"/>
      <c r="E109" s="81"/>
      <c r="F109" s="81"/>
      <c r="G109" s="81"/>
      <c r="H109" s="81"/>
      <c r="I109" s="81"/>
      <c r="J109" s="81"/>
      <c r="K109" s="81"/>
      <c r="L109" s="81"/>
      <c r="M109" s="80"/>
      <c r="N109" s="81">
        <f t="shared" si="48"/>
        <v>0</v>
      </c>
      <c r="O109" s="81">
        <f t="shared" si="44"/>
        <v>0</v>
      </c>
      <c r="P109" s="81">
        <f t="shared" si="45"/>
        <v>0</v>
      </c>
      <c r="Q109" s="81"/>
      <c r="R109" s="81">
        <f t="shared" si="65"/>
        <v>0</v>
      </c>
      <c r="S109" s="81">
        <v>0</v>
      </c>
      <c r="T109" s="81">
        <f>CEO!T109+CS!T109+CFO!T109+LLA!T109+'C&amp;E'!T109+CES!T109+LLT!T109+GB!T109</f>
        <v>0</v>
      </c>
      <c r="U109" s="81">
        <f t="shared" si="47"/>
        <v>0</v>
      </c>
      <c r="V109" s="81">
        <f t="shared" si="46"/>
        <v>0</v>
      </c>
      <c r="W109" s="81"/>
      <c r="X109" s="81">
        <f>CEO!Q109+CS!Q109+CFO!Q109+LLA!Q109+'C&amp;E'!Q109+CES!Q109+LLT!Q109+GB!Q109</f>
        <v>0</v>
      </c>
      <c r="Y109" s="81">
        <f t="shared" si="50"/>
        <v>0</v>
      </c>
      <c r="Z109" s="81"/>
      <c r="AA109" s="81"/>
      <c r="AB109" s="81"/>
    </row>
    <row r="110" spans="1:28" x14ac:dyDescent="0.3">
      <c r="A110" s="4">
        <f>A28+A46+A65+A91+A102+A108</f>
        <v>1423581.0651890058</v>
      </c>
      <c r="B110" s="4">
        <f>B28+B46+B65+B91+B102+B108</f>
        <v>1720081.3928690059</v>
      </c>
      <c r="C110" s="4">
        <f t="shared" ref="C110:L110" si="69">C28+C46+C65+C91+C102+C108</f>
        <v>1952740.3167890057</v>
      </c>
      <c r="D110" s="4">
        <f t="shared" si="69"/>
        <v>2089175.475349006</v>
      </c>
      <c r="E110" s="4">
        <f t="shared" si="69"/>
        <v>1685449.3211090059</v>
      </c>
      <c r="F110" s="4">
        <f t="shared" si="69"/>
        <v>1781748.4971890058</v>
      </c>
      <c r="G110" s="4">
        <f t="shared" si="69"/>
        <v>1484550.5192690059</v>
      </c>
      <c r="H110" s="4">
        <f t="shared" si="69"/>
        <v>1428147.6171890059</v>
      </c>
      <c r="I110" s="4">
        <f t="shared" si="69"/>
        <v>1467864.4362335387</v>
      </c>
      <c r="J110" s="4">
        <f t="shared" si="69"/>
        <v>1421303.7611890058</v>
      </c>
      <c r="K110" s="4">
        <f t="shared" si="69"/>
        <v>1451446.8370509287</v>
      </c>
      <c r="L110" s="4">
        <f t="shared" si="69"/>
        <v>1617284.9293441731</v>
      </c>
      <c r="M110" s="127" t="s">
        <v>171</v>
      </c>
      <c r="N110" s="4">
        <f t="shared" ref="N110:P110" si="70">N28+N46+N65+N91+N102+N108</f>
        <v>16454642.402374592</v>
      </c>
      <c r="O110" s="4">
        <f t="shared" si="70"/>
        <v>3068731.7663951018</v>
      </c>
      <c r="P110" s="4">
        <f t="shared" si="70"/>
        <v>19523374.168769691</v>
      </c>
      <c r="Q110" s="4">
        <f>Q28+Q46+Q65+Q91+Q102+Q108</f>
        <v>19523374.423487693</v>
      </c>
      <c r="R110" s="4">
        <f t="shared" ref="R110:S110" si="71">R28+R46+R65+R91+R102+R108</f>
        <v>0.25471799998194911</v>
      </c>
      <c r="S110" s="4">
        <f t="shared" si="71"/>
        <v>4886209.8100000005</v>
      </c>
      <c r="T110" s="4">
        <f>CEO!T110+CS!T110+CFO!T110+LLA!T110+'C&amp;E'!T110+CES!T110+LLT!T110+GB!T110</f>
        <v>572974.11440532445</v>
      </c>
      <c r="U110" s="4">
        <f t="shared" si="47"/>
        <v>24982558.347893018</v>
      </c>
      <c r="V110" s="4">
        <f t="shared" si="46"/>
        <v>5459184.1791233271</v>
      </c>
      <c r="W110" s="4"/>
      <c r="X110" s="4">
        <f>CEO!Q110+CS!Q110+CFO!Q110+LLA!Q110+'C&amp;E'!Q110+CES!Q110+LLT!Q110+GB!Q110</f>
        <v>19523374.423487697</v>
      </c>
      <c r="Y110" s="4">
        <f t="shared" si="50"/>
        <v>0</v>
      </c>
      <c r="Z110" s="4">
        <f>Z28+Z46+Z65+Z91+Z102+Z108</f>
        <v>19490737.534082092</v>
      </c>
      <c r="AA110" s="4" t="e">
        <f>AA28+AA46+AA65+AA91+AA102+AA108</f>
        <v>#REF!</v>
      </c>
      <c r="AB110" s="4" t="e">
        <f>AB28+AB46+AB65+AB91+AB102+AB108</f>
        <v>#REF!</v>
      </c>
    </row>
    <row r="111" spans="1:28" ht="5.4" customHeight="1" x14ac:dyDescent="0.3">
      <c r="A111" s="81"/>
      <c r="B111" s="81"/>
      <c r="C111" s="81"/>
      <c r="D111" s="82"/>
      <c r="E111" s="81"/>
      <c r="F111" s="81"/>
      <c r="G111" s="81"/>
      <c r="H111" s="81"/>
      <c r="I111" s="81"/>
      <c r="J111" s="81"/>
      <c r="K111" s="81"/>
      <c r="L111" s="81"/>
      <c r="M111" s="122"/>
      <c r="N111" s="81">
        <f t="shared" si="48"/>
        <v>0</v>
      </c>
      <c r="O111" s="81">
        <f t="shared" si="44"/>
        <v>0</v>
      </c>
      <c r="P111" s="81">
        <f t="shared" si="45"/>
        <v>0</v>
      </c>
      <c r="Q111" s="81"/>
      <c r="R111" s="81">
        <f t="shared" si="65"/>
        <v>0</v>
      </c>
      <c r="S111" s="81">
        <v>0</v>
      </c>
      <c r="T111" s="81">
        <f>CEO!T111+CS!T111+CFO!T111+LLA!T111+'C&amp;E'!T111+CES!T111+LLT!T111+GB!T111</f>
        <v>0</v>
      </c>
      <c r="U111" s="81">
        <f t="shared" si="47"/>
        <v>0</v>
      </c>
      <c r="V111" s="81">
        <f t="shared" si="46"/>
        <v>0</v>
      </c>
      <c r="W111" s="81"/>
      <c r="X111" s="81">
        <f>CEO!Q111+CS!Q111+CFO!Q111+LLA!Q111+'C&amp;E'!Q111+CES!Q111+LLT!Q111+GB!Q111</f>
        <v>0</v>
      </c>
      <c r="Y111" s="81">
        <f t="shared" si="50"/>
        <v>0</v>
      </c>
      <c r="Z111" s="81"/>
      <c r="AA111" s="81"/>
      <c r="AB111" s="81"/>
    </row>
    <row r="112" spans="1:28" x14ac:dyDescent="0.3">
      <c r="A112" s="4">
        <f>A18+A110</f>
        <v>4064528.7562691658</v>
      </c>
      <c r="B112" s="4">
        <f>B18+B110</f>
        <v>4480563.3663893789</v>
      </c>
      <c r="C112" s="4">
        <f t="shared" ref="C112:L112" si="72">C18+C110</f>
        <v>4798216.0338336062</v>
      </c>
      <c r="D112" s="4">
        <f t="shared" si="72"/>
        <v>4996184.9367165798</v>
      </c>
      <c r="E112" s="4">
        <f t="shared" si="72"/>
        <v>4524394.7195936069</v>
      </c>
      <c r="F112" s="4">
        <f t="shared" si="72"/>
        <v>4607873.0095136063</v>
      </c>
      <c r="G112" s="4">
        <f t="shared" si="72"/>
        <v>4379561.1666365806</v>
      </c>
      <c r="H112" s="4" t="e">
        <f t="shared" si="72"/>
        <v>#REF!</v>
      </c>
      <c r="I112" s="4">
        <f t="shared" si="72"/>
        <v>4305084.8162381388</v>
      </c>
      <c r="J112" s="4">
        <f t="shared" si="72"/>
        <v>4332001.6271165796</v>
      </c>
      <c r="K112" s="4">
        <f t="shared" si="72"/>
        <v>4292601.9016155293</v>
      </c>
      <c r="L112" s="4">
        <f t="shared" si="72"/>
        <v>4426178.5066317469</v>
      </c>
      <c r="M112" s="13" t="s">
        <v>240</v>
      </c>
      <c r="N112" s="4" t="e">
        <f t="shared" ref="N112:O112" si="73">N18+N110</f>
        <v>#REF!</v>
      </c>
      <c r="O112" s="4">
        <f t="shared" si="73"/>
        <v>8718780.4082472753</v>
      </c>
      <c r="P112" s="4" t="e">
        <f>P18+P110</f>
        <v>#REF!</v>
      </c>
      <c r="Q112" s="4">
        <f>Q18+Q110</f>
        <v>55008413.334751531</v>
      </c>
      <c r="R112" s="4" t="e">
        <f>R18+R110</f>
        <v>#REF!</v>
      </c>
      <c r="S112" s="4">
        <f>S18+S110</f>
        <v>6761256.3702114113</v>
      </c>
      <c r="T112" s="224">
        <f>CEO!T112+CS!T112+CFO!T112+LLA!T112+'C&amp;E'!T112+CES!T112+LLT!T112+GB!T112</f>
        <v>-941108.39194171887</v>
      </c>
      <c r="U112" s="224">
        <f t="shared" si="47"/>
        <v>60828561.31302122</v>
      </c>
      <c r="V112" s="224" t="e">
        <f t="shared" si="46"/>
        <v>#REF!</v>
      </c>
      <c r="W112" s="4"/>
      <c r="X112" s="4">
        <f>CEO!Q112+CS!Q112+CFO!Q112+LLA!Q112+'C&amp;E'!Q112+CES!Q112+LLT!Q112+GB!Q112</f>
        <v>55008413.334751539</v>
      </c>
      <c r="Y112" s="4">
        <f t="shared" si="50"/>
        <v>0</v>
      </c>
      <c r="Z112" s="4">
        <f>Z18+Z110</f>
        <v>54975776.445345931</v>
      </c>
      <c r="AA112" s="4" t="e">
        <f>AA18+AA110</f>
        <v>#REF!</v>
      </c>
      <c r="AB112" s="4" t="e">
        <f>AB18+AB110</f>
        <v>#REF!</v>
      </c>
    </row>
    <row r="113" spans="1:28" ht="6.6" customHeight="1" x14ac:dyDescent="0.3">
      <c r="A113" s="81"/>
      <c r="B113" s="81"/>
      <c r="C113" s="81"/>
      <c r="D113" s="82"/>
      <c r="E113" s="81"/>
      <c r="F113" s="81"/>
      <c r="G113" s="81"/>
      <c r="H113" s="81"/>
      <c r="I113" s="81"/>
      <c r="J113" s="81"/>
      <c r="K113" s="81"/>
      <c r="L113" s="81"/>
      <c r="M113" s="122"/>
      <c r="N113" s="81">
        <f t="shared" si="48"/>
        <v>0</v>
      </c>
      <c r="O113" s="81">
        <f t="shared" si="44"/>
        <v>0</v>
      </c>
      <c r="P113" s="81">
        <f t="shared" si="45"/>
        <v>0</v>
      </c>
      <c r="Q113" s="81"/>
      <c r="R113" s="81">
        <f t="shared" si="65"/>
        <v>0</v>
      </c>
      <c r="S113" s="81">
        <v>0</v>
      </c>
      <c r="T113" s="81">
        <f>CEO!T113+CS!T113+CFO!T113+LLA!T113+'C&amp;E'!T113+CES!T113+LLT!T113+GB!T113</f>
        <v>0</v>
      </c>
      <c r="U113" s="81">
        <f t="shared" si="47"/>
        <v>0</v>
      </c>
      <c r="V113" s="81">
        <f t="shared" si="46"/>
        <v>0</v>
      </c>
      <c r="W113" s="81"/>
      <c r="X113" s="81">
        <f>CEO!Q113+CS!Q113+CFO!Q113+LLA!Q113+'C&amp;E'!Q113+CES!Q113+LLT!Q113+GB!Q113</f>
        <v>0</v>
      </c>
      <c r="Y113" s="81">
        <f t="shared" si="50"/>
        <v>0</v>
      </c>
      <c r="Z113" s="81"/>
      <c r="AA113" s="81"/>
      <c r="AB113" s="81"/>
    </row>
    <row r="114" spans="1:28" x14ac:dyDescent="0.3">
      <c r="A114" s="8">
        <f>CEO!A114+CS!A114+CFO!A114+LLA!A114+'C&amp;E'!A114+CES!A114+LLT!A114+GB!A114</f>
        <v>0</v>
      </c>
      <c r="B114" s="8">
        <f>CEO!B114+CS!B114+CFO!B114+LLA!B114+'C&amp;E'!B114+CES!B114+LLT!B114+GB!B114</f>
        <v>0</v>
      </c>
      <c r="C114" s="8">
        <f>CEO!C114+CS!C114+CFO!C114+LLA!C114+'C&amp;E'!C114+CES!C114+LLT!C114+GB!C114</f>
        <v>0</v>
      </c>
      <c r="D114" s="8">
        <f>CEO!D114+CS!D114+CFO!D114+LLA!D114+'C&amp;E'!D114+CES!D114+LLT!D114+GB!D114</f>
        <v>0</v>
      </c>
      <c r="E114" s="8">
        <f>CEO!E114+CS!E114+CFO!E114+LLA!E114+'C&amp;E'!E114+CES!E114+LLT!E114+GB!E114</f>
        <v>0</v>
      </c>
      <c r="F114" s="8">
        <f>CEO!F114+CS!F114+CFO!F114+LLA!F114+'C&amp;E'!F114+CES!F114+LLT!F114+GB!F114</f>
        <v>0</v>
      </c>
      <c r="G114" s="8">
        <f>CEO!G114+CS!G114+CFO!G114+LLA!G114+'C&amp;E'!G114+CES!G114+LLT!G114+GB!G114</f>
        <v>0</v>
      </c>
      <c r="H114" s="8">
        <f>CEO!H114+CS!H114+CFO!H114+LLA!H114+'C&amp;E'!H114+CES!H114+LLT!H114+GB!H114</f>
        <v>0</v>
      </c>
      <c r="I114" s="8">
        <f>CEO!I114+CS!I114+CFO!I114+LLA!I114+'C&amp;E'!I114+CES!I114+LLT!I114+GB!I114</f>
        <v>0</v>
      </c>
      <c r="J114" s="8">
        <f>CEO!J114+CS!J114+CFO!J114+LLA!J114+'C&amp;E'!J114+CES!J114+LLT!J114+GB!J114</f>
        <v>0</v>
      </c>
      <c r="K114" s="8">
        <f>CEO!K114+CS!K114+CFO!K114+LLA!K114+'C&amp;E'!K114+CES!K114+LLT!K114+GB!K114</f>
        <v>0</v>
      </c>
      <c r="L114" s="8">
        <f>CEO!L114+CS!L114+CFO!L114+LLA!L114+'C&amp;E'!L114+CES!L114+LLT!L114+GB!L114</f>
        <v>50450.720000000001</v>
      </c>
      <c r="M114" s="127" t="s">
        <v>491</v>
      </c>
      <c r="N114" s="8">
        <f t="shared" si="48"/>
        <v>0</v>
      </c>
      <c r="O114" s="8">
        <f t="shared" si="44"/>
        <v>50450.720000000001</v>
      </c>
      <c r="P114" s="8">
        <f t="shared" si="45"/>
        <v>50450.720000000001</v>
      </c>
      <c r="Q114" s="8">
        <f>CEO!Q114+CS!Q114+CFO!Q114+LLA!Q114+'C&amp;E'!Q114+CES!Q114+LLT!Q114+GB!Q114</f>
        <v>50450.720000000001</v>
      </c>
      <c r="R114" s="8">
        <f t="shared" ref="R114:R125" si="74">Q114-P114</f>
        <v>0</v>
      </c>
      <c r="S114" s="8">
        <v>344198</v>
      </c>
      <c r="T114" s="8">
        <f>CEO!T114+CS!T114+CFO!T114+LLA!T114+'C&amp;E'!T114+CES!T114+LLT!T114+GB!T114</f>
        <v>455888</v>
      </c>
      <c r="U114" s="8">
        <f t="shared" si="47"/>
        <v>850536.72</v>
      </c>
      <c r="V114" s="8">
        <f t="shared" si="46"/>
        <v>800086</v>
      </c>
      <c r="W114" s="8"/>
      <c r="X114" s="8">
        <f>CEO!Q114+CS!Q114+CFO!Q114+LLA!Q114+'C&amp;E'!Q114+CES!Q114+LLT!Q114+GB!Q114</f>
        <v>50450.720000000001</v>
      </c>
      <c r="Y114" s="8">
        <f>(X114-Q114)+306469</f>
        <v>306469</v>
      </c>
      <c r="Z114" s="8">
        <f t="shared" ref="Z114:Z125" si="75">Q114</f>
        <v>50450.720000000001</v>
      </c>
      <c r="AA114" s="8">
        <f>Z114*(1+AA$3)</f>
        <v>52872.35456</v>
      </c>
      <c r="AB114" s="8">
        <f>(AA114*(1+AB$3))</f>
        <v>55357.355224319996</v>
      </c>
    </row>
    <row r="115" spans="1:28" x14ac:dyDescent="0.3">
      <c r="A115" s="7">
        <f>CEO!A115+CS!A115+CFO!A115+LLA!A115+'C&amp;E'!A115+CES!A115+LLT!A115+GB!A115</f>
        <v>0</v>
      </c>
      <c r="B115" s="7">
        <f>CEO!B115+CS!B115+CFO!B115+LLA!B115+'C&amp;E'!B115+CES!B115+LLT!B115+GB!B115</f>
        <v>0</v>
      </c>
      <c r="C115" s="7">
        <f>CEO!C115+CS!C115+CFO!C115+LLA!C115+'C&amp;E'!C115+CES!C115+LLT!C115+GB!C115</f>
        <v>0</v>
      </c>
      <c r="D115" s="7">
        <f>CEO!D115+CS!D115+CFO!D115+LLA!D115+'C&amp;E'!D115+CES!D115+LLT!D115+GB!D115</f>
        <v>0</v>
      </c>
      <c r="E115" s="7">
        <f>CEO!E115+CS!E115+CFO!E115+LLA!E115+'C&amp;E'!E115+CES!E115+LLT!E115+GB!E115</f>
        <v>0</v>
      </c>
      <c r="F115" s="7">
        <f>CEO!F115+CS!F115+CFO!F115+LLA!F115+'C&amp;E'!F115+CES!F115+LLT!F115+GB!F115</f>
        <v>0</v>
      </c>
      <c r="G115" s="7">
        <f>CEO!G115+CS!G115+CFO!G115+LLA!G115+'C&amp;E'!G115+CES!G115+LLT!G115+GB!G115</f>
        <v>0</v>
      </c>
      <c r="H115" s="7">
        <f>CEO!H115+CS!H115+CFO!H115+LLA!H115+'C&amp;E'!H115+CES!H115+LLT!H115+GB!H115</f>
        <v>0</v>
      </c>
      <c r="I115" s="7">
        <f>CEO!I115+CS!I115+CFO!I115+LLA!I115+'C&amp;E'!I115+CES!I115+LLT!I115+GB!I115</f>
        <v>0</v>
      </c>
      <c r="J115" s="7">
        <f>CEO!J115+CS!J115+CFO!J115+LLA!J115+'C&amp;E'!J115+CES!J115+LLT!J115+GB!J115</f>
        <v>0</v>
      </c>
      <c r="K115" s="7">
        <f>CEO!K115+CS!K115+CFO!K115+LLA!K115+'C&amp;E'!K115+CES!K115+LLT!K115+GB!K115</f>
        <v>58233</v>
      </c>
      <c r="L115" s="7">
        <f>CEO!L115+CS!L115+CFO!L115+LLA!L115+'C&amp;E'!L115+CES!L115+LLT!L115+GB!L115</f>
        <v>0</v>
      </c>
      <c r="M115" s="13" t="s">
        <v>492</v>
      </c>
      <c r="N115" s="7">
        <f t="shared" si="48"/>
        <v>0</v>
      </c>
      <c r="O115" s="7">
        <f t="shared" si="44"/>
        <v>58233</v>
      </c>
      <c r="P115" s="7">
        <f t="shared" si="45"/>
        <v>58233</v>
      </c>
      <c r="Q115" s="7">
        <f>CEO!Q115+CS!Q115+CFO!Q115+LLA!Q115+'C&amp;E'!Q115+CES!Q115+LLT!Q115+GB!Q115</f>
        <v>58233</v>
      </c>
      <c r="R115" s="7">
        <f t="shared" si="74"/>
        <v>0</v>
      </c>
      <c r="S115" s="7">
        <v>0</v>
      </c>
      <c r="T115" s="7">
        <f>CEO!T115+CS!T115+CFO!T115+LLA!T115+'C&amp;E'!T115+CES!T115+LLT!T115+GB!T115</f>
        <v>10280</v>
      </c>
      <c r="U115" s="7">
        <f t="shared" si="47"/>
        <v>68513</v>
      </c>
      <c r="V115" s="7">
        <f t="shared" si="46"/>
        <v>10280</v>
      </c>
      <c r="W115" s="7"/>
      <c r="X115" s="7">
        <f>CEO!Q115+CS!Q115+CFO!Q115+LLA!Q115+'C&amp;E'!Q115+CES!Q115+LLT!Q115+GB!Q115</f>
        <v>58233</v>
      </c>
      <c r="Y115" s="7">
        <f t="shared" ref="Y115:Y125" si="76">X115-Q115</f>
        <v>0</v>
      </c>
      <c r="Z115" s="7">
        <f t="shared" si="75"/>
        <v>58233</v>
      </c>
      <c r="AA115" s="7">
        <f>58233</f>
        <v>58233</v>
      </c>
      <c r="AB115" s="7">
        <f>200000-59471</f>
        <v>140529</v>
      </c>
    </row>
    <row r="116" spans="1:28" x14ac:dyDescent="0.3">
      <c r="A116" s="7">
        <f>CEO!A116+CS!A116+CFO!A116+LLA!A116+'C&amp;E'!A116+CES!A116+LLT!A116+GB!A116</f>
        <v>0</v>
      </c>
      <c r="B116" s="7">
        <f>CEO!B116+CS!B116+CFO!B116+LLA!B116+'C&amp;E'!B116+CES!B116+LLT!B116+GB!B116</f>
        <v>0</v>
      </c>
      <c r="C116" s="7">
        <f>CEO!C116+CS!C116+CFO!C116+LLA!C116+'C&amp;E'!C116+CES!C116+LLT!C116+GB!C116</f>
        <v>0</v>
      </c>
      <c r="D116" s="7">
        <f>CEO!D116+CS!D116+CFO!D116+LLA!D116+'C&amp;E'!D116+CES!D116+LLT!D116+GB!D116</f>
        <v>0</v>
      </c>
      <c r="E116" s="7">
        <f>CEO!E116+CS!E116+CFO!E116+LLA!E116+'C&amp;E'!E116+CES!E116+LLT!E116+GB!E116</f>
        <v>0</v>
      </c>
      <c r="F116" s="7">
        <f>CEO!F116+CS!F116+CFO!F116+LLA!F116+'C&amp;E'!F116+CES!F116+LLT!F116+GB!F116</f>
        <v>0</v>
      </c>
      <c r="G116" s="7">
        <f>CEO!G116+CS!G116+CFO!G116+LLA!G116+'C&amp;E'!G116+CES!G116+LLT!G116+GB!G116</f>
        <v>0</v>
      </c>
      <c r="H116" s="7">
        <f>CEO!H116+CS!H116+CFO!H116+LLA!H116+'C&amp;E'!H116+CES!H116+LLT!H116+GB!H116</f>
        <v>0</v>
      </c>
      <c r="I116" s="7">
        <f>CEO!I116+CS!I116+CFO!I116+LLA!I116+'C&amp;E'!I116+CES!I116+LLT!I116+GB!I116</f>
        <v>0</v>
      </c>
      <c r="J116" s="7">
        <f>CEO!J116+CS!J116+CFO!J116+LLA!J116+'C&amp;E'!J116+CES!J116+LLT!J116+GB!J116</f>
        <v>0</v>
      </c>
      <c r="K116" s="7">
        <f>CEO!K116+CS!K116+CFO!K116+LLA!K116+'C&amp;E'!K116+CES!K116+LLT!K116+GB!K116</f>
        <v>0</v>
      </c>
      <c r="L116" s="7">
        <f>CEO!L116+CS!L116+CFO!L116+LLA!L116+'C&amp;E'!L116+CES!L116+LLT!L116+GB!L116</f>
        <v>0</v>
      </c>
      <c r="M116" s="13" t="s">
        <v>493</v>
      </c>
      <c r="N116" s="7">
        <f t="shared" si="48"/>
        <v>0</v>
      </c>
      <c r="O116" s="7">
        <f t="shared" si="44"/>
        <v>0</v>
      </c>
      <c r="P116" s="7">
        <f t="shared" si="45"/>
        <v>0</v>
      </c>
      <c r="Q116" s="7">
        <f>CEO!Q116+CS!Q116+CFO!Q116+LLA!Q116+'C&amp;E'!Q116+CES!Q116+LLT!Q116+GB!Q116</f>
        <v>0</v>
      </c>
      <c r="R116" s="7">
        <f t="shared" si="74"/>
        <v>0</v>
      </c>
      <c r="S116" s="7">
        <v>0</v>
      </c>
      <c r="T116" s="7">
        <f>CEO!T116+CS!T116+CFO!T116+LLA!T116+'C&amp;E'!T116+CES!T116+LLT!T116+GB!T116</f>
        <v>0</v>
      </c>
      <c r="U116" s="7">
        <f t="shared" si="47"/>
        <v>0</v>
      </c>
      <c r="V116" s="7">
        <f t="shared" si="46"/>
        <v>0</v>
      </c>
      <c r="W116" s="7"/>
      <c r="X116" s="7">
        <f>CEO!Q116+CS!Q116+CFO!Q116+LLA!Q116+'C&amp;E'!Q116+CES!Q116+LLT!Q116+GB!Q116</f>
        <v>0</v>
      </c>
      <c r="Y116" s="7">
        <f t="shared" si="76"/>
        <v>0</v>
      </c>
      <c r="Z116" s="7">
        <f t="shared" si="75"/>
        <v>0</v>
      </c>
      <c r="AA116" s="7">
        <f t="shared" ref="AA116:AB125" si="77">Z116*(1+AA$3)</f>
        <v>0</v>
      </c>
      <c r="AB116" s="7">
        <f t="shared" si="77"/>
        <v>0</v>
      </c>
    </row>
    <row r="117" spans="1:28" x14ac:dyDescent="0.3">
      <c r="A117" s="7">
        <f>CEO!A117+CS!A117+CFO!A117+LLA!A117+'C&amp;E'!A117+CES!A117+LLT!A117+GB!A117</f>
        <v>0</v>
      </c>
      <c r="B117" s="7">
        <f>CEO!B117+CS!B117+CFO!B117+LLA!B117+'C&amp;E'!B117+CES!B117+LLT!B117+GB!B117</f>
        <v>0</v>
      </c>
      <c r="C117" s="7">
        <f>CEO!C117+CS!C117+CFO!C117+LLA!C117+'C&amp;E'!C117+CES!C117+LLT!C117+GB!C117</f>
        <v>0</v>
      </c>
      <c r="D117" s="7">
        <f>CEO!D117+CS!D117+CFO!D117+LLA!D117+'C&amp;E'!D117+CES!D117+LLT!D117+GB!D117</f>
        <v>0</v>
      </c>
      <c r="E117" s="7">
        <f>CEO!E117+CS!E117+CFO!E117+LLA!E117+'C&amp;E'!E117+CES!E117+LLT!E117+GB!E117</f>
        <v>0</v>
      </c>
      <c r="F117" s="7">
        <f>CEO!F117+CS!F117+CFO!F117+LLA!F117+'C&amp;E'!F117+CES!F117+LLT!F117+GB!F117</f>
        <v>0</v>
      </c>
      <c r="G117" s="7">
        <f>CEO!G117+CS!G117+CFO!G117+LLA!G117+'C&amp;E'!G117+CES!G117+LLT!G117+GB!G117</f>
        <v>0</v>
      </c>
      <c r="H117" s="7">
        <f>CEO!H117+CS!H117+CFO!H117+LLA!H117+'C&amp;E'!H117+CES!H117+LLT!H117+GB!H117</f>
        <v>0</v>
      </c>
      <c r="I117" s="7">
        <f>CEO!I117+CS!I117+CFO!I117+LLA!I117+'C&amp;E'!I117+CES!I117+LLT!I117+GB!I117</f>
        <v>0</v>
      </c>
      <c r="J117" s="7">
        <f>CEO!J117+CS!J117+CFO!J117+LLA!J117+'C&amp;E'!J117+CES!J117+LLT!J117+GB!J117</f>
        <v>0</v>
      </c>
      <c r="K117" s="7">
        <f>CEO!K117+CS!K117+CFO!K117+LLA!K117+'C&amp;E'!K117+CES!K117+LLT!K117+GB!K117</f>
        <v>0</v>
      </c>
      <c r="L117" s="7">
        <f>CEO!L117+CS!L117+CFO!L117+LLA!L117+'C&amp;E'!L117+CES!L117+LLT!L117+GB!L117</f>
        <v>0</v>
      </c>
      <c r="M117" s="127" t="s">
        <v>494</v>
      </c>
      <c r="N117" s="7">
        <f t="shared" si="48"/>
        <v>0</v>
      </c>
      <c r="O117" s="7">
        <f t="shared" si="44"/>
        <v>0</v>
      </c>
      <c r="P117" s="7">
        <f t="shared" si="45"/>
        <v>0</v>
      </c>
      <c r="Q117" s="7">
        <f>CEO!Q117+CS!Q117+CFO!Q117+LLA!Q117+'C&amp;E'!Q117+CES!Q117+LLT!Q117+GB!Q117</f>
        <v>0</v>
      </c>
      <c r="R117" s="7">
        <f t="shared" si="74"/>
        <v>0</v>
      </c>
      <c r="S117" s="7">
        <v>0</v>
      </c>
      <c r="T117" s="7">
        <f>CEO!T117+CS!T117+CFO!T117+LLA!T117+'C&amp;E'!T117+CES!T117+LLT!T117+GB!T117</f>
        <v>46958</v>
      </c>
      <c r="U117" s="7">
        <f t="shared" si="47"/>
        <v>46958</v>
      </c>
      <c r="V117" s="7">
        <f t="shared" si="46"/>
        <v>46958</v>
      </c>
      <c r="W117" s="7"/>
      <c r="X117" s="7">
        <f>CEO!Q117+CS!Q117+CFO!Q117+LLA!Q117+'C&amp;E'!Q117+CES!Q117+LLT!Q117+GB!Q117</f>
        <v>0</v>
      </c>
      <c r="Y117" s="7">
        <f t="shared" si="76"/>
        <v>0</v>
      </c>
      <c r="Z117" s="7">
        <f t="shared" si="75"/>
        <v>0</v>
      </c>
      <c r="AA117" s="7">
        <f t="shared" si="77"/>
        <v>0</v>
      </c>
      <c r="AB117" s="7">
        <f t="shared" si="77"/>
        <v>0</v>
      </c>
    </row>
    <row r="118" spans="1:28" x14ac:dyDescent="0.3">
      <c r="A118" s="7">
        <f>CEO!A118+CS!A118+CFO!A118+LLA!A118+'C&amp;E'!A118+CES!A118+LLT!A118+GB!A118</f>
        <v>0</v>
      </c>
      <c r="B118" s="7">
        <f>CEO!B118+CS!B118+CFO!B118+LLA!B118+'C&amp;E'!B118+CES!B118+LLT!B118+GB!B118</f>
        <v>0</v>
      </c>
      <c r="C118" s="7">
        <f>CEO!C118+CS!C118+CFO!C118+LLA!C118+'C&amp;E'!C118+CES!C118+LLT!C118+GB!C118</f>
        <v>0</v>
      </c>
      <c r="D118" s="7">
        <f>CEO!D118+CS!D118+CFO!D118+LLA!D118+'C&amp;E'!D118+CES!D118+LLT!D118+GB!D118</f>
        <v>0</v>
      </c>
      <c r="E118" s="7">
        <f>CEO!E118+CS!E118+CFO!E118+LLA!E118+'C&amp;E'!E118+CES!E118+LLT!E118+GB!E118</f>
        <v>0</v>
      </c>
      <c r="F118" s="7">
        <f>CEO!F118+CS!F118+CFO!F118+LLA!F118+'C&amp;E'!F118+CES!F118+LLT!F118+GB!F118</f>
        <v>0</v>
      </c>
      <c r="G118" s="7">
        <f>CEO!G118+CS!G118+CFO!G118+LLA!G118+'C&amp;E'!G118+CES!G118+LLT!G118+GB!G118</f>
        <v>0</v>
      </c>
      <c r="H118" s="7">
        <f>CEO!H118+CS!H118+CFO!H118+LLA!H118+'C&amp;E'!H118+CES!H118+LLT!H118+GB!H118</f>
        <v>0</v>
      </c>
      <c r="I118" s="7">
        <f>CEO!I118+CS!I118+CFO!I118+LLA!I118+'C&amp;E'!I118+CES!I118+LLT!I118+GB!I118</f>
        <v>0</v>
      </c>
      <c r="J118" s="7">
        <f>CEO!J118+CS!J118+CFO!J118+LLA!J118+'C&amp;E'!J118+CES!J118+LLT!J118+GB!J118</f>
        <v>0</v>
      </c>
      <c r="K118" s="7">
        <f>CEO!K118+CS!K118+CFO!K118+LLA!K118+'C&amp;E'!K118+CES!K118+LLT!K118+GB!K118</f>
        <v>0</v>
      </c>
      <c r="L118" s="7">
        <f>CEO!L118+CS!L118+CFO!L118+LLA!L118+'C&amp;E'!L118+CES!L118+LLT!L118+GB!L118</f>
        <v>0</v>
      </c>
      <c r="M118" s="13" t="s">
        <v>495</v>
      </c>
      <c r="N118" s="7">
        <f t="shared" si="48"/>
        <v>0</v>
      </c>
      <c r="O118" s="7">
        <f t="shared" si="44"/>
        <v>0</v>
      </c>
      <c r="P118" s="7">
        <f t="shared" si="45"/>
        <v>0</v>
      </c>
      <c r="Q118" s="7">
        <f>CEO!Q118+CS!Q118+CFO!Q118+LLA!Q118+'C&amp;E'!Q118+CES!Q118+LLT!Q118+GB!Q118</f>
        <v>0</v>
      </c>
      <c r="R118" s="7">
        <f t="shared" si="74"/>
        <v>0</v>
      </c>
      <c r="S118" s="7">
        <v>0.23500000000058208</v>
      </c>
      <c r="T118" s="7">
        <f>CEO!T118+CS!T118+CFO!T118+LLA!T118+'C&amp;E'!T118+CES!T118+LLT!T118+GB!T118</f>
        <v>0</v>
      </c>
      <c r="U118" s="7">
        <f t="shared" si="47"/>
        <v>0.23500000000058208</v>
      </c>
      <c r="V118" s="7">
        <f t="shared" si="46"/>
        <v>0.23500000000058208</v>
      </c>
      <c r="W118" s="7"/>
      <c r="X118" s="7">
        <f>CEO!Q118+CS!Q118+CFO!Q118+LLA!Q118+'C&amp;E'!Q118+CES!Q118+LLT!Q118+GB!Q118</f>
        <v>0</v>
      </c>
      <c r="Y118" s="7">
        <f t="shared" si="76"/>
        <v>0</v>
      </c>
      <c r="Z118" s="7">
        <f t="shared" si="75"/>
        <v>0</v>
      </c>
      <c r="AA118" s="7">
        <f t="shared" si="77"/>
        <v>0</v>
      </c>
      <c r="AB118" s="7">
        <f t="shared" si="77"/>
        <v>0</v>
      </c>
    </row>
    <row r="119" spans="1:28" x14ac:dyDescent="0.3">
      <c r="A119" s="7">
        <f>CEO!A119+CS!A119+CFO!A119+LLA!A119+'C&amp;E'!A119+CES!A119+LLT!A119+GB!A119</f>
        <v>47820</v>
      </c>
      <c r="B119" s="7">
        <f>CEO!B119+CS!B119+CFO!B119+LLA!B119+'C&amp;E'!B119+CES!B119+LLT!B119+GB!B119</f>
        <v>47820</v>
      </c>
      <c r="C119" s="7">
        <f>CEO!C119+CS!C119+CFO!C119+LLA!C119+'C&amp;E'!C119+CES!C119+LLT!C119+GB!C119</f>
        <v>47820</v>
      </c>
      <c r="D119" s="7">
        <f>CEO!D119+CS!D119+CFO!D119+LLA!D119+'C&amp;E'!D119+CES!D119+LLT!D119+GB!D119</f>
        <v>47820</v>
      </c>
      <c r="E119" s="7">
        <f>CEO!E119+CS!E119+CFO!E119+LLA!E119+'C&amp;E'!E119+CES!E119+LLT!E119+GB!E119</f>
        <v>47820</v>
      </c>
      <c r="F119" s="7">
        <f>CEO!F119+CS!F119+CFO!F119+LLA!F119+'C&amp;E'!F119+CES!F119+LLT!F119+GB!F119</f>
        <v>47820</v>
      </c>
      <c r="G119" s="7">
        <f>CEO!G119+CS!G119+CFO!G119+LLA!G119+'C&amp;E'!G119+CES!G119+LLT!G119+GB!G119</f>
        <v>47820</v>
      </c>
      <c r="H119" s="7">
        <f>CEO!H119+CS!H119+CFO!H119+LLA!H119+'C&amp;E'!H119+CES!H119+LLT!H119+GB!H119</f>
        <v>47820</v>
      </c>
      <c r="I119" s="7">
        <f>CEO!I119+CS!I119+CFO!I119+LLA!I119+'C&amp;E'!I119+CES!I119+LLT!I119+GB!I119</f>
        <v>47820</v>
      </c>
      <c r="J119" s="7">
        <f>CEO!J119+CS!J119+CFO!J119+LLA!J119+'C&amp;E'!J119+CES!J119+LLT!J119+GB!J119</f>
        <v>47820</v>
      </c>
      <c r="K119" s="7">
        <f>CEO!K119+CS!K119+CFO!K119+LLA!K119+'C&amp;E'!K119+CES!K119+LLT!K119+GB!K119</f>
        <v>47820</v>
      </c>
      <c r="L119" s="7">
        <f>CEO!L119+CS!L119+CFO!L119+LLA!L119+'C&amp;E'!L119+CES!L119+LLT!L119+GB!L119</f>
        <v>47820</v>
      </c>
      <c r="M119" s="13" t="s">
        <v>496</v>
      </c>
      <c r="N119" s="7">
        <f t="shared" si="48"/>
        <v>478200</v>
      </c>
      <c r="O119" s="7">
        <f t="shared" si="44"/>
        <v>95640</v>
      </c>
      <c r="P119" s="7">
        <f t="shared" si="45"/>
        <v>573840</v>
      </c>
      <c r="Q119" s="7">
        <f>CEO!Q119+CS!Q119+CFO!Q119+LLA!Q119+'C&amp;E'!Q119+CES!Q119+LLT!Q119+GB!Q119</f>
        <v>573840</v>
      </c>
      <c r="R119" s="7">
        <f t="shared" si="74"/>
        <v>0</v>
      </c>
      <c r="S119" s="7">
        <v>-37729</v>
      </c>
      <c r="T119" s="7">
        <f>CEO!T119+CS!T119+CFO!T119+LLA!T119+'C&amp;E'!T119+CES!T119+LLT!T119+GB!T119</f>
        <v>414418</v>
      </c>
      <c r="U119" s="7">
        <f t="shared" si="47"/>
        <v>950529</v>
      </c>
      <c r="V119" s="7">
        <f t="shared" si="46"/>
        <v>376689</v>
      </c>
      <c r="W119" s="7"/>
      <c r="X119" s="7">
        <f>CEO!Q119+CS!Q119+CFO!Q119+LLA!Q119+'C&amp;E'!Q119+CES!Q119+LLT!Q119+GB!Q119</f>
        <v>573840</v>
      </c>
      <c r="Y119" s="7">
        <f t="shared" si="76"/>
        <v>0</v>
      </c>
      <c r="Z119" s="7">
        <f t="shared" si="75"/>
        <v>573840</v>
      </c>
      <c r="AA119" s="7">
        <f>(Z119*(1+AA$3))</f>
        <v>601384.32000000007</v>
      </c>
      <c r="AB119" s="7">
        <f>(Z119*(1+AB$3))</f>
        <v>600810.48</v>
      </c>
    </row>
    <row r="120" spans="1:28" x14ac:dyDescent="0.3">
      <c r="A120" s="7">
        <f>CEO!A120+CS!A120+CFO!A120+LLA!A120+'C&amp;E'!A120+CES!A120+LLT!A120+GB!A120</f>
        <v>0</v>
      </c>
      <c r="B120" s="7">
        <f>CEO!B120+CS!B120+CFO!B120+LLA!B120+'C&amp;E'!B120+CES!B120+LLT!B120+GB!B120</f>
        <v>0</v>
      </c>
      <c r="C120" s="7">
        <f>CEO!C120+CS!C120+CFO!C120+LLA!C120+'C&amp;E'!C120+CES!C120+LLT!C120+GB!C120</f>
        <v>0</v>
      </c>
      <c r="D120" s="7">
        <f>CEO!D120+CS!D120+CFO!D120+LLA!D120+'C&amp;E'!D120+CES!D120+LLT!D120+GB!D120</f>
        <v>0</v>
      </c>
      <c r="E120" s="7"/>
      <c r="F120" s="7"/>
      <c r="G120" s="7"/>
      <c r="H120" s="7"/>
      <c r="I120" s="7">
        <f>CEO!I120+CS!I120+CFO!I120+LLA!I120+'C&amp;E'!I120+CES!I120+LLT!I120+GB!I120</f>
        <v>0</v>
      </c>
      <c r="J120" s="7">
        <f>CEO!J120+CS!J120+CFO!J120+LLA!J120+'C&amp;E'!J120+CES!J120+LLT!J120+GB!J120</f>
        <v>0</v>
      </c>
      <c r="K120" s="7">
        <f>CEO!K120+CS!K120+CFO!K120+LLA!K120+'C&amp;E'!K120+CES!K120+LLT!K120+GB!K120</f>
        <v>0</v>
      </c>
      <c r="L120" s="7">
        <f>CEO!L120+CS!L120+CFO!L120+LLA!L120+'C&amp;E'!L120+CES!L120+LLT!L120+GB!L120</f>
        <v>0</v>
      </c>
      <c r="M120" s="127" t="s">
        <v>497</v>
      </c>
      <c r="N120" s="7">
        <f t="shared" si="48"/>
        <v>0</v>
      </c>
      <c r="O120" s="7">
        <f t="shared" si="44"/>
        <v>0</v>
      </c>
      <c r="P120" s="7">
        <f t="shared" si="45"/>
        <v>0</v>
      </c>
      <c r="Q120" s="7">
        <f>CEO!Q120+CS!Q120+CFO!Q120+LLA!Q120+'C&amp;E'!Q120+CES!Q120+LLT!Q120+GB!Q120</f>
        <v>0</v>
      </c>
      <c r="R120" s="7">
        <f t="shared" si="74"/>
        <v>0</v>
      </c>
      <c r="S120" s="7">
        <v>0</v>
      </c>
      <c r="T120" s="7">
        <f>CEO!T120+CS!T120+CFO!T120+LLA!T120+'C&amp;E'!T120+CES!T120+LLT!T120+GB!T120</f>
        <v>0</v>
      </c>
      <c r="U120" s="7">
        <f t="shared" si="47"/>
        <v>0</v>
      </c>
      <c r="V120" s="7">
        <f t="shared" si="46"/>
        <v>0</v>
      </c>
      <c r="W120" s="7"/>
      <c r="X120" s="7">
        <f>CEO!Q120+CS!Q120+CFO!Q120+LLA!Q120+'C&amp;E'!Q120+CES!Q120+LLT!Q120+GB!Q120</f>
        <v>0</v>
      </c>
      <c r="Y120" s="7">
        <f t="shared" si="76"/>
        <v>0</v>
      </c>
      <c r="Z120" s="7">
        <f t="shared" si="75"/>
        <v>0</v>
      </c>
      <c r="AA120" s="7">
        <f t="shared" si="77"/>
        <v>0</v>
      </c>
      <c r="AB120" s="7">
        <f t="shared" si="77"/>
        <v>0</v>
      </c>
    </row>
    <row r="121" spans="1:28" x14ac:dyDescent="0.3">
      <c r="A121" s="7">
        <f>CEO!A121+CS!A121+CFO!A121+LLA!A121+'C&amp;E'!A121+CES!A121+LLT!A121+GB!A121</f>
        <v>0</v>
      </c>
      <c r="B121" s="7">
        <f>CEO!B121+CS!B121+CFO!B121+LLA!B121+'C&amp;E'!B121+CES!B121+LLT!B121+GB!B121</f>
        <v>0</v>
      </c>
      <c r="C121" s="7">
        <f>CEO!C121+CS!C121+CFO!C121+LLA!C121+'C&amp;E'!C121+CES!C121+LLT!C121+GB!C121</f>
        <v>0</v>
      </c>
      <c r="D121" s="7">
        <f>CEO!D121+CS!D121+CFO!D121+LLA!D121+'C&amp;E'!D121+CES!D121+LLT!D121+GB!D121</f>
        <v>0</v>
      </c>
      <c r="E121" s="7"/>
      <c r="F121" s="7"/>
      <c r="G121" s="7"/>
      <c r="H121" s="7"/>
      <c r="I121" s="7">
        <f>CEO!I121+CS!I121+CFO!I121+LLA!I121+'C&amp;E'!I121+CES!I121+LLT!I121+GB!I121</f>
        <v>0</v>
      </c>
      <c r="J121" s="7">
        <f>CEO!J121+CS!J121+CFO!J121+LLA!J121+'C&amp;E'!J121+CES!J121+LLT!J121+GB!J121</f>
        <v>0</v>
      </c>
      <c r="K121" s="7">
        <f>CEO!K121+CS!K121+CFO!K121+LLA!K121+'C&amp;E'!K121+CES!K121+LLT!K121+GB!K121</f>
        <v>0</v>
      </c>
      <c r="L121" s="7">
        <f>CEO!L121+CS!L121+CFO!L121+LLA!L121+'C&amp;E'!L121+CES!L121+LLT!L121+GB!L121</f>
        <v>0</v>
      </c>
      <c r="M121" s="13" t="s">
        <v>498</v>
      </c>
      <c r="N121" s="7">
        <f t="shared" si="48"/>
        <v>0</v>
      </c>
      <c r="O121" s="7">
        <f t="shared" si="44"/>
        <v>0</v>
      </c>
      <c r="P121" s="7">
        <f t="shared" si="45"/>
        <v>0</v>
      </c>
      <c r="Q121" s="7">
        <f>CEO!Q121+CS!Q121+CFO!Q121+LLA!Q121+'C&amp;E'!Q121+CES!Q121+LLT!Q121+GB!Q121</f>
        <v>0</v>
      </c>
      <c r="R121" s="7">
        <f t="shared" si="74"/>
        <v>0</v>
      </c>
      <c r="S121" s="7">
        <v>0</v>
      </c>
      <c r="T121" s="7">
        <f>CEO!T121+CS!T121+CFO!T121+LLA!T121+'C&amp;E'!T121+CES!T121+LLT!T121+GB!T121</f>
        <v>0</v>
      </c>
      <c r="U121" s="7">
        <f t="shared" si="47"/>
        <v>0</v>
      </c>
      <c r="V121" s="7">
        <f t="shared" si="46"/>
        <v>0</v>
      </c>
      <c r="W121" s="7"/>
      <c r="X121" s="7">
        <f>CEO!Q121+CS!Q121+CFO!Q121+LLA!Q121+'C&amp;E'!Q121+CES!Q121+LLT!Q121+GB!Q121</f>
        <v>0</v>
      </c>
      <c r="Y121" s="7">
        <f t="shared" si="76"/>
        <v>0</v>
      </c>
      <c r="Z121" s="7">
        <f t="shared" si="75"/>
        <v>0</v>
      </c>
      <c r="AA121" s="7">
        <f t="shared" si="77"/>
        <v>0</v>
      </c>
      <c r="AB121" s="7">
        <f t="shared" si="77"/>
        <v>0</v>
      </c>
    </row>
    <row r="122" spans="1:28" x14ac:dyDescent="0.3">
      <c r="A122" s="7">
        <f>CEO!A122+CS!A122+CFO!A122+LLA!A122+'C&amp;E'!A122+CES!A122+LLT!A122+GB!A122</f>
        <v>31699.904000000002</v>
      </c>
      <c r="B122" s="7">
        <f>CEO!B122+CS!B122+CFO!B122+LLA!B122+'C&amp;E'!B122+CES!B122+LLT!B122+GB!B122</f>
        <v>31699.904000000002</v>
      </c>
      <c r="C122" s="7">
        <f>CEO!C122+CS!C122+CFO!C122+LLA!C122+'C&amp;E'!C122+CES!C122+LLT!C122+GB!C122</f>
        <v>31699.904000000002</v>
      </c>
      <c r="D122" s="7">
        <f>CEO!D122+CS!D122+CFO!D122+LLA!D122+'C&amp;E'!D122+CES!D122+LLT!D122+GB!D122</f>
        <v>31699.904000000002</v>
      </c>
      <c r="E122" s="7">
        <f>CEO!E122+CS!E122+CFO!E122+LLA!E122+'C&amp;E'!E122+CES!E122+LLT!E122+GB!E122</f>
        <v>31699.904000000002</v>
      </c>
      <c r="F122" s="7">
        <f>CEO!F122+CS!F122+CFO!F122+LLA!F122+'C&amp;E'!F122+CES!F122+LLT!F122+GB!F122</f>
        <v>31699.904000000002</v>
      </c>
      <c r="G122" s="7">
        <f>CEO!G122+CS!G122+CFO!G122+LLA!G122+'C&amp;E'!G122+CES!G122+LLT!G122+GB!G122</f>
        <v>31699.904000000002</v>
      </c>
      <c r="H122" s="7">
        <f>CEO!H122+CS!H122+CFO!H122+LLA!H122+'C&amp;E'!H122+CES!H122+LLT!H122+GB!H122</f>
        <v>31699.904000000002</v>
      </c>
      <c r="I122" s="7">
        <f>CEO!I122+CS!I122+CFO!I122+LLA!I122+'C&amp;E'!I122+CES!I122+LLT!I122+GB!I122</f>
        <v>31699.904000000002</v>
      </c>
      <c r="J122" s="7">
        <f>CEO!J122+CS!J122+CFO!J122+LLA!J122+'C&amp;E'!J122+CES!J122+LLT!J122+GB!J122</f>
        <v>31699.904000000002</v>
      </c>
      <c r="K122" s="7">
        <f>CEO!K122+CS!K122+CFO!K122+LLA!K122+'C&amp;E'!K122+CES!K122+LLT!K122+GB!K122</f>
        <v>31699.904000000002</v>
      </c>
      <c r="L122" s="7">
        <f>CEO!L122+CS!L122+CFO!L122+LLA!L122+'C&amp;E'!L122+CES!L122+LLT!L122+GB!L122</f>
        <v>31695.904000000002</v>
      </c>
      <c r="M122" s="13" t="s">
        <v>499</v>
      </c>
      <c r="N122" s="7">
        <f t="shared" si="48"/>
        <v>316999.04000000004</v>
      </c>
      <c r="O122" s="7">
        <f t="shared" si="44"/>
        <v>63395.808000000005</v>
      </c>
      <c r="P122" s="7">
        <f t="shared" si="45"/>
        <v>380394.84800000006</v>
      </c>
      <c r="Q122" s="7">
        <f>CEO!Q122+CS!Q122+CFO!Q122+LLA!Q122+'C&amp;E'!Q122+CES!Q122+LLT!Q122+GB!Q122</f>
        <v>380394.848</v>
      </c>
      <c r="R122" s="7">
        <f t="shared" si="74"/>
        <v>0</v>
      </c>
      <c r="S122" s="7">
        <v>-198733</v>
      </c>
      <c r="T122" s="7">
        <f>CEO!T122+CS!T122+CFO!T122+LLA!T122+'C&amp;E'!T122+CES!T122+LLT!T122+GB!T122</f>
        <v>13564</v>
      </c>
      <c r="U122" s="7">
        <f t="shared" si="47"/>
        <v>195225.848</v>
      </c>
      <c r="V122" s="7">
        <f t="shared" si="46"/>
        <v>-185169.00000000006</v>
      </c>
      <c r="W122" s="7"/>
      <c r="X122" s="7">
        <f>CEO!Q122+CS!Q122+CFO!Q122+LLA!Q122+'C&amp;E'!Q122+CES!Q122+LLT!Q122+GB!Q122</f>
        <v>380394.848</v>
      </c>
      <c r="Y122" s="7">
        <f t="shared" si="76"/>
        <v>0</v>
      </c>
      <c r="Z122" s="7">
        <f t="shared" si="75"/>
        <v>380394.848</v>
      </c>
      <c r="AA122" s="7">
        <f t="shared" si="77"/>
        <v>398653.80070399999</v>
      </c>
      <c r="AB122" s="7">
        <f t="shared" si="77"/>
        <v>417390.52933708794</v>
      </c>
    </row>
    <row r="123" spans="1:28" x14ac:dyDescent="0.3">
      <c r="A123" s="7">
        <f>CEO!A123+CS!A123+CFO!A123+LLA!A123+'C&amp;E'!A123+CES!A123+LLT!A123+GB!A123</f>
        <v>105337.62400000001</v>
      </c>
      <c r="B123" s="7">
        <f>CEO!B123+CS!B123+CFO!B123+LLA!B123+'C&amp;E'!B123+CES!B123+LLT!B123+GB!B123</f>
        <v>105337.62400000001</v>
      </c>
      <c r="C123" s="7">
        <f>CEO!C123+CS!C123+CFO!C123+LLA!C123+'C&amp;E'!C123+CES!C123+LLT!C123+GB!C123</f>
        <v>105337.62400000001</v>
      </c>
      <c r="D123" s="7">
        <f>CEO!D123+CS!D123+CFO!D123+LLA!D123+'C&amp;E'!D123+CES!D123+LLT!D123+GB!D123</f>
        <v>105337.62400000001</v>
      </c>
      <c r="E123" s="7">
        <f>CEO!E123+CS!E123+CFO!E123+LLA!E123+'C&amp;E'!E123+CES!E123+LLT!E123+GB!E123</f>
        <v>105337.62400000001</v>
      </c>
      <c r="F123" s="7">
        <f>CEO!F123+CS!F123+CFO!F123+LLA!F123+'C&amp;E'!F123+CES!F123+LLT!F123+GB!F123</f>
        <v>105337.62400000001</v>
      </c>
      <c r="G123" s="7">
        <f>CEO!G123+CS!G123+CFO!G123+LLA!G123+'C&amp;E'!G123+CES!G123+LLT!G123+GB!G123</f>
        <v>105337.62400000001</v>
      </c>
      <c r="H123" s="7">
        <f>CEO!H123+CS!H123+CFO!H123+LLA!H123+'C&amp;E'!H123+CES!H123+LLT!H123+GB!H123</f>
        <v>105337.62400000001</v>
      </c>
      <c r="I123" s="7">
        <f>CEO!I123+CS!I123+CFO!I123+LLA!I123+'C&amp;E'!I123+CES!I123+LLT!I123+GB!I123</f>
        <v>105337.62400000001</v>
      </c>
      <c r="J123" s="7">
        <f>CEO!J123+CS!J123+CFO!J123+LLA!J123+'C&amp;E'!J123+CES!J123+LLT!J123+GB!J123</f>
        <v>105337.62400000001</v>
      </c>
      <c r="K123" s="7">
        <f>CEO!K123+CS!K123+CFO!K123+LLA!K123+'C&amp;E'!K123+CES!K123+LLT!K123+GB!K123</f>
        <v>105337.62400000001</v>
      </c>
      <c r="L123" s="7">
        <f>CEO!L123+CS!L123+CFO!L123+LLA!L123+'C&amp;E'!L123+CES!L123+LLT!L123+GB!L123</f>
        <v>105339.62400000001</v>
      </c>
      <c r="M123" s="127" t="s">
        <v>500</v>
      </c>
      <c r="N123" s="7">
        <f t="shared" si="48"/>
        <v>1053376.2400000005</v>
      </c>
      <c r="O123" s="7">
        <f t="shared" si="44"/>
        <v>210677.24800000002</v>
      </c>
      <c r="P123" s="7">
        <f t="shared" si="45"/>
        <v>1264053.4880000004</v>
      </c>
      <c r="Q123" s="7">
        <f>CEO!Q123+CS!Q123+CFO!Q123+LLA!Q123+'C&amp;E'!Q123+CES!Q123+LLT!Q123+GB!Q123</f>
        <v>1264053.4880000006</v>
      </c>
      <c r="R123" s="7">
        <f t="shared" si="74"/>
        <v>0</v>
      </c>
      <c r="S123" s="7">
        <v>0</v>
      </c>
      <c r="T123" s="7">
        <f>CEO!T123+CS!T123+CFO!T123+LLA!T123+'C&amp;E'!T123+CES!T123+LLT!T123+GB!T123</f>
        <v>0</v>
      </c>
      <c r="U123" s="7">
        <f t="shared" si="47"/>
        <v>1264053.4880000006</v>
      </c>
      <c r="V123" s="7">
        <f t="shared" si="46"/>
        <v>0</v>
      </c>
      <c r="W123" s="7"/>
      <c r="X123" s="7">
        <f>CEO!Q123+CS!Q123+CFO!Q123+LLA!Q123+'C&amp;E'!Q123+CES!Q123+LLT!Q123+GB!Q123</f>
        <v>1264053.4880000006</v>
      </c>
      <c r="Y123" s="7">
        <f t="shared" si="76"/>
        <v>0</v>
      </c>
      <c r="Z123" s="7">
        <f t="shared" si="75"/>
        <v>1264053.4880000006</v>
      </c>
      <c r="AA123" s="7">
        <f t="shared" si="77"/>
        <v>1324728.0554240006</v>
      </c>
      <c r="AB123" s="7">
        <f t="shared" si="77"/>
        <v>1386990.2740289285</v>
      </c>
    </row>
    <row r="124" spans="1:28" x14ac:dyDescent="0.3">
      <c r="A124" s="7">
        <f>CEO!A124+CS!A124+CFO!A124+LLA!A124+'C&amp;E'!A124+CES!A124+LLT!A124+GB!A124</f>
        <v>0</v>
      </c>
      <c r="B124" s="7">
        <f>CEO!B124+CS!B124+CFO!B124+LLA!B124+'C&amp;E'!B124+CES!B124+LLT!B124+GB!B124</f>
        <v>0</v>
      </c>
      <c r="C124" s="7">
        <f>CEO!C124+CS!C124+CFO!C124+LLA!C124+'C&amp;E'!C124+CES!C124+LLT!C124+GB!C124</f>
        <v>0</v>
      </c>
      <c r="D124" s="7">
        <f>CEO!D124+CS!D124+CFO!D124+LLA!D124+'C&amp;E'!D124+CES!D124+LLT!D124+GB!D124</f>
        <v>0</v>
      </c>
      <c r="E124" s="7">
        <f>CEO!E124+CS!E124+CFO!E124+LLA!E124+'C&amp;E'!E124+CES!E124+LLT!E124+GB!E124</f>
        <v>0</v>
      </c>
      <c r="F124" s="7">
        <f>CEO!F124+CS!F124+CFO!F124+LLA!F124+'C&amp;E'!F124+CES!F124+LLT!F124+GB!F124</f>
        <v>0</v>
      </c>
      <c r="G124" s="7">
        <f>CEO!G124+CS!G124+CFO!G124+LLA!G124+'C&amp;E'!G124+CES!G124+LLT!G124+GB!G124</f>
        <v>0</v>
      </c>
      <c r="H124" s="7">
        <f>CEO!H124+CS!H124+CFO!H124+LLA!H124+'C&amp;E'!H124+CES!H124+LLT!H124+GB!H124</f>
        <v>0</v>
      </c>
      <c r="I124" s="7">
        <f>CEO!I124+CS!I124+CFO!I124+LLA!I124+'C&amp;E'!I124+CES!I124+LLT!I124+GB!I124</f>
        <v>0</v>
      </c>
      <c r="J124" s="7">
        <f>CEO!J124+CS!J124+CFO!J124+LLA!J124+'C&amp;E'!J124+CES!J124+LLT!J124+GB!J124</f>
        <v>0</v>
      </c>
      <c r="K124" s="7">
        <f>CEO!K124+CS!K124+CFO!K124+LLA!K124+'C&amp;E'!K124+CES!K124+LLT!K124+GB!K124</f>
        <v>0</v>
      </c>
      <c r="L124" s="7">
        <f>CEO!L124+CS!L124+CFO!L124+LLA!L124+'C&amp;E'!L124+CES!L124+LLT!L124+GB!L124</f>
        <v>0</v>
      </c>
      <c r="M124" s="13" t="s">
        <v>501</v>
      </c>
      <c r="N124" s="7">
        <f t="shared" si="48"/>
        <v>0</v>
      </c>
      <c r="O124" s="7">
        <f t="shared" si="44"/>
        <v>0</v>
      </c>
      <c r="P124" s="7">
        <f t="shared" si="45"/>
        <v>0</v>
      </c>
      <c r="Q124" s="7">
        <f>CEO!Q124+CS!Q124+CFO!Q124+LLA!Q124+'C&amp;E'!Q124+CES!Q124+LLT!Q124+GB!Q124</f>
        <v>0</v>
      </c>
      <c r="R124" s="7">
        <f t="shared" si="74"/>
        <v>0</v>
      </c>
      <c r="S124" s="7">
        <v>0</v>
      </c>
      <c r="T124" s="7">
        <f>CEO!T124+CS!T124+CFO!T124+LLA!T124+'C&amp;E'!T124+CES!T124+LLT!T124+GB!T124</f>
        <v>0</v>
      </c>
      <c r="U124" s="7">
        <f t="shared" si="47"/>
        <v>0</v>
      </c>
      <c r="V124" s="7">
        <f t="shared" si="46"/>
        <v>0</v>
      </c>
      <c r="W124" s="7"/>
      <c r="X124" s="7">
        <f>CEO!Q124+CS!Q124+CFO!Q124+LLA!Q124+'C&amp;E'!Q124+CES!Q124+LLT!Q124+GB!Q124</f>
        <v>0</v>
      </c>
      <c r="Y124" s="7">
        <f t="shared" si="76"/>
        <v>0</v>
      </c>
      <c r="Z124" s="7">
        <f t="shared" si="75"/>
        <v>0</v>
      </c>
      <c r="AA124" s="7">
        <f t="shared" si="77"/>
        <v>0</v>
      </c>
      <c r="AB124" s="7">
        <f t="shared" si="77"/>
        <v>0</v>
      </c>
    </row>
    <row r="125" spans="1:28" x14ac:dyDescent="0.3">
      <c r="A125" s="11">
        <f>CEO!A125+CS!A125+CFO!A125+LLA!A125+'C&amp;E'!A125+CES!A125+LLT!A125+GB!A125</f>
        <v>0</v>
      </c>
      <c r="B125" s="11">
        <f>CEO!B125+CS!B125+CFO!B125+LLA!B125+'C&amp;E'!B125+CES!B125+LLT!B125+GB!B125</f>
        <v>0</v>
      </c>
      <c r="C125" s="11">
        <f>CEO!C125+CS!C125+CFO!C125+LLA!C125+'C&amp;E'!C125+CES!C125+LLT!C125+GB!C125</f>
        <v>0</v>
      </c>
      <c r="D125" s="11">
        <f>CEO!D125+CS!D125+CFO!D125+LLA!D125+'C&amp;E'!D125+CES!D125+LLT!D125+GB!D125</f>
        <v>0</v>
      </c>
      <c r="E125" s="11">
        <f>CEO!E125+CS!E125+CFO!E125+LLA!E125+'C&amp;E'!E125+CES!E125+LLT!E125+GB!E125</f>
        <v>0</v>
      </c>
      <c r="F125" s="11">
        <f>CEO!F125+CS!F125+CFO!F125+LLA!F125+'C&amp;E'!F125+CES!F125+LLT!F125+GB!F125</f>
        <v>0</v>
      </c>
      <c r="G125" s="11">
        <f>CEO!G125+CS!G125+CFO!G125+LLA!G125+'C&amp;E'!G125+CES!G125+LLT!G125+GB!G125</f>
        <v>0</v>
      </c>
      <c r="H125" s="11">
        <f>CEO!H125+CS!H125+CFO!H125+LLA!H125+'C&amp;E'!H125+CES!H125+LLT!H125+GB!H125</f>
        <v>0</v>
      </c>
      <c r="I125" s="11">
        <f>CEO!I125+CS!I125+CFO!I125+LLA!I125+'C&amp;E'!I125+CES!I125+LLT!I125+GB!I125</f>
        <v>0</v>
      </c>
      <c r="J125" s="11">
        <f>CEO!J125+CS!J125+CFO!J125+LLA!J125+'C&amp;E'!J125+CES!J125+LLT!J125+GB!J125</f>
        <v>0</v>
      </c>
      <c r="K125" s="11">
        <f>CEO!K125+CS!K125+CFO!K125+LLA!K125+'C&amp;E'!K125+CES!K125+LLT!K125+GB!K125</f>
        <v>0</v>
      </c>
      <c r="L125" s="11">
        <f>CEO!L125+CS!L125+CFO!L125+LLA!L125+'C&amp;E'!L125+CES!L125+LLT!L125+GB!L125</f>
        <v>0</v>
      </c>
      <c r="M125" s="13" t="s">
        <v>184</v>
      </c>
      <c r="N125" s="11">
        <f t="shared" si="48"/>
        <v>0</v>
      </c>
      <c r="O125" s="11">
        <f t="shared" si="44"/>
        <v>0</v>
      </c>
      <c r="P125" s="11">
        <f t="shared" si="45"/>
        <v>0</v>
      </c>
      <c r="Q125" s="11">
        <f>CEO!Q125+CS!Q125+CFO!Q125+LLA!Q125+'C&amp;E'!Q125+CES!Q125+LLT!Q125+GB!Q125</f>
        <v>0</v>
      </c>
      <c r="R125" s="11">
        <f t="shared" si="74"/>
        <v>0</v>
      </c>
      <c r="S125" s="11">
        <v>0</v>
      </c>
      <c r="T125" s="11">
        <f>CEO!T125+CS!T125+CFO!T125+LLA!T125+'C&amp;E'!T125+CES!T125+LLT!T125+GB!T125</f>
        <v>0</v>
      </c>
      <c r="U125" s="11">
        <f t="shared" si="47"/>
        <v>0</v>
      </c>
      <c r="V125" s="11">
        <f t="shared" si="46"/>
        <v>0</v>
      </c>
      <c r="W125" s="11"/>
      <c r="X125" s="11">
        <f>CEO!Q125+CS!Q125+CFO!Q125+LLA!Q125+'C&amp;E'!Q125+CES!Q125+LLT!Q125+GB!Q125</f>
        <v>0</v>
      </c>
      <c r="Y125" s="11">
        <f t="shared" si="76"/>
        <v>0</v>
      </c>
      <c r="Z125" s="11">
        <f t="shared" si="75"/>
        <v>0</v>
      </c>
      <c r="AA125" s="11"/>
      <c r="AB125" s="11">
        <f t="shared" si="77"/>
        <v>0</v>
      </c>
    </row>
    <row r="126" spans="1:28" ht="5.4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13"/>
      <c r="N126" s="7">
        <f t="shared" si="48"/>
        <v>0</v>
      </c>
      <c r="O126" s="7">
        <f t="shared" si="44"/>
        <v>0</v>
      </c>
      <c r="P126" s="7">
        <f t="shared" si="45"/>
        <v>0</v>
      </c>
      <c r="Q126" s="7"/>
      <c r="R126" s="7">
        <f t="shared" si="65"/>
        <v>0</v>
      </c>
      <c r="S126" s="7">
        <v>0</v>
      </c>
      <c r="T126" s="7">
        <f>CEO!T126+CS!T126+CFO!T126+LLA!T126+'C&amp;E'!T126+CES!T126+LLT!T126+GB!T126</f>
        <v>0</v>
      </c>
      <c r="U126" s="7">
        <f t="shared" si="47"/>
        <v>0</v>
      </c>
      <c r="V126" s="7">
        <f t="shared" si="46"/>
        <v>0</v>
      </c>
      <c r="W126" s="7"/>
      <c r="X126" s="7">
        <f>CEO!Q126+CS!Q126+CFO!Q126+LLA!Q126+'C&amp;E'!Q126+CES!Q126+LLT!Q126+GB!Q126</f>
        <v>0</v>
      </c>
      <c r="Y126" s="7">
        <f t="shared" si="50"/>
        <v>0</v>
      </c>
      <c r="Z126" s="7"/>
      <c r="AA126" s="7"/>
      <c r="AB126" s="7"/>
    </row>
    <row r="127" spans="1:28" x14ac:dyDescent="0.3">
      <c r="A127" s="4">
        <f>SUM(A114:A125)</f>
        <v>184857.52800000002</v>
      </c>
      <c r="B127" s="4">
        <f>SUM(B114:B125)</f>
        <v>184857.52800000002</v>
      </c>
      <c r="C127" s="4">
        <f t="shared" ref="C127:L127" si="78">SUM(C114:C125)</f>
        <v>184857.52800000002</v>
      </c>
      <c r="D127" s="4">
        <f t="shared" si="78"/>
        <v>184857.52800000002</v>
      </c>
      <c r="E127" s="4">
        <f t="shared" si="78"/>
        <v>184857.52800000002</v>
      </c>
      <c r="F127" s="4">
        <f t="shared" si="78"/>
        <v>184857.52800000002</v>
      </c>
      <c r="G127" s="4">
        <f t="shared" si="78"/>
        <v>184857.52800000002</v>
      </c>
      <c r="H127" s="4">
        <f t="shared" si="78"/>
        <v>184857.52800000002</v>
      </c>
      <c r="I127" s="4">
        <f t="shared" si="78"/>
        <v>184857.52800000002</v>
      </c>
      <c r="J127" s="4">
        <f t="shared" si="78"/>
        <v>184857.52800000002</v>
      </c>
      <c r="K127" s="4">
        <f t="shared" si="78"/>
        <v>243090.52800000002</v>
      </c>
      <c r="L127" s="4">
        <f t="shared" si="78"/>
        <v>235306.24800000002</v>
      </c>
      <c r="M127" s="13" t="s">
        <v>185</v>
      </c>
      <c r="N127" s="4">
        <f t="shared" ref="N127:O127" si="79">SUM(N114:N125)</f>
        <v>1848575.2800000005</v>
      </c>
      <c r="O127" s="4">
        <f t="shared" si="79"/>
        <v>478396.77600000001</v>
      </c>
      <c r="P127" s="4">
        <f>SUM(P114:P125)</f>
        <v>2326972.0560000003</v>
      </c>
      <c r="Q127" s="4">
        <f>SUM(Q114:Q125)</f>
        <v>2326972.0560000008</v>
      </c>
      <c r="R127" s="4">
        <f>SUM(R114:R125)</f>
        <v>0</v>
      </c>
      <c r="S127" s="4">
        <f>SUM(S114:S125)</f>
        <v>107736.23499999999</v>
      </c>
      <c r="T127" s="4">
        <f>CEO!T127+CS!T127+CFO!T127+LLA!T127+'C&amp;E'!T127+CES!T127+LLT!T127+GB!T127</f>
        <v>941108</v>
      </c>
      <c r="U127" s="4">
        <f t="shared" si="47"/>
        <v>3375816.2910000007</v>
      </c>
      <c r="V127" s="4">
        <f t="shared" si="46"/>
        <v>1048844.2350000003</v>
      </c>
      <c r="W127" s="4"/>
      <c r="X127" s="4">
        <f>CEO!Q127+CS!Q127+CFO!Q127+LLA!Q127+'C&amp;E'!Q127+CES!Q127+LLT!Q127+GB!Q127</f>
        <v>2326972.0560000008</v>
      </c>
      <c r="Y127" s="4">
        <f t="shared" si="50"/>
        <v>0</v>
      </c>
      <c r="Z127" s="4">
        <f>SUM(Z114:Z125)</f>
        <v>2326972.0560000008</v>
      </c>
      <c r="AA127" s="4">
        <f>SUM(AA114:AA125)</f>
        <v>2435871.5306880008</v>
      </c>
      <c r="AB127" s="4">
        <f>SUM(AB114:AB125)</f>
        <v>2601077.6385903363</v>
      </c>
    </row>
    <row r="128" spans="1:28" ht="5.4" customHeight="1" x14ac:dyDescent="0.3">
      <c r="A128" s="82"/>
      <c r="B128" s="81"/>
      <c r="C128" s="81"/>
      <c r="D128" s="82"/>
      <c r="E128" s="86"/>
      <c r="F128" s="86"/>
      <c r="G128" s="86"/>
      <c r="H128" s="86"/>
      <c r="I128" s="86"/>
      <c r="J128" s="86"/>
      <c r="K128" s="86"/>
      <c r="L128" s="86"/>
      <c r="M128" s="122"/>
      <c r="N128" s="86">
        <f t="shared" si="48"/>
        <v>0</v>
      </c>
      <c r="O128" s="86">
        <f t="shared" si="44"/>
        <v>0</v>
      </c>
      <c r="P128" s="86">
        <f t="shared" si="45"/>
        <v>0</v>
      </c>
      <c r="Q128" s="86"/>
      <c r="R128" s="86">
        <f t="shared" si="65"/>
        <v>0</v>
      </c>
      <c r="S128" s="86">
        <v>0</v>
      </c>
      <c r="T128" s="81">
        <f>CEO!T128+CS!T128+CFO!T128+LLA!T128+'C&amp;E'!T128+CES!T128+LLT!T128+GB!T128</f>
        <v>0</v>
      </c>
      <c r="U128" s="81">
        <f t="shared" si="47"/>
        <v>0</v>
      </c>
      <c r="V128" s="81">
        <f t="shared" si="46"/>
        <v>0</v>
      </c>
      <c r="W128" s="81"/>
      <c r="X128" s="86">
        <f>CEO!Q128+CS!Q128+CFO!Q128+LLA!Q128+'C&amp;E'!Q128+CES!Q128+LLT!Q128+GB!Q128</f>
        <v>0</v>
      </c>
      <c r="Y128" s="86">
        <f t="shared" si="50"/>
        <v>0</v>
      </c>
      <c r="Z128" s="86"/>
      <c r="AA128" s="86"/>
      <c r="AB128" s="86"/>
    </row>
    <row r="129" spans="1:28" x14ac:dyDescent="0.3">
      <c r="A129" s="4">
        <f>A112+A127</f>
        <v>4249386.2842691662</v>
      </c>
      <c r="B129" s="4">
        <f>B112+B127</f>
        <v>4665420.8943893788</v>
      </c>
      <c r="C129" s="4">
        <f t="shared" ref="C129:L129" si="80">C112+C127</f>
        <v>4983073.5618336061</v>
      </c>
      <c r="D129" s="4">
        <f t="shared" si="80"/>
        <v>5181042.4647165798</v>
      </c>
      <c r="E129" s="4">
        <f t="shared" si="80"/>
        <v>4709252.2475936068</v>
      </c>
      <c r="F129" s="4">
        <f t="shared" si="80"/>
        <v>4792730.5375136063</v>
      </c>
      <c r="G129" s="4">
        <f>G112+G127</f>
        <v>4564418.6946365805</v>
      </c>
      <c r="H129" s="4" t="e">
        <f t="shared" si="80"/>
        <v>#REF!</v>
      </c>
      <c r="I129" s="4">
        <f t="shared" si="80"/>
        <v>4489942.3442381388</v>
      </c>
      <c r="J129" s="4">
        <f t="shared" si="80"/>
        <v>4516859.1551165795</v>
      </c>
      <c r="K129" s="4">
        <f t="shared" si="80"/>
        <v>4535692.4296155293</v>
      </c>
      <c r="L129" s="4">
        <f t="shared" si="80"/>
        <v>4661484.7546317466</v>
      </c>
      <c r="M129" s="13" t="s">
        <v>186</v>
      </c>
      <c r="N129" s="4" t="e">
        <f t="shared" ref="N129" si="81">N112+N127</f>
        <v>#REF!</v>
      </c>
      <c r="O129" s="4">
        <f>O112+O127</f>
        <v>9197177.1842472758</v>
      </c>
      <c r="P129" s="4" t="e">
        <f>P112+P127</f>
        <v>#REF!</v>
      </c>
      <c r="Q129" s="4">
        <f>Q112+Q127</f>
        <v>57335385.390751533</v>
      </c>
      <c r="R129" s="4" t="e">
        <f>R112+R127</f>
        <v>#REF!</v>
      </c>
      <c r="S129" s="4">
        <f>S112+S127</f>
        <v>6868992.6052114116</v>
      </c>
      <c r="T129" s="4">
        <f>CEO!T129+CS!T129+CFO!T129+LLA!T129+'C&amp;E'!T129+CES!T129+LLT!T129+GB!T129</f>
        <v>-0.39194171888175333</v>
      </c>
      <c r="U129" s="4">
        <f>S129+Q129+T129</f>
        <v>64204377.604021229</v>
      </c>
      <c r="V129" s="4" t="e">
        <f t="shared" si="46"/>
        <v>#REF!</v>
      </c>
      <c r="W129" s="4"/>
      <c r="X129" s="4">
        <f>CEO!Q129+CS!Q129+CFO!Q129+LLA!Q129+'C&amp;E'!Q129+CES!Q129+LLT!Q129+GB!Q129</f>
        <v>57335385.390751533</v>
      </c>
      <c r="Y129" s="4">
        <f t="shared" si="50"/>
        <v>0</v>
      </c>
      <c r="Z129" s="4">
        <f>Z112+Z127</f>
        <v>57302748.501345932</v>
      </c>
      <c r="AA129" s="4" t="e">
        <f>AA112+AA127</f>
        <v>#REF!</v>
      </c>
      <c r="AB129" s="4" t="e">
        <f>AB112+AB127</f>
        <v>#REF!</v>
      </c>
    </row>
    <row r="130" spans="1:28" ht="5.4" customHeight="1" x14ac:dyDescent="0.3">
      <c r="A130" s="381"/>
      <c r="B130" s="381"/>
      <c r="C130" s="381"/>
      <c r="D130" s="381"/>
      <c r="E130" s="381"/>
      <c r="F130" s="381"/>
      <c r="G130" s="381"/>
      <c r="H130" s="381"/>
      <c r="I130" s="381"/>
      <c r="J130" s="381"/>
      <c r="K130" s="381"/>
      <c r="L130" s="381"/>
      <c r="M130" s="122"/>
      <c r="N130" s="81">
        <f t="shared" si="48"/>
        <v>0</v>
      </c>
      <c r="O130" s="81">
        <f t="shared" si="44"/>
        <v>0</v>
      </c>
      <c r="P130" s="81">
        <f t="shared" si="45"/>
        <v>0</v>
      </c>
      <c r="Q130" s="81"/>
      <c r="R130" s="81">
        <f t="shared" si="65"/>
        <v>0</v>
      </c>
      <c r="S130" s="81">
        <f>CEO!S130+CS!S130+CFO!S130+LLA!S130+'C&amp;E'!S130+CES!S130+LLT!S130+GB!S130</f>
        <v>0</v>
      </c>
      <c r="T130" s="81">
        <f>CEO!T130+CS!T130+CFO!T130+LLA!T130+'C&amp;E'!T130+CES!T130+LLT!T130+GB!T130</f>
        <v>0</v>
      </c>
      <c r="U130" s="81">
        <f t="shared" ref="U130" si="82">Q130+T130</f>
        <v>0</v>
      </c>
      <c r="V130" s="81">
        <f t="shared" si="46"/>
        <v>0</v>
      </c>
      <c r="W130" s="81"/>
      <c r="X130" s="81">
        <f>CEO!Q130+CS!Q130+CFO!Q130+LLA!Q130+'C&amp;E'!Q130+CES!Q130+LLT!Q130+GB!Q130</f>
        <v>0</v>
      </c>
      <c r="Y130" s="81">
        <f t="shared" si="50"/>
        <v>0</v>
      </c>
      <c r="Z130" s="81"/>
      <c r="AA130" s="81"/>
      <c r="AB130" s="81"/>
    </row>
    <row r="131" spans="1:28" x14ac:dyDescent="0.3">
      <c r="A131" s="8">
        <f>0*(110/100)</f>
        <v>0</v>
      </c>
      <c r="B131" s="8">
        <f>315000*(110/100)</f>
        <v>346500</v>
      </c>
      <c r="C131" s="8">
        <f>20000*(110/100)</f>
        <v>22000</v>
      </c>
      <c r="D131" s="8">
        <f>0*(110/100)</f>
        <v>0</v>
      </c>
      <c r="E131" s="8">
        <f>104000*(110/100)</f>
        <v>114400.00000000001</v>
      </c>
      <c r="F131" s="8">
        <f>-17000*(110/100)</f>
        <v>-18700</v>
      </c>
      <c r="G131" s="8">
        <f>182500*(110/100)</f>
        <v>200750.00000000003</v>
      </c>
      <c r="H131" s="8">
        <f>103000*(110/100)</f>
        <v>113300.00000000001</v>
      </c>
      <c r="I131" s="8">
        <f>91000*(110/100)</f>
        <v>100100.00000000001</v>
      </c>
      <c r="J131" s="8">
        <f>42000*(110/100)</f>
        <v>46200.000000000007</v>
      </c>
      <c r="K131" s="8">
        <f>91000*(110/100)</f>
        <v>100100.00000000001</v>
      </c>
      <c r="L131" s="8">
        <f>91000*(110/100)</f>
        <v>100100.00000000001</v>
      </c>
      <c r="M131" s="127" t="s">
        <v>187</v>
      </c>
      <c r="N131" s="8">
        <f t="shared" si="48"/>
        <v>924550</v>
      </c>
      <c r="O131" s="8">
        <f t="shared" si="44"/>
        <v>200200.00000000003</v>
      </c>
      <c r="P131" s="8">
        <f t="shared" si="45"/>
        <v>1124750</v>
      </c>
      <c r="Q131" s="8">
        <v>1124750</v>
      </c>
      <c r="R131" s="8">
        <f t="shared" ref="R131:R160" si="83">Q131-P131</f>
        <v>0</v>
      </c>
      <c r="S131" s="8"/>
      <c r="T131" s="8">
        <f>CEO!T131+CS!T131+CFO!T131+LLA!T131+'C&amp;E'!T131+CES!T131+LLT!T131+GB!T131</f>
        <v>91071</v>
      </c>
      <c r="U131" s="7">
        <f t="shared" ref="U131:U171" si="84">S131+Q131+T131</f>
        <v>1215821</v>
      </c>
      <c r="V131" s="8">
        <f t="shared" si="46"/>
        <v>91071</v>
      </c>
      <c r="W131" s="8"/>
      <c r="X131" s="8"/>
      <c r="Y131" s="8"/>
      <c r="Z131" s="8">
        <f t="shared" ref="Z131:Z160" si="85">Q131</f>
        <v>1124750</v>
      </c>
      <c r="AA131" s="8">
        <f>Z131*1.1</f>
        <v>1237225</v>
      </c>
      <c r="AB131" s="8">
        <f t="shared" ref="AB131:AB160" si="86">AA131*1.1</f>
        <v>1360947.5</v>
      </c>
    </row>
    <row r="132" spans="1:28" x14ac:dyDescent="0.3">
      <c r="A132" s="7">
        <f>124260*(110/100)</f>
        <v>136686</v>
      </c>
      <c r="B132" s="7">
        <f>13080*(110/100)</f>
        <v>14388.000000000002</v>
      </c>
      <c r="C132" s="7">
        <f>0*(110/100)</f>
        <v>0</v>
      </c>
      <c r="D132" s="7">
        <f>0*(110/100)</f>
        <v>0</v>
      </c>
      <c r="E132" s="7">
        <f>15260*(110/100)</f>
        <v>16786</v>
      </c>
      <c r="F132" s="7">
        <f>7500*(110/100)</f>
        <v>8250</v>
      </c>
      <c r="G132" s="7">
        <f>6540*(110/100)</f>
        <v>7194.0000000000009</v>
      </c>
      <c r="H132" s="7">
        <f>6540*(110/100)</f>
        <v>7194.0000000000009</v>
      </c>
      <c r="I132" s="7">
        <f>0*(110/100)</f>
        <v>0</v>
      </c>
      <c r="J132" s="7">
        <f>373962.5*(110/100)</f>
        <v>411358.75000000006</v>
      </c>
      <c r="K132" s="7">
        <f>500000*(110/100)</f>
        <v>550000</v>
      </c>
      <c r="L132" s="7">
        <f>500000*(110/100)</f>
        <v>550000</v>
      </c>
      <c r="M132" s="13" t="s">
        <v>188</v>
      </c>
      <c r="N132" s="7">
        <f t="shared" si="48"/>
        <v>601856.75</v>
      </c>
      <c r="O132" s="7">
        <f t="shared" si="44"/>
        <v>1100000</v>
      </c>
      <c r="P132" s="7">
        <f t="shared" si="45"/>
        <v>1701856.75</v>
      </c>
      <c r="Q132" s="7">
        <v>1701856.75</v>
      </c>
      <c r="R132" s="7">
        <f t="shared" si="83"/>
        <v>0</v>
      </c>
      <c r="S132" s="7"/>
      <c r="T132" s="7">
        <f>CEO!T132+CS!T132+CFO!T132+LLA!T132+'C&amp;E'!T132+CES!T132+LLT!T132+GB!T132</f>
        <v>0</v>
      </c>
      <c r="U132" s="7">
        <f t="shared" si="84"/>
        <v>1701856.75</v>
      </c>
      <c r="V132" s="7">
        <f t="shared" si="46"/>
        <v>0</v>
      </c>
      <c r="W132" s="7"/>
      <c r="X132" s="7"/>
      <c r="Y132" s="7"/>
      <c r="Z132" s="7">
        <f t="shared" si="85"/>
        <v>1701856.75</v>
      </c>
      <c r="AA132" s="7">
        <f t="shared" ref="AA132:AA160" si="87">Z132*1.1</f>
        <v>1872042.425</v>
      </c>
      <c r="AB132" s="7">
        <f t="shared" si="86"/>
        <v>2059246.6675000002</v>
      </c>
    </row>
    <row r="133" spans="1:28" x14ac:dyDescent="0.3">
      <c r="A133" s="7">
        <f>2730*(110/100)</f>
        <v>3003.0000000000005</v>
      </c>
      <c r="B133" s="7">
        <f>0*(110/100)</f>
        <v>0</v>
      </c>
      <c r="C133" s="7">
        <f>0*(110/100)</f>
        <v>0</v>
      </c>
      <c r="D133" s="7">
        <f>0*(110/100)</f>
        <v>0</v>
      </c>
      <c r="E133" s="7">
        <f>2180*(110/100)</f>
        <v>2398</v>
      </c>
      <c r="F133" s="7">
        <f>0*(110/100)</f>
        <v>0</v>
      </c>
      <c r="G133" s="7">
        <f>3545*(110/100)</f>
        <v>3899.5000000000005</v>
      </c>
      <c r="H133" s="7">
        <f>0*(110/100)</f>
        <v>0</v>
      </c>
      <c r="I133" s="7">
        <f>2180*(110/100)</f>
        <v>2398</v>
      </c>
      <c r="J133" s="7">
        <f>0*(110/100)</f>
        <v>0</v>
      </c>
      <c r="K133" s="7">
        <f>2180*(110/100)</f>
        <v>2398</v>
      </c>
      <c r="L133" s="7">
        <f>2180*(110/100)</f>
        <v>2398</v>
      </c>
      <c r="M133" s="13" t="s">
        <v>189</v>
      </c>
      <c r="N133" s="7">
        <f t="shared" si="48"/>
        <v>11698.5</v>
      </c>
      <c r="O133" s="7">
        <f t="shared" si="44"/>
        <v>4796</v>
      </c>
      <c r="P133" s="7">
        <f t="shared" si="45"/>
        <v>16494.5</v>
      </c>
      <c r="Q133" s="7">
        <v>16494.5</v>
      </c>
      <c r="R133" s="7">
        <f t="shared" si="83"/>
        <v>0</v>
      </c>
      <c r="S133" s="7"/>
      <c r="T133" s="7">
        <f>CEO!T133+CS!T133+CFO!T133+LLA!T133+'C&amp;E'!T133+CES!T133+LLT!T133+GB!T133</f>
        <v>0</v>
      </c>
      <c r="U133" s="7">
        <f t="shared" si="84"/>
        <v>16494.5</v>
      </c>
      <c r="V133" s="7">
        <f t="shared" si="46"/>
        <v>0</v>
      </c>
      <c r="W133" s="7"/>
      <c r="X133" s="7"/>
      <c r="Y133" s="7"/>
      <c r="Z133" s="7">
        <f t="shared" si="85"/>
        <v>16494.5</v>
      </c>
      <c r="AA133" s="7">
        <f t="shared" si="87"/>
        <v>18143.95</v>
      </c>
      <c r="AB133" s="7">
        <f t="shared" si="86"/>
        <v>19958.345000000001</v>
      </c>
    </row>
    <row r="134" spans="1:28" x14ac:dyDescent="0.3">
      <c r="A134" s="7">
        <f>96250*(110/100)</f>
        <v>105875.00000000001</v>
      </c>
      <c r="B134" s="7">
        <f>152845*(110/100)</f>
        <v>168129.5</v>
      </c>
      <c r="C134" s="7">
        <f>35035*(110/100)</f>
        <v>38538.5</v>
      </c>
      <c r="D134" s="7">
        <f>42735*(110/100)</f>
        <v>47008.500000000007</v>
      </c>
      <c r="E134" s="7">
        <f>122815*(110/100)</f>
        <v>135096.5</v>
      </c>
      <c r="F134" s="7">
        <f>190575*(110/100)</f>
        <v>209632.50000000003</v>
      </c>
      <c r="G134" s="7">
        <f>116270*(110/100)</f>
        <v>127897.00000000001</v>
      </c>
      <c r="H134" s="7">
        <f>199815*(110/100)</f>
        <v>219796.50000000003</v>
      </c>
      <c r="I134" s="7">
        <f>116090*(110/100)</f>
        <v>127699.00000000001</v>
      </c>
      <c r="J134" s="7">
        <f>95175*(110/100)</f>
        <v>104692.50000000001</v>
      </c>
      <c r="K134" s="7">
        <f>116090*(110/100)</f>
        <v>127699.00000000001</v>
      </c>
      <c r="L134" s="7">
        <f>116090*(110/100)</f>
        <v>127699.00000000001</v>
      </c>
      <c r="M134" s="127" t="s">
        <v>190</v>
      </c>
      <c r="N134" s="7">
        <f t="shared" si="48"/>
        <v>1284365.5</v>
      </c>
      <c r="O134" s="7">
        <f t="shared" si="44"/>
        <v>255398.00000000003</v>
      </c>
      <c r="P134" s="7">
        <f t="shared" si="45"/>
        <v>1539763.5</v>
      </c>
      <c r="Q134" s="7">
        <v>1539763.5</v>
      </c>
      <c r="R134" s="7">
        <f t="shared" si="83"/>
        <v>0</v>
      </c>
      <c r="S134" s="7"/>
      <c r="T134" s="7">
        <f>CEO!T134+CS!T134+CFO!T134+LLA!T134+'C&amp;E'!T134+CES!T134+LLT!T134+GB!T134</f>
        <v>0</v>
      </c>
      <c r="U134" s="7">
        <f t="shared" si="84"/>
        <v>1539763.5</v>
      </c>
      <c r="V134" s="7">
        <f t="shared" si="46"/>
        <v>0</v>
      </c>
      <c r="W134" s="7"/>
      <c r="X134" s="7"/>
      <c r="Y134" s="7"/>
      <c r="Z134" s="7">
        <f t="shared" si="85"/>
        <v>1539763.5</v>
      </c>
      <c r="AA134" s="7">
        <f t="shared" si="87"/>
        <v>1693739.85</v>
      </c>
      <c r="AB134" s="7">
        <f t="shared" si="86"/>
        <v>1863113.8350000002</v>
      </c>
    </row>
    <row r="135" spans="1:28" x14ac:dyDescent="0.3">
      <c r="A135" s="7">
        <f t="shared" ref="A135:L135" si="88">0*(110/100)</f>
        <v>0</v>
      </c>
      <c r="B135" s="7">
        <f t="shared" si="88"/>
        <v>0</v>
      </c>
      <c r="C135" s="7">
        <f t="shared" si="88"/>
        <v>0</v>
      </c>
      <c r="D135" s="7">
        <f t="shared" si="88"/>
        <v>0</v>
      </c>
      <c r="E135" s="7">
        <f t="shared" si="88"/>
        <v>0</v>
      </c>
      <c r="F135" s="7">
        <f t="shared" si="88"/>
        <v>0</v>
      </c>
      <c r="G135" s="7">
        <f t="shared" si="88"/>
        <v>0</v>
      </c>
      <c r="H135" s="7">
        <f t="shared" si="88"/>
        <v>0</v>
      </c>
      <c r="I135" s="7">
        <f t="shared" si="88"/>
        <v>0</v>
      </c>
      <c r="J135" s="7">
        <f t="shared" si="88"/>
        <v>0</v>
      </c>
      <c r="K135" s="7">
        <f t="shared" si="88"/>
        <v>0</v>
      </c>
      <c r="L135" s="7">
        <f t="shared" si="88"/>
        <v>0</v>
      </c>
      <c r="M135" s="13" t="s">
        <v>191</v>
      </c>
      <c r="N135" s="7">
        <f t="shared" si="48"/>
        <v>0</v>
      </c>
      <c r="O135" s="7">
        <f t="shared" si="44"/>
        <v>0</v>
      </c>
      <c r="P135" s="7">
        <f t="shared" si="45"/>
        <v>0</v>
      </c>
      <c r="Q135" s="7">
        <v>0</v>
      </c>
      <c r="R135" s="7">
        <f t="shared" si="83"/>
        <v>0</v>
      </c>
      <c r="S135" s="7"/>
      <c r="T135" s="7">
        <f>CEO!T135+CS!T135+CFO!T135+LLA!T135+'C&amp;E'!T135+CES!T135+LLT!T135+GB!T135</f>
        <v>0</v>
      </c>
      <c r="U135" s="7">
        <f t="shared" si="84"/>
        <v>0</v>
      </c>
      <c r="V135" s="7">
        <f t="shared" si="46"/>
        <v>0</v>
      </c>
      <c r="W135" s="7"/>
      <c r="X135" s="7"/>
      <c r="Y135" s="7"/>
      <c r="Z135" s="7">
        <f t="shared" si="85"/>
        <v>0</v>
      </c>
      <c r="AA135" s="7">
        <f t="shared" si="87"/>
        <v>0</v>
      </c>
      <c r="AB135" s="7">
        <f t="shared" si="86"/>
        <v>0</v>
      </c>
    </row>
    <row r="136" spans="1:28" x14ac:dyDescent="0.3">
      <c r="A136" s="7">
        <f>1330*(110/100)</f>
        <v>1463.0000000000002</v>
      </c>
      <c r="B136" s="7">
        <f>4190*(110/100)</f>
        <v>4609</v>
      </c>
      <c r="C136" s="7">
        <f>3565.8*(110/100)</f>
        <v>3922.3800000000006</v>
      </c>
      <c r="D136" s="7">
        <f>5060*(110/100)</f>
        <v>5566</v>
      </c>
      <c r="E136" s="7">
        <f>4840*(110/100)</f>
        <v>5324</v>
      </c>
      <c r="F136" s="7">
        <f>3190*(110/100)</f>
        <v>3509.0000000000005</v>
      </c>
      <c r="G136" s="7">
        <f>3850*(110/100)</f>
        <v>4235</v>
      </c>
      <c r="H136" s="7">
        <f>3300*(110/100)</f>
        <v>3630.0000000000005</v>
      </c>
      <c r="I136" s="7">
        <f>1940*(110/100)</f>
        <v>2134</v>
      </c>
      <c r="J136" s="7">
        <f>1140*(110/100)</f>
        <v>1254</v>
      </c>
      <c r="K136" s="7">
        <f>1940*(110/100)</f>
        <v>2134</v>
      </c>
      <c r="L136" s="7">
        <f>1940*(110/100)</f>
        <v>2134</v>
      </c>
      <c r="M136" s="13" t="s">
        <v>192</v>
      </c>
      <c r="N136" s="7">
        <f t="shared" ref="N136:N160" si="89">SUM(A136:J136)</f>
        <v>35646.380000000005</v>
      </c>
      <c r="O136" s="7">
        <f t="shared" ref="O136:O171" si="90">SUM(K136:L136)</f>
        <v>4268</v>
      </c>
      <c r="P136" s="7">
        <f t="shared" ref="P136:P171" si="91">SUM(N136:O136)</f>
        <v>39914.380000000005</v>
      </c>
      <c r="Q136" s="7">
        <v>39914.380000000005</v>
      </c>
      <c r="R136" s="7">
        <f t="shared" si="83"/>
        <v>0</v>
      </c>
      <c r="S136" s="7"/>
      <c r="T136" s="7">
        <f>CEO!T136+CS!T136+CFO!T136+LLA!T136+'C&amp;E'!T136+CES!T136+LLT!T136+GB!T136</f>
        <v>0</v>
      </c>
      <c r="U136" s="7">
        <f t="shared" si="84"/>
        <v>39914.380000000005</v>
      </c>
      <c r="V136" s="7">
        <f t="shared" ref="V136:V172" si="92">U136-P136</f>
        <v>0</v>
      </c>
      <c r="W136" s="7"/>
      <c r="X136" s="7"/>
      <c r="Y136" s="7"/>
      <c r="Z136" s="7">
        <f t="shared" si="85"/>
        <v>39914.380000000005</v>
      </c>
      <c r="AA136" s="7">
        <f t="shared" si="87"/>
        <v>43905.818000000007</v>
      </c>
      <c r="AB136" s="7">
        <f t="shared" si="86"/>
        <v>48296.399800000014</v>
      </c>
    </row>
    <row r="137" spans="1:28" x14ac:dyDescent="0.3">
      <c r="A137" s="7">
        <f>68200*(110/100)</f>
        <v>75020</v>
      </c>
      <c r="B137" s="7">
        <f>109935*(110/100)</f>
        <v>120928.50000000001</v>
      </c>
      <c r="C137" s="7">
        <f>101215*(110/100)</f>
        <v>111336.50000000001</v>
      </c>
      <c r="D137" s="7">
        <f>109935*(110/100)</f>
        <v>120928.50000000001</v>
      </c>
      <c r="E137" s="7">
        <f>133985*(110/100)</f>
        <v>147383.5</v>
      </c>
      <c r="F137" s="7">
        <f>108570*(110/100)</f>
        <v>119427.00000000001</v>
      </c>
      <c r="G137" s="7">
        <f>75035*(110/100)</f>
        <v>82538.5</v>
      </c>
      <c r="H137" s="7">
        <f>85595*(110/100)</f>
        <v>94154.500000000015</v>
      </c>
      <c r="I137" s="7">
        <f>30925*(110/100)</f>
        <v>34017.5</v>
      </c>
      <c r="J137" s="7">
        <f>75055*(110/100)</f>
        <v>82560.5</v>
      </c>
      <c r="K137" s="7">
        <f>30925*(110/100)</f>
        <v>34017.5</v>
      </c>
      <c r="L137" s="7">
        <f>30925*(110/100)</f>
        <v>34017.5</v>
      </c>
      <c r="M137" s="127" t="s">
        <v>193</v>
      </c>
      <c r="N137" s="7">
        <f t="shared" si="89"/>
        <v>988295</v>
      </c>
      <c r="O137" s="7">
        <f t="shared" si="90"/>
        <v>68035</v>
      </c>
      <c r="P137" s="7">
        <f t="shared" si="91"/>
        <v>1056330</v>
      </c>
      <c r="Q137" s="7">
        <v>1056330</v>
      </c>
      <c r="R137" s="7">
        <f t="shared" si="83"/>
        <v>0</v>
      </c>
      <c r="S137" s="7"/>
      <c r="T137" s="7">
        <f>CEO!T137+CS!T137+CFO!T137+LLA!T137+'C&amp;E'!T137+CES!T137+LLT!T137+GB!T137</f>
        <v>0</v>
      </c>
      <c r="U137" s="7">
        <f t="shared" si="84"/>
        <v>1056330</v>
      </c>
      <c r="V137" s="7">
        <f t="shared" si="92"/>
        <v>0</v>
      </c>
      <c r="W137" s="7"/>
      <c r="X137" s="7"/>
      <c r="Y137" s="7"/>
      <c r="Z137" s="7">
        <f t="shared" si="85"/>
        <v>1056330</v>
      </c>
      <c r="AA137" s="7">
        <f t="shared" si="87"/>
        <v>1161963</v>
      </c>
      <c r="AB137" s="7">
        <f t="shared" si="86"/>
        <v>1278159.3</v>
      </c>
    </row>
    <row r="138" spans="1:28" x14ac:dyDescent="0.3">
      <c r="A138" s="7">
        <f>2130*(110/100)</f>
        <v>2343</v>
      </c>
      <c r="B138" s="7">
        <f t="shared" ref="B138:L138" si="93">0*(110/100)</f>
        <v>0</v>
      </c>
      <c r="C138" s="7">
        <f t="shared" si="93"/>
        <v>0</v>
      </c>
      <c r="D138" s="7">
        <f t="shared" si="93"/>
        <v>0</v>
      </c>
      <c r="E138" s="7">
        <f t="shared" si="93"/>
        <v>0</v>
      </c>
      <c r="F138" s="7">
        <f t="shared" si="93"/>
        <v>0</v>
      </c>
      <c r="G138" s="7">
        <f t="shared" si="93"/>
        <v>0</v>
      </c>
      <c r="H138" s="7">
        <f t="shared" si="93"/>
        <v>0</v>
      </c>
      <c r="I138" s="7">
        <f t="shared" si="93"/>
        <v>0</v>
      </c>
      <c r="J138" s="7">
        <f t="shared" si="93"/>
        <v>0</v>
      </c>
      <c r="K138" s="7">
        <f t="shared" si="93"/>
        <v>0</v>
      </c>
      <c r="L138" s="7">
        <f t="shared" si="93"/>
        <v>0</v>
      </c>
      <c r="M138" s="13" t="s">
        <v>194</v>
      </c>
      <c r="N138" s="7">
        <f t="shared" si="89"/>
        <v>2343</v>
      </c>
      <c r="O138" s="7">
        <f t="shared" si="90"/>
        <v>0</v>
      </c>
      <c r="P138" s="7">
        <f t="shared" si="91"/>
        <v>2343</v>
      </c>
      <c r="Q138" s="7">
        <v>2343</v>
      </c>
      <c r="R138" s="7">
        <f t="shared" si="83"/>
        <v>0</v>
      </c>
      <c r="S138" s="7"/>
      <c r="T138" s="7">
        <f>CEO!T138+CS!T138+CFO!T138+LLA!T138+'C&amp;E'!T138+CES!T138+LLT!T138+GB!T138</f>
        <v>0</v>
      </c>
      <c r="U138" s="7">
        <f t="shared" si="84"/>
        <v>2343</v>
      </c>
      <c r="V138" s="7">
        <f t="shared" si="92"/>
        <v>0</v>
      </c>
      <c r="W138" s="7"/>
      <c r="X138" s="7"/>
      <c r="Y138" s="7"/>
      <c r="Z138" s="7">
        <f t="shared" si="85"/>
        <v>2343</v>
      </c>
      <c r="AA138" s="7">
        <f t="shared" si="87"/>
        <v>2577.3000000000002</v>
      </c>
      <c r="AB138" s="7">
        <f t="shared" si="86"/>
        <v>2835.0300000000007</v>
      </c>
    </row>
    <row r="139" spans="1:28" x14ac:dyDescent="0.3">
      <c r="A139" s="7">
        <f>1365*(110/100)</f>
        <v>1501.5000000000002</v>
      </c>
      <c r="B139" s="7">
        <f>3550*(110/100)</f>
        <v>3905.0000000000005</v>
      </c>
      <c r="C139" s="7">
        <f>4910*(110/100)</f>
        <v>5401</v>
      </c>
      <c r="D139" s="7">
        <f>60*(110/100)</f>
        <v>66</v>
      </c>
      <c r="E139" s="7">
        <f>2130*(110/100)</f>
        <v>2343</v>
      </c>
      <c r="F139" s="7">
        <f>1155*(110/100)</f>
        <v>1270.5</v>
      </c>
      <c r="G139" s="7">
        <f>710*(110/100)</f>
        <v>781.00000000000011</v>
      </c>
      <c r="H139" s="7">
        <f>2840*(110/100)</f>
        <v>3124.0000000000005</v>
      </c>
      <c r="I139" s="7">
        <f>2210*(110/100)</f>
        <v>2431</v>
      </c>
      <c r="J139" s="7">
        <f>3715*(110/100)</f>
        <v>4086.5000000000005</v>
      </c>
      <c r="K139" s="7">
        <f>2210*(110/100)</f>
        <v>2431</v>
      </c>
      <c r="L139" s="7">
        <f>2210*(110/100)</f>
        <v>2431</v>
      </c>
      <c r="M139" s="13" t="s">
        <v>195</v>
      </c>
      <c r="N139" s="7">
        <f t="shared" si="89"/>
        <v>24909.5</v>
      </c>
      <c r="O139" s="7">
        <f t="shared" si="90"/>
        <v>4862</v>
      </c>
      <c r="P139" s="7">
        <f t="shared" si="91"/>
        <v>29771.5</v>
      </c>
      <c r="Q139" s="7">
        <v>29771.5</v>
      </c>
      <c r="R139" s="7">
        <f t="shared" si="83"/>
        <v>0</v>
      </c>
      <c r="S139" s="7"/>
      <c r="T139" s="7">
        <f>CEO!T139+CS!T139+CFO!T139+LLA!T139+'C&amp;E'!T139+CES!T139+LLT!T139+GB!T139</f>
        <v>0</v>
      </c>
      <c r="U139" s="7">
        <f t="shared" si="84"/>
        <v>29771.5</v>
      </c>
      <c r="V139" s="7">
        <f t="shared" si="92"/>
        <v>0</v>
      </c>
      <c r="W139" s="7"/>
      <c r="X139" s="7"/>
      <c r="Y139" s="7"/>
      <c r="Z139" s="7">
        <f t="shared" si="85"/>
        <v>29771.5</v>
      </c>
      <c r="AA139" s="7">
        <f t="shared" si="87"/>
        <v>32748.65</v>
      </c>
      <c r="AB139" s="7">
        <f t="shared" si="86"/>
        <v>36023.515000000007</v>
      </c>
    </row>
    <row r="140" spans="1:28" x14ac:dyDescent="0.3">
      <c r="A140" s="7">
        <f>10430*(110/100)</f>
        <v>11473.000000000002</v>
      </c>
      <c r="B140" s="7">
        <f>4095*(110/100)</f>
        <v>4504.5</v>
      </c>
      <c r="C140" s="7">
        <f>1365*(110/100)</f>
        <v>1501.5000000000002</v>
      </c>
      <c r="D140" s="7">
        <f>0*(110/100)</f>
        <v>0</v>
      </c>
      <c r="E140" s="7">
        <f>6825*(110/100)</f>
        <v>7507.5000000000009</v>
      </c>
      <c r="F140" s="7">
        <f>1365*(110/100)</f>
        <v>1501.5000000000002</v>
      </c>
      <c r="G140" s="7">
        <f>7825*(110/100)</f>
        <v>8607.5</v>
      </c>
      <c r="H140" s="7">
        <f>1000*(110/100)</f>
        <v>1100</v>
      </c>
      <c r="I140" s="7">
        <f>5530*(110/100)</f>
        <v>6083.0000000000009</v>
      </c>
      <c r="J140" s="7">
        <f>2730*(110/100)</f>
        <v>3003.0000000000005</v>
      </c>
      <c r="K140" s="7">
        <f>5530*(110/100)</f>
        <v>6083.0000000000009</v>
      </c>
      <c r="L140" s="7">
        <f>5530*(110/100)</f>
        <v>6083.0000000000009</v>
      </c>
      <c r="M140" s="127" t="s">
        <v>196</v>
      </c>
      <c r="N140" s="7">
        <f t="shared" si="89"/>
        <v>45281.5</v>
      </c>
      <c r="O140" s="7">
        <f t="shared" si="90"/>
        <v>12166.000000000002</v>
      </c>
      <c r="P140" s="7">
        <f t="shared" si="91"/>
        <v>57447.5</v>
      </c>
      <c r="Q140" s="7">
        <v>57447.5</v>
      </c>
      <c r="R140" s="7">
        <f t="shared" si="83"/>
        <v>0</v>
      </c>
      <c r="S140" s="7"/>
      <c r="T140" s="7">
        <f>CEO!T140+CS!T140+CFO!T140+LLA!T140+'C&amp;E'!T140+CES!T140+LLT!T140+GB!T140</f>
        <v>0</v>
      </c>
      <c r="U140" s="7">
        <f t="shared" si="84"/>
        <v>57447.5</v>
      </c>
      <c r="V140" s="7">
        <f t="shared" si="92"/>
        <v>0</v>
      </c>
      <c r="W140" s="7"/>
      <c r="X140" s="7"/>
      <c r="Y140" s="7"/>
      <c r="Z140" s="7">
        <f t="shared" si="85"/>
        <v>57447.5</v>
      </c>
      <c r="AA140" s="7">
        <f t="shared" si="87"/>
        <v>63192.250000000007</v>
      </c>
      <c r="AB140" s="7">
        <f t="shared" si="86"/>
        <v>69511.47500000002</v>
      </c>
    </row>
    <row r="141" spans="1:28" x14ac:dyDescent="0.3">
      <c r="A141" s="7">
        <f>14260*(110/100)</f>
        <v>15686.000000000002</v>
      </c>
      <c r="B141" s="7">
        <f>16940*(110/100)</f>
        <v>18634</v>
      </c>
      <c r="C141" s="7">
        <f>18095*(110/100)</f>
        <v>19904.5</v>
      </c>
      <c r="D141" s="7">
        <f>13475*(110/100)</f>
        <v>14822.500000000002</v>
      </c>
      <c r="E141" s="7">
        <f>20020*(110/100)</f>
        <v>22022</v>
      </c>
      <c r="F141" s="7">
        <f>15680*(110/100)</f>
        <v>17248</v>
      </c>
      <c r="G141" s="7">
        <f>13475*(110/100)</f>
        <v>14822.500000000002</v>
      </c>
      <c r="H141" s="7">
        <f>17325*(110/100)</f>
        <v>19057.5</v>
      </c>
      <c r="I141" s="7">
        <f>14560*(110/100)</f>
        <v>16016.000000000002</v>
      </c>
      <c r="J141" s="7">
        <f>8850*(110/100)</f>
        <v>9735</v>
      </c>
      <c r="K141" s="7">
        <f>14560*(110/100)</f>
        <v>16016.000000000002</v>
      </c>
      <c r="L141" s="7">
        <f>14560*(110/100)</f>
        <v>16016.000000000002</v>
      </c>
      <c r="M141" s="13" t="s">
        <v>197</v>
      </c>
      <c r="N141" s="7">
        <f t="shared" si="89"/>
        <v>167948</v>
      </c>
      <c r="O141" s="7">
        <f t="shared" si="90"/>
        <v>32032.000000000004</v>
      </c>
      <c r="P141" s="7">
        <f t="shared" si="91"/>
        <v>199980</v>
      </c>
      <c r="Q141" s="7">
        <v>199980</v>
      </c>
      <c r="R141" s="7">
        <f t="shared" si="83"/>
        <v>0</v>
      </c>
      <c r="S141" s="7"/>
      <c r="T141" s="7">
        <f>CEO!T141+CS!T141+CFO!T141+LLA!T141+'C&amp;E'!T141+CES!T141+LLT!T141+GB!T141</f>
        <v>0</v>
      </c>
      <c r="U141" s="7">
        <f t="shared" si="84"/>
        <v>199980</v>
      </c>
      <c r="V141" s="7">
        <f t="shared" si="92"/>
        <v>0</v>
      </c>
      <c r="W141" s="7"/>
      <c r="X141" s="7"/>
      <c r="Y141" s="7"/>
      <c r="Z141" s="7">
        <f t="shared" si="85"/>
        <v>199980</v>
      </c>
      <c r="AA141" s="7">
        <f t="shared" si="87"/>
        <v>219978.00000000003</v>
      </c>
      <c r="AB141" s="7">
        <f t="shared" si="86"/>
        <v>241975.80000000005</v>
      </c>
    </row>
    <row r="142" spans="1:28" x14ac:dyDescent="0.3">
      <c r="A142" s="7">
        <f>1850*(110/100)</f>
        <v>2035.0000000000002</v>
      </c>
      <c r="B142" s="7">
        <f>13490*(110/100)</f>
        <v>14839.000000000002</v>
      </c>
      <c r="C142" s="7">
        <f>16330*(110/100)</f>
        <v>17963</v>
      </c>
      <c r="D142" s="7">
        <f>17040*(110/100)</f>
        <v>18744</v>
      </c>
      <c r="E142" s="7">
        <f>29110*(110/100)</f>
        <v>32021.000000000004</v>
      </c>
      <c r="F142" s="7">
        <f>27690*(110/100)</f>
        <v>30459.000000000004</v>
      </c>
      <c r="G142" s="7">
        <f>23430*(110/100)</f>
        <v>25773.000000000004</v>
      </c>
      <c r="H142" s="7">
        <f>18460*(110/100)</f>
        <v>20306</v>
      </c>
      <c r="I142" s="7">
        <f>13500*(110/100)</f>
        <v>14850.000000000002</v>
      </c>
      <c r="J142" s="7">
        <f>8250*(110/100)</f>
        <v>9075</v>
      </c>
      <c r="K142" s="7">
        <f>13500*(110/100)</f>
        <v>14850.000000000002</v>
      </c>
      <c r="L142" s="7">
        <f>13500*(110/100)</f>
        <v>14850.000000000002</v>
      </c>
      <c r="M142" s="13" t="s">
        <v>198</v>
      </c>
      <c r="N142" s="7">
        <f t="shared" si="89"/>
        <v>186065</v>
      </c>
      <c r="O142" s="7">
        <f t="shared" si="90"/>
        <v>29700.000000000004</v>
      </c>
      <c r="P142" s="7">
        <f t="shared" si="91"/>
        <v>215765</v>
      </c>
      <c r="Q142" s="7">
        <v>215765</v>
      </c>
      <c r="R142" s="7">
        <f t="shared" si="83"/>
        <v>0</v>
      </c>
      <c r="S142" s="7"/>
      <c r="T142" s="7">
        <f>CEO!T142+CS!T142+CFO!T142+LLA!T142+'C&amp;E'!T142+CES!T142+LLT!T142+GB!T142</f>
        <v>0</v>
      </c>
      <c r="U142" s="7">
        <f t="shared" si="84"/>
        <v>215765</v>
      </c>
      <c r="V142" s="7">
        <f t="shared" si="92"/>
        <v>0</v>
      </c>
      <c r="W142" s="7"/>
      <c r="X142" s="7"/>
      <c r="Y142" s="7"/>
      <c r="Z142" s="7">
        <f t="shared" si="85"/>
        <v>215765</v>
      </c>
      <c r="AA142" s="7">
        <f t="shared" si="87"/>
        <v>237341.50000000003</v>
      </c>
      <c r="AB142" s="7">
        <f t="shared" si="86"/>
        <v>261075.65000000005</v>
      </c>
    </row>
    <row r="143" spans="1:28" x14ac:dyDescent="0.3">
      <c r="A143" s="7">
        <f>1420*(110/100)</f>
        <v>1562.0000000000002</v>
      </c>
      <c r="B143" s="7">
        <f>3470*(110/100)</f>
        <v>3817.0000000000005</v>
      </c>
      <c r="C143" s="7">
        <f>1150*(110/100)</f>
        <v>1265</v>
      </c>
      <c r="D143" s="7">
        <f>2280*(110/100)</f>
        <v>2508</v>
      </c>
      <c r="E143" s="7">
        <f>1850*(110/100)</f>
        <v>2035.0000000000002</v>
      </c>
      <c r="F143" s="7">
        <f>880*(110/100)</f>
        <v>968.00000000000011</v>
      </c>
      <c r="G143" s="7">
        <f>1530*(110/100)</f>
        <v>1683.0000000000002</v>
      </c>
      <c r="H143" s="7">
        <f>3010*(110/100)</f>
        <v>3311.0000000000005</v>
      </c>
      <c r="I143" s="7">
        <f>230*(110/100)</f>
        <v>253.00000000000003</v>
      </c>
      <c r="J143" s="7">
        <f>4780*(110/100)</f>
        <v>5258</v>
      </c>
      <c r="K143" s="7">
        <f>230*(110/100)</f>
        <v>253.00000000000003</v>
      </c>
      <c r="L143" s="7">
        <f>230*(110/100)</f>
        <v>253.00000000000003</v>
      </c>
      <c r="M143" s="127" t="s">
        <v>199</v>
      </c>
      <c r="N143" s="7">
        <f t="shared" si="89"/>
        <v>22660</v>
      </c>
      <c r="O143" s="7">
        <f t="shared" si="90"/>
        <v>506.00000000000006</v>
      </c>
      <c r="P143" s="7">
        <f t="shared" si="91"/>
        <v>23166</v>
      </c>
      <c r="Q143" s="7">
        <v>23166</v>
      </c>
      <c r="R143" s="7">
        <f t="shared" si="83"/>
        <v>0</v>
      </c>
      <c r="S143" s="7"/>
      <c r="T143" s="7">
        <f>CEO!T143+CS!T143+CFO!T143+LLA!T143+'C&amp;E'!T143+CES!T143+LLT!T143+GB!T143</f>
        <v>0</v>
      </c>
      <c r="U143" s="7">
        <f t="shared" si="84"/>
        <v>23166</v>
      </c>
      <c r="V143" s="7">
        <f t="shared" si="92"/>
        <v>0</v>
      </c>
      <c r="W143" s="7"/>
      <c r="X143" s="7"/>
      <c r="Y143" s="7"/>
      <c r="Z143" s="7">
        <f t="shared" si="85"/>
        <v>23166</v>
      </c>
      <c r="AA143" s="7">
        <f t="shared" si="87"/>
        <v>25482.600000000002</v>
      </c>
      <c r="AB143" s="7">
        <f t="shared" si="86"/>
        <v>28030.860000000004</v>
      </c>
    </row>
    <row r="144" spans="1:28" x14ac:dyDescent="0.3">
      <c r="A144" s="7">
        <f>9660*(110/100)</f>
        <v>10626</v>
      </c>
      <c r="B144" s="7">
        <f>2130*(110/100)</f>
        <v>2343</v>
      </c>
      <c r="C144" s="7">
        <f>4260*(110/100)</f>
        <v>4686</v>
      </c>
      <c r="D144" s="7">
        <f>1420*(110/100)</f>
        <v>1562.0000000000002</v>
      </c>
      <c r="E144" s="7">
        <f>710*(110/100)</f>
        <v>781.00000000000011</v>
      </c>
      <c r="F144" s="7">
        <f>1420*(110/100)</f>
        <v>1562.0000000000002</v>
      </c>
      <c r="G144" s="7">
        <f>3550*(110/100)</f>
        <v>3905.0000000000005</v>
      </c>
      <c r="H144" s="7">
        <f>2130*(110/100)</f>
        <v>2343</v>
      </c>
      <c r="I144" s="7">
        <f>3000*(110/100)</f>
        <v>3300.0000000000005</v>
      </c>
      <c r="J144" s="7">
        <f>0*(110/100)</f>
        <v>0</v>
      </c>
      <c r="K144" s="7">
        <f>3000*(110/100)</f>
        <v>3300.0000000000005</v>
      </c>
      <c r="L144" s="7">
        <f>3000*(110/100)</f>
        <v>3300.0000000000005</v>
      </c>
      <c r="M144" s="13" t="s">
        <v>200</v>
      </c>
      <c r="N144" s="7">
        <f t="shared" si="89"/>
        <v>31108</v>
      </c>
      <c r="O144" s="7">
        <f t="shared" si="90"/>
        <v>6600.0000000000009</v>
      </c>
      <c r="P144" s="7">
        <f t="shared" si="91"/>
        <v>37708</v>
      </c>
      <c r="Q144" s="7">
        <v>37708</v>
      </c>
      <c r="R144" s="7">
        <f t="shared" si="83"/>
        <v>0</v>
      </c>
      <c r="S144" s="7"/>
      <c r="T144" s="7">
        <f>CEO!T144+CS!T144+CFO!T144+LLA!T144+'C&amp;E'!T144+CES!T144+LLT!T144+GB!T144</f>
        <v>0</v>
      </c>
      <c r="U144" s="7">
        <f t="shared" si="84"/>
        <v>37708</v>
      </c>
      <c r="V144" s="7">
        <f t="shared" si="92"/>
        <v>0</v>
      </c>
      <c r="W144" s="7"/>
      <c r="X144" s="7"/>
      <c r="Y144" s="7"/>
      <c r="Z144" s="7">
        <f t="shared" si="85"/>
        <v>37708</v>
      </c>
      <c r="AA144" s="7">
        <f t="shared" si="87"/>
        <v>41478.800000000003</v>
      </c>
      <c r="AB144" s="7">
        <f t="shared" si="86"/>
        <v>45626.680000000008</v>
      </c>
    </row>
    <row r="145" spans="1:28" x14ac:dyDescent="0.3">
      <c r="A145" s="7">
        <f>3550*(110/100)</f>
        <v>3905.0000000000005</v>
      </c>
      <c r="B145" s="7">
        <f>16555*(110/100)</f>
        <v>18210.5</v>
      </c>
      <c r="C145" s="7">
        <f>14630*(110/100)</f>
        <v>16093.000000000002</v>
      </c>
      <c r="D145" s="7">
        <f>12320*(110/100)</f>
        <v>13552.000000000002</v>
      </c>
      <c r="E145" s="7">
        <f>17325*(110/100)</f>
        <v>19057.5</v>
      </c>
      <c r="F145" s="7">
        <f>13405*(110/100)</f>
        <v>14745.500000000002</v>
      </c>
      <c r="G145" s="7">
        <f>11936*(110/100)</f>
        <v>13129.6</v>
      </c>
      <c r="H145" s="7">
        <f>15785*(110/100)</f>
        <v>17363.5</v>
      </c>
      <c r="I145" s="7">
        <f>12130*(110/100)</f>
        <v>13343.000000000002</v>
      </c>
      <c r="J145" s="7">
        <f>6420*(110/100)</f>
        <v>7062.0000000000009</v>
      </c>
      <c r="K145" s="7">
        <f>12130*(110/100)</f>
        <v>13343.000000000002</v>
      </c>
      <c r="L145" s="7">
        <f>12130*(110/100)</f>
        <v>13343.000000000002</v>
      </c>
      <c r="M145" s="13" t="s">
        <v>201</v>
      </c>
      <c r="N145" s="7">
        <f t="shared" si="89"/>
        <v>136461.6</v>
      </c>
      <c r="O145" s="7">
        <f t="shared" si="90"/>
        <v>26686.000000000004</v>
      </c>
      <c r="P145" s="7">
        <f t="shared" si="91"/>
        <v>163147.6</v>
      </c>
      <c r="Q145" s="7">
        <v>163147.6</v>
      </c>
      <c r="R145" s="7">
        <f t="shared" si="83"/>
        <v>0</v>
      </c>
      <c r="S145" s="7"/>
      <c r="T145" s="7">
        <f>CEO!T145+CS!T145+CFO!T145+LLA!T145+'C&amp;E'!T145+CES!T145+LLT!T145+GB!T145</f>
        <v>0</v>
      </c>
      <c r="U145" s="7">
        <f t="shared" si="84"/>
        <v>163147.6</v>
      </c>
      <c r="V145" s="7">
        <f t="shared" si="92"/>
        <v>0</v>
      </c>
      <c r="W145" s="7"/>
      <c r="X145" s="7"/>
      <c r="Y145" s="7"/>
      <c r="Z145" s="7">
        <f t="shared" si="85"/>
        <v>163147.6</v>
      </c>
      <c r="AA145" s="7">
        <f t="shared" si="87"/>
        <v>179462.36000000002</v>
      </c>
      <c r="AB145" s="7">
        <f t="shared" si="86"/>
        <v>197408.59600000002</v>
      </c>
    </row>
    <row r="146" spans="1:28" x14ac:dyDescent="0.3">
      <c r="A146" s="7">
        <f t="shared" ref="A146:A152" si="94">0*(110/100)</f>
        <v>0</v>
      </c>
      <c r="B146" s="7">
        <f>6390*(110/100)</f>
        <v>7029.0000000000009</v>
      </c>
      <c r="C146" s="7">
        <f>5680*(110/100)</f>
        <v>6248.0000000000009</v>
      </c>
      <c r="D146" s="7">
        <f>6390*(110/100)</f>
        <v>7029.0000000000009</v>
      </c>
      <c r="E146" s="7">
        <f>34080*(110/100)</f>
        <v>37488</v>
      </c>
      <c r="F146" s="7">
        <f>7160*(110/100)</f>
        <v>7876.0000000000009</v>
      </c>
      <c r="G146" s="7">
        <f>22720*(110/100)</f>
        <v>24992.000000000004</v>
      </c>
      <c r="H146" s="7">
        <f>10650*(110/100)</f>
        <v>11715.000000000002</v>
      </c>
      <c r="I146" s="7">
        <f>6000*(110/100)</f>
        <v>6600.0000000000009</v>
      </c>
      <c r="J146" s="7">
        <f>3000*(110/100)</f>
        <v>3300.0000000000005</v>
      </c>
      <c r="K146" s="7">
        <f>6000*(110/100)</f>
        <v>6600.0000000000009</v>
      </c>
      <c r="L146" s="7">
        <f>6000*(110/100)</f>
        <v>6600.0000000000009</v>
      </c>
      <c r="M146" s="127" t="s">
        <v>202</v>
      </c>
      <c r="N146" s="7">
        <f t="shared" si="89"/>
        <v>112277</v>
      </c>
      <c r="O146" s="7">
        <f t="shared" si="90"/>
        <v>13200.000000000002</v>
      </c>
      <c r="P146" s="7">
        <f t="shared" si="91"/>
        <v>125477</v>
      </c>
      <c r="Q146" s="7">
        <v>125477</v>
      </c>
      <c r="R146" s="7">
        <f t="shared" si="83"/>
        <v>0</v>
      </c>
      <c r="S146" s="7"/>
      <c r="T146" s="7">
        <f>CEO!T146+CS!T146+CFO!T146+LLA!T146+'C&amp;E'!T146+CES!T146+LLT!T146+GB!T146</f>
        <v>0</v>
      </c>
      <c r="U146" s="7">
        <f t="shared" si="84"/>
        <v>125477</v>
      </c>
      <c r="V146" s="7">
        <f t="shared" si="92"/>
        <v>0</v>
      </c>
      <c r="W146" s="7"/>
      <c r="X146" s="7"/>
      <c r="Y146" s="7"/>
      <c r="Z146" s="7">
        <f t="shared" si="85"/>
        <v>125477</v>
      </c>
      <c r="AA146" s="7">
        <f t="shared" si="87"/>
        <v>138024.70000000001</v>
      </c>
      <c r="AB146" s="7">
        <f t="shared" si="86"/>
        <v>151827.17000000001</v>
      </c>
    </row>
    <row r="147" spans="1:28" x14ac:dyDescent="0.3">
      <c r="A147" s="7">
        <f t="shared" si="94"/>
        <v>0</v>
      </c>
      <c r="B147" s="7">
        <f t="shared" ref="B147:L147" si="95">0*(110/100)</f>
        <v>0</v>
      </c>
      <c r="C147" s="7">
        <f t="shared" si="95"/>
        <v>0</v>
      </c>
      <c r="D147" s="7">
        <f t="shared" si="95"/>
        <v>0</v>
      </c>
      <c r="E147" s="7">
        <f t="shared" si="95"/>
        <v>0</v>
      </c>
      <c r="F147" s="7">
        <f t="shared" si="95"/>
        <v>0</v>
      </c>
      <c r="G147" s="7">
        <f t="shared" si="95"/>
        <v>0</v>
      </c>
      <c r="H147" s="7">
        <f t="shared" si="95"/>
        <v>0</v>
      </c>
      <c r="I147" s="7">
        <f t="shared" si="95"/>
        <v>0</v>
      </c>
      <c r="J147" s="7">
        <f t="shared" si="95"/>
        <v>0</v>
      </c>
      <c r="K147" s="7">
        <f t="shared" si="95"/>
        <v>0</v>
      </c>
      <c r="L147" s="7">
        <f t="shared" si="95"/>
        <v>0</v>
      </c>
      <c r="M147" s="13" t="s">
        <v>203</v>
      </c>
      <c r="N147" s="7">
        <f t="shared" si="89"/>
        <v>0</v>
      </c>
      <c r="O147" s="7">
        <f t="shared" si="90"/>
        <v>0</v>
      </c>
      <c r="P147" s="7">
        <f t="shared" si="91"/>
        <v>0</v>
      </c>
      <c r="Q147" s="7">
        <v>0</v>
      </c>
      <c r="R147" s="7">
        <f t="shared" si="83"/>
        <v>0</v>
      </c>
      <c r="S147" s="7"/>
      <c r="T147" s="7">
        <f>CEO!T147+CS!T147+CFO!T147+LLA!T147+'C&amp;E'!T147+CES!T147+LLT!T147+GB!T147</f>
        <v>0</v>
      </c>
      <c r="U147" s="7">
        <f t="shared" si="84"/>
        <v>0</v>
      </c>
      <c r="V147" s="7">
        <f t="shared" si="92"/>
        <v>0</v>
      </c>
      <c r="W147" s="7"/>
      <c r="X147" s="7"/>
      <c r="Y147" s="7"/>
      <c r="Z147" s="7">
        <f t="shared" si="85"/>
        <v>0</v>
      </c>
      <c r="AA147" s="7">
        <f t="shared" si="87"/>
        <v>0</v>
      </c>
      <c r="AB147" s="7">
        <f t="shared" si="86"/>
        <v>0</v>
      </c>
    </row>
    <row r="148" spans="1:28" x14ac:dyDescent="0.3">
      <c r="A148" s="7">
        <f t="shared" si="94"/>
        <v>0</v>
      </c>
      <c r="B148" s="7">
        <f>1540*(110/100)</f>
        <v>1694.0000000000002</v>
      </c>
      <c r="C148" s="7">
        <f>1540*(110/100)</f>
        <v>1694.0000000000002</v>
      </c>
      <c r="D148" s="7">
        <f>770*(110/100)</f>
        <v>847.00000000000011</v>
      </c>
      <c r="E148" s="7">
        <f>385*(110/100)</f>
        <v>423.50000000000006</v>
      </c>
      <c r="F148" s="7">
        <f>770*(110/100)</f>
        <v>847.00000000000011</v>
      </c>
      <c r="G148" s="7">
        <f>385*(110/100)</f>
        <v>423.50000000000006</v>
      </c>
      <c r="H148" s="7">
        <f>770*(110/100)</f>
        <v>847.00000000000011</v>
      </c>
      <c r="I148" s="7">
        <f>405*(110/100)</f>
        <v>445.50000000000006</v>
      </c>
      <c r="J148" s="7">
        <f>0*(110/100)</f>
        <v>0</v>
      </c>
      <c r="K148" s="7">
        <f>405*(110/100)</f>
        <v>445.50000000000006</v>
      </c>
      <c r="L148" s="7">
        <f>405*(110/100)</f>
        <v>445.50000000000006</v>
      </c>
      <c r="M148" s="13" t="s">
        <v>204</v>
      </c>
      <c r="N148" s="7">
        <f t="shared" si="89"/>
        <v>7221.5000000000009</v>
      </c>
      <c r="O148" s="7">
        <f t="shared" si="90"/>
        <v>891.00000000000011</v>
      </c>
      <c r="P148" s="7">
        <f t="shared" si="91"/>
        <v>8112.5000000000009</v>
      </c>
      <c r="Q148" s="7">
        <v>8112.5000000000009</v>
      </c>
      <c r="R148" s="7">
        <f t="shared" si="83"/>
        <v>0</v>
      </c>
      <c r="S148" s="7"/>
      <c r="T148" s="7">
        <f>CEO!T148+CS!T148+CFO!T148+LLA!T148+'C&amp;E'!T148+CES!T148+LLT!T148+GB!T148</f>
        <v>0</v>
      </c>
      <c r="U148" s="7">
        <f t="shared" si="84"/>
        <v>8112.5000000000009</v>
      </c>
      <c r="V148" s="7">
        <f t="shared" si="92"/>
        <v>0</v>
      </c>
      <c r="W148" s="7"/>
      <c r="X148" s="7"/>
      <c r="Y148" s="7"/>
      <c r="Z148" s="7">
        <f t="shared" si="85"/>
        <v>8112.5000000000009</v>
      </c>
      <c r="AA148" s="7">
        <f t="shared" si="87"/>
        <v>8923.7500000000018</v>
      </c>
      <c r="AB148" s="7">
        <f t="shared" si="86"/>
        <v>9816.1250000000036</v>
      </c>
    </row>
    <row r="149" spans="1:28" x14ac:dyDescent="0.3">
      <c r="A149" s="7">
        <f t="shared" si="94"/>
        <v>0</v>
      </c>
      <c r="B149" s="7">
        <f t="shared" ref="B149:D152" si="96">0*(110/100)</f>
        <v>0</v>
      </c>
      <c r="C149" s="7">
        <f t="shared" si="96"/>
        <v>0</v>
      </c>
      <c r="D149" s="7">
        <f t="shared" si="96"/>
        <v>0</v>
      </c>
      <c r="E149" s="7">
        <f>385*(110/100)</f>
        <v>423.50000000000006</v>
      </c>
      <c r="F149" s="7">
        <f t="shared" ref="F149:H152" si="97">0*(110/100)</f>
        <v>0</v>
      </c>
      <c r="G149" s="7">
        <f t="shared" si="97"/>
        <v>0</v>
      </c>
      <c r="H149" s="7">
        <f t="shared" si="97"/>
        <v>0</v>
      </c>
      <c r="I149" s="7">
        <f>385*(110/100)</f>
        <v>423.50000000000006</v>
      </c>
      <c r="J149" s="7">
        <f>405*(110/100)</f>
        <v>445.50000000000006</v>
      </c>
      <c r="K149" s="7">
        <f>385*(110/100)</f>
        <v>423.50000000000006</v>
      </c>
      <c r="L149" s="7">
        <f>385*(110/100)</f>
        <v>423.50000000000006</v>
      </c>
      <c r="M149" s="127" t="s">
        <v>205</v>
      </c>
      <c r="N149" s="7">
        <f t="shared" si="89"/>
        <v>1292.5000000000002</v>
      </c>
      <c r="O149" s="7">
        <f t="shared" si="90"/>
        <v>847.00000000000011</v>
      </c>
      <c r="P149" s="7">
        <f t="shared" si="91"/>
        <v>2139.5000000000005</v>
      </c>
      <c r="Q149" s="7">
        <v>2139.5000000000005</v>
      </c>
      <c r="R149" s="7">
        <f t="shared" si="83"/>
        <v>0</v>
      </c>
      <c r="S149" s="7"/>
      <c r="T149" s="7">
        <f>CEO!T149+CS!T149+CFO!T149+LLA!T149+'C&amp;E'!T149+CES!T149+LLT!T149+GB!T149</f>
        <v>0</v>
      </c>
      <c r="U149" s="7">
        <f t="shared" si="84"/>
        <v>2139.5000000000005</v>
      </c>
      <c r="V149" s="7">
        <f t="shared" si="92"/>
        <v>0</v>
      </c>
      <c r="W149" s="7"/>
      <c r="X149" s="7"/>
      <c r="Y149" s="7"/>
      <c r="Z149" s="7">
        <f t="shared" si="85"/>
        <v>2139.5000000000005</v>
      </c>
      <c r="AA149" s="7">
        <f t="shared" si="87"/>
        <v>2353.4500000000007</v>
      </c>
      <c r="AB149" s="7">
        <f t="shared" si="86"/>
        <v>2588.795000000001</v>
      </c>
    </row>
    <row r="150" spans="1:28" x14ac:dyDescent="0.3">
      <c r="A150" s="7">
        <f t="shared" si="94"/>
        <v>0</v>
      </c>
      <c r="B150" s="7">
        <f t="shared" si="96"/>
        <v>0</v>
      </c>
      <c r="C150" s="7">
        <f t="shared" si="96"/>
        <v>0</v>
      </c>
      <c r="D150" s="7">
        <f t="shared" si="96"/>
        <v>0</v>
      </c>
      <c r="E150" s="7">
        <f>0*(110/100)</f>
        <v>0</v>
      </c>
      <c r="F150" s="7">
        <f t="shared" si="97"/>
        <v>0</v>
      </c>
      <c r="G150" s="7">
        <f t="shared" si="97"/>
        <v>0</v>
      </c>
      <c r="H150" s="7">
        <f t="shared" si="97"/>
        <v>0</v>
      </c>
      <c r="I150" s="7">
        <f t="shared" ref="I150:L152" si="98">0*(110/100)</f>
        <v>0</v>
      </c>
      <c r="J150" s="7">
        <f t="shared" si="98"/>
        <v>0</v>
      </c>
      <c r="K150" s="7">
        <f t="shared" si="98"/>
        <v>0</v>
      </c>
      <c r="L150" s="7">
        <f t="shared" si="98"/>
        <v>0</v>
      </c>
      <c r="M150" s="13" t="s">
        <v>206</v>
      </c>
      <c r="N150" s="7">
        <f t="shared" si="89"/>
        <v>0</v>
      </c>
      <c r="O150" s="7">
        <f t="shared" si="90"/>
        <v>0</v>
      </c>
      <c r="P150" s="7">
        <f t="shared" si="91"/>
        <v>0</v>
      </c>
      <c r="Q150" s="7">
        <v>0</v>
      </c>
      <c r="R150" s="7">
        <f t="shared" si="83"/>
        <v>0</v>
      </c>
      <c r="S150" s="7"/>
      <c r="T150" s="7">
        <f>CEO!T150+CS!T150+CFO!T150+LLA!T150+'C&amp;E'!T150+CES!T150+LLT!T150+GB!T150</f>
        <v>0</v>
      </c>
      <c r="U150" s="7">
        <f t="shared" si="84"/>
        <v>0</v>
      </c>
      <c r="V150" s="7">
        <f t="shared" si="92"/>
        <v>0</v>
      </c>
      <c r="W150" s="7"/>
      <c r="X150" s="7"/>
      <c r="Y150" s="7"/>
      <c r="Z150" s="7">
        <f t="shared" si="85"/>
        <v>0</v>
      </c>
      <c r="AA150" s="7">
        <f t="shared" si="87"/>
        <v>0</v>
      </c>
      <c r="AB150" s="7">
        <f t="shared" si="86"/>
        <v>0</v>
      </c>
    </row>
    <row r="151" spans="1:28" x14ac:dyDescent="0.3">
      <c r="A151" s="7">
        <f t="shared" si="94"/>
        <v>0</v>
      </c>
      <c r="B151" s="7">
        <f t="shared" si="96"/>
        <v>0</v>
      </c>
      <c r="C151" s="7">
        <f t="shared" si="96"/>
        <v>0</v>
      </c>
      <c r="D151" s="7">
        <f t="shared" si="96"/>
        <v>0</v>
      </c>
      <c r="E151" s="7">
        <f>0*(110/100)</f>
        <v>0</v>
      </c>
      <c r="F151" s="7">
        <f t="shared" si="97"/>
        <v>0</v>
      </c>
      <c r="G151" s="7">
        <f t="shared" si="97"/>
        <v>0</v>
      </c>
      <c r="H151" s="7">
        <f t="shared" si="97"/>
        <v>0</v>
      </c>
      <c r="I151" s="7">
        <f t="shared" si="98"/>
        <v>0</v>
      </c>
      <c r="J151" s="7">
        <f t="shared" si="98"/>
        <v>0</v>
      </c>
      <c r="K151" s="7">
        <f t="shared" si="98"/>
        <v>0</v>
      </c>
      <c r="L151" s="7">
        <f t="shared" si="98"/>
        <v>0</v>
      </c>
      <c r="M151" s="13" t="s">
        <v>207</v>
      </c>
      <c r="N151" s="7">
        <f t="shared" si="89"/>
        <v>0</v>
      </c>
      <c r="O151" s="7">
        <f t="shared" si="90"/>
        <v>0</v>
      </c>
      <c r="P151" s="7">
        <f t="shared" si="91"/>
        <v>0</v>
      </c>
      <c r="Q151" s="7">
        <v>0</v>
      </c>
      <c r="R151" s="7">
        <f t="shared" si="83"/>
        <v>0</v>
      </c>
      <c r="S151" s="7"/>
      <c r="T151" s="7">
        <f>CEO!T151+CS!T151+CFO!T151+LLA!T151+'C&amp;E'!T151+CES!T151+LLT!T151+GB!T151</f>
        <v>0</v>
      </c>
      <c r="U151" s="7">
        <f t="shared" si="84"/>
        <v>0</v>
      </c>
      <c r="V151" s="7">
        <f t="shared" si="92"/>
        <v>0</v>
      </c>
      <c r="W151" s="7"/>
      <c r="X151" s="7"/>
      <c r="Y151" s="7"/>
      <c r="Z151" s="7">
        <f t="shared" si="85"/>
        <v>0</v>
      </c>
      <c r="AA151" s="7">
        <f t="shared" si="87"/>
        <v>0</v>
      </c>
      <c r="AB151" s="7">
        <f t="shared" si="86"/>
        <v>0</v>
      </c>
    </row>
    <row r="152" spans="1:28" x14ac:dyDescent="0.3">
      <c r="A152" s="7">
        <f t="shared" si="94"/>
        <v>0</v>
      </c>
      <c r="B152" s="7">
        <f t="shared" si="96"/>
        <v>0</v>
      </c>
      <c r="C152" s="7">
        <f t="shared" si="96"/>
        <v>0</v>
      </c>
      <c r="D152" s="7">
        <f t="shared" si="96"/>
        <v>0</v>
      </c>
      <c r="E152" s="7">
        <f>0*(110/100)</f>
        <v>0</v>
      </c>
      <c r="F152" s="7">
        <f t="shared" si="97"/>
        <v>0</v>
      </c>
      <c r="G152" s="7">
        <f t="shared" si="97"/>
        <v>0</v>
      </c>
      <c r="H152" s="7">
        <f t="shared" si="97"/>
        <v>0</v>
      </c>
      <c r="I152" s="7">
        <f t="shared" si="98"/>
        <v>0</v>
      </c>
      <c r="J152" s="7">
        <f t="shared" si="98"/>
        <v>0</v>
      </c>
      <c r="K152" s="7">
        <f t="shared" si="98"/>
        <v>0</v>
      </c>
      <c r="L152" s="7">
        <f t="shared" si="98"/>
        <v>0</v>
      </c>
      <c r="M152" s="127" t="s">
        <v>208</v>
      </c>
      <c r="N152" s="7">
        <f t="shared" si="89"/>
        <v>0</v>
      </c>
      <c r="O152" s="7">
        <f t="shared" si="90"/>
        <v>0</v>
      </c>
      <c r="P152" s="7">
        <f t="shared" si="91"/>
        <v>0</v>
      </c>
      <c r="Q152" s="7">
        <v>0</v>
      </c>
      <c r="R152" s="7">
        <f t="shared" si="83"/>
        <v>0</v>
      </c>
      <c r="S152" s="7"/>
      <c r="T152" s="7">
        <f>CEO!T152+CS!T152+CFO!T152+LLA!T152+'C&amp;E'!T152+CES!T152+LLT!T152+GB!T152</f>
        <v>0</v>
      </c>
      <c r="U152" s="7">
        <f t="shared" si="84"/>
        <v>0</v>
      </c>
      <c r="V152" s="7">
        <f t="shared" si="92"/>
        <v>0</v>
      </c>
      <c r="W152" s="7"/>
      <c r="X152" s="7"/>
      <c r="Y152" s="7"/>
      <c r="Z152" s="7">
        <f t="shared" si="85"/>
        <v>0</v>
      </c>
      <c r="AA152" s="7">
        <f t="shared" si="87"/>
        <v>0</v>
      </c>
      <c r="AB152" s="7">
        <f t="shared" si="86"/>
        <v>0</v>
      </c>
    </row>
    <row r="153" spans="1:28" x14ac:dyDescent="0.3">
      <c r="A153" s="7">
        <f>1540*(110/100)</f>
        <v>1694.0000000000002</v>
      </c>
      <c r="B153" s="7">
        <f>2695*(110/100)</f>
        <v>2964.5000000000005</v>
      </c>
      <c r="C153" s="7">
        <f>1925*(110/100)</f>
        <v>2117.5</v>
      </c>
      <c r="D153" s="7">
        <f>2695*(110/100)</f>
        <v>2964.5000000000005</v>
      </c>
      <c r="E153" s="7">
        <f>2695*(110/100)</f>
        <v>2964.5000000000005</v>
      </c>
      <c r="F153" s="7">
        <f>1155*(110/100)</f>
        <v>1270.5</v>
      </c>
      <c r="G153" s="7">
        <f>1540*(110/100)</f>
        <v>1694.0000000000002</v>
      </c>
      <c r="H153" s="7">
        <f>1540*(110/100)</f>
        <v>1694.0000000000002</v>
      </c>
      <c r="I153" s="7">
        <f>0*(110/100)</f>
        <v>0</v>
      </c>
      <c r="J153" s="7">
        <f>1135*(110/100)</f>
        <v>1248.5</v>
      </c>
      <c r="K153" s="7">
        <f>0*(110/100)</f>
        <v>0</v>
      </c>
      <c r="L153" s="7">
        <f>0*(110/100)</f>
        <v>0</v>
      </c>
      <c r="M153" s="13" t="s">
        <v>209</v>
      </c>
      <c r="N153" s="7">
        <f t="shared" si="89"/>
        <v>18612.000000000004</v>
      </c>
      <c r="O153" s="7">
        <f t="shared" si="90"/>
        <v>0</v>
      </c>
      <c r="P153" s="7">
        <f t="shared" si="91"/>
        <v>18612.000000000004</v>
      </c>
      <c r="Q153" s="7">
        <v>18612.000000000004</v>
      </c>
      <c r="R153" s="7">
        <f t="shared" si="83"/>
        <v>0</v>
      </c>
      <c r="S153" s="7"/>
      <c r="T153" s="7">
        <f>CEO!T153+CS!T153+CFO!T153+LLA!T153+'C&amp;E'!T153+CES!T153+LLT!T153+GB!T153</f>
        <v>0</v>
      </c>
      <c r="U153" s="7">
        <f t="shared" si="84"/>
        <v>18612.000000000004</v>
      </c>
      <c r="V153" s="7">
        <f t="shared" si="92"/>
        <v>0</v>
      </c>
      <c r="W153" s="7"/>
      <c r="X153" s="7"/>
      <c r="Y153" s="7"/>
      <c r="Z153" s="7">
        <f t="shared" si="85"/>
        <v>18612.000000000004</v>
      </c>
      <c r="AA153" s="7">
        <f t="shared" si="87"/>
        <v>20473.200000000004</v>
      </c>
      <c r="AB153" s="7">
        <f t="shared" si="86"/>
        <v>22520.520000000008</v>
      </c>
    </row>
    <row r="154" spans="1:28" x14ac:dyDescent="0.3">
      <c r="A154" s="7">
        <f>710*(110/100)</f>
        <v>781.00000000000011</v>
      </c>
      <c r="B154" s="7">
        <f>2130*(110/100)</f>
        <v>2343</v>
      </c>
      <c r="C154" s="7">
        <f>2130*(110/100)</f>
        <v>2343</v>
      </c>
      <c r="D154" s="7">
        <f>4260*(110/100)</f>
        <v>4686</v>
      </c>
      <c r="E154" s="7">
        <f>5620*(110/100)</f>
        <v>6182.0000000000009</v>
      </c>
      <c r="F154" s="7">
        <f>2130*(110/100)</f>
        <v>2343</v>
      </c>
      <c r="G154" s="7">
        <f>6330*(110/100)</f>
        <v>6963.0000000000009</v>
      </c>
      <c r="H154" s="7">
        <f>5680*(110/100)</f>
        <v>6248.0000000000009</v>
      </c>
      <c r="I154" s="7">
        <f>710*(110/100)</f>
        <v>781.00000000000011</v>
      </c>
      <c r="J154" s="7">
        <f>1460*(110/100)</f>
        <v>1606.0000000000002</v>
      </c>
      <c r="K154" s="7">
        <f>710*(110/100)</f>
        <v>781.00000000000011</v>
      </c>
      <c r="L154" s="7">
        <f>710*(110/100)</f>
        <v>781.00000000000011</v>
      </c>
      <c r="M154" s="13" t="s">
        <v>210</v>
      </c>
      <c r="N154" s="7">
        <f t="shared" si="89"/>
        <v>34276</v>
      </c>
      <c r="O154" s="7">
        <f t="shared" si="90"/>
        <v>1562.0000000000002</v>
      </c>
      <c r="P154" s="7">
        <f t="shared" si="91"/>
        <v>35838</v>
      </c>
      <c r="Q154" s="7">
        <v>35838</v>
      </c>
      <c r="R154" s="7">
        <f t="shared" si="83"/>
        <v>0</v>
      </c>
      <c r="S154" s="7"/>
      <c r="T154" s="7">
        <f>CEO!T154+CS!T154+CFO!T154+LLA!T154+'C&amp;E'!T154+CES!T154+LLT!T154+GB!T154</f>
        <v>0</v>
      </c>
      <c r="U154" s="7">
        <f t="shared" si="84"/>
        <v>35838</v>
      </c>
      <c r="V154" s="7">
        <f t="shared" si="92"/>
        <v>0</v>
      </c>
      <c r="W154" s="7"/>
      <c r="X154" s="7"/>
      <c r="Y154" s="7"/>
      <c r="Z154" s="7">
        <f t="shared" si="85"/>
        <v>35838</v>
      </c>
      <c r="AA154" s="7">
        <f t="shared" si="87"/>
        <v>39421.800000000003</v>
      </c>
      <c r="AB154" s="7">
        <f t="shared" si="86"/>
        <v>43363.98</v>
      </c>
    </row>
    <row r="155" spans="1:28" x14ac:dyDescent="0.3">
      <c r="A155" s="7">
        <f>80660*(110/100)</f>
        <v>88726</v>
      </c>
      <c r="B155" s="7">
        <f>79980*(110/100)</f>
        <v>87978</v>
      </c>
      <c r="C155" s="7">
        <f>74120*(110/100)</f>
        <v>81532</v>
      </c>
      <c r="D155" s="7">
        <f>133120*(110/100)</f>
        <v>146432</v>
      </c>
      <c r="E155" s="7">
        <f>154780*(110/100)</f>
        <v>170258</v>
      </c>
      <c r="F155" s="7">
        <f>67580*(110/100)</f>
        <v>74338</v>
      </c>
      <c r="G155" s="7">
        <f>102280*(110/100)</f>
        <v>112508.00000000001</v>
      </c>
      <c r="H155" s="7">
        <f>93060*(110/100)</f>
        <v>102366.00000000001</v>
      </c>
      <c r="I155" s="7">
        <f>37865*(110/100)</f>
        <v>41651.5</v>
      </c>
      <c r="J155" s="7">
        <f>81125*(110/100)</f>
        <v>89237.5</v>
      </c>
      <c r="K155" s="7">
        <f>37865*(110/100)</f>
        <v>41651.5</v>
      </c>
      <c r="L155" s="7">
        <f>37865*(110/100)</f>
        <v>41651.5</v>
      </c>
      <c r="M155" s="127" t="s">
        <v>211</v>
      </c>
      <c r="N155" s="7">
        <f t="shared" si="89"/>
        <v>995027</v>
      </c>
      <c r="O155" s="7">
        <f t="shared" si="90"/>
        <v>83303</v>
      </c>
      <c r="P155" s="7">
        <f t="shared" si="91"/>
        <v>1078330</v>
      </c>
      <c r="Q155" s="7">
        <f>1078330+100000</f>
        <v>1178330</v>
      </c>
      <c r="R155" s="7">
        <f>Q155-P155</f>
        <v>100000</v>
      </c>
      <c r="S155" s="7"/>
      <c r="T155" s="7">
        <f>CEO!T155+CS!T155+CFO!T155+LLA!T155+'C&amp;E'!T155+CES!T155+LLT!T155+GB!T155</f>
        <v>0</v>
      </c>
      <c r="U155" s="7">
        <f t="shared" si="84"/>
        <v>1178330</v>
      </c>
      <c r="V155" s="7">
        <f t="shared" si="92"/>
        <v>100000</v>
      </c>
      <c r="W155" s="7"/>
      <c r="X155" s="7"/>
      <c r="Y155" s="7"/>
      <c r="Z155" s="7">
        <f t="shared" si="85"/>
        <v>1178330</v>
      </c>
      <c r="AA155" s="7">
        <f t="shared" si="87"/>
        <v>1296163</v>
      </c>
      <c r="AB155" s="7">
        <f t="shared" si="86"/>
        <v>1425779.3</v>
      </c>
    </row>
    <row r="156" spans="1:28" x14ac:dyDescent="0.3">
      <c r="A156" s="7">
        <f>164780*(110/100)</f>
        <v>181258.00000000003</v>
      </c>
      <c r="B156" s="7">
        <f>172275*(110/100)</f>
        <v>189502.50000000003</v>
      </c>
      <c r="C156" s="7">
        <f>90590*(110/100)</f>
        <v>99649.000000000015</v>
      </c>
      <c r="D156" s="7">
        <f>137500*(110/100)</f>
        <v>151250</v>
      </c>
      <c r="E156" s="7">
        <f>148915*(110/100)</f>
        <v>163806.5</v>
      </c>
      <c r="F156" s="7">
        <f>141845*(110/100)</f>
        <v>156029.5</v>
      </c>
      <c r="G156" s="7">
        <f>171875*(110/100)</f>
        <v>189062.50000000003</v>
      </c>
      <c r="H156" s="7">
        <f>225595*(110/100)</f>
        <v>248154.50000000003</v>
      </c>
      <c r="I156" s="7">
        <f>354245*(110/100)</f>
        <v>389669.50000000006</v>
      </c>
      <c r="J156" s="7">
        <f>138190*(110/100)</f>
        <v>152009</v>
      </c>
      <c r="K156" s="7">
        <v>192039</v>
      </c>
      <c r="L156" s="7">
        <v>192039</v>
      </c>
      <c r="M156" s="13" t="s">
        <v>212</v>
      </c>
      <c r="N156" s="7">
        <f t="shared" si="89"/>
        <v>1920391</v>
      </c>
      <c r="O156" s="7">
        <f t="shared" si="90"/>
        <v>384078</v>
      </c>
      <c r="P156" s="7">
        <f t="shared" si="91"/>
        <v>2304469</v>
      </c>
      <c r="Q156" s="7">
        <v>2304469</v>
      </c>
      <c r="R156" s="7">
        <f t="shared" si="83"/>
        <v>0</v>
      </c>
      <c r="S156" s="7">
        <v>371993</v>
      </c>
      <c r="T156" s="7">
        <f>CEO!T156+CS!T156+CFO!T156+LLA!T156+'C&amp;E'!T156+CES!T156+LLT!T156+GB!T156</f>
        <v>0</v>
      </c>
      <c r="U156" s="7">
        <f t="shared" si="84"/>
        <v>2676462</v>
      </c>
      <c r="V156" s="7">
        <f t="shared" si="92"/>
        <v>371993</v>
      </c>
      <c r="W156" s="7"/>
      <c r="X156" s="7"/>
      <c r="Y156" s="7"/>
      <c r="Z156" s="7">
        <f t="shared" si="85"/>
        <v>2304469</v>
      </c>
      <c r="AA156" s="7">
        <f t="shared" si="87"/>
        <v>2534915.9000000004</v>
      </c>
      <c r="AB156" s="7">
        <f t="shared" si="86"/>
        <v>2788407.4900000007</v>
      </c>
    </row>
    <row r="157" spans="1:28" x14ac:dyDescent="0.3">
      <c r="A157" s="7">
        <f>21840*(110/100)</f>
        <v>24024.000000000004</v>
      </c>
      <c r="B157" s="7">
        <f>83985*(110/100)</f>
        <v>92383.500000000015</v>
      </c>
      <c r="C157" s="7">
        <f>72885*(110/100)</f>
        <v>80173.5</v>
      </c>
      <c r="D157" s="7">
        <f>45390*(110/100)</f>
        <v>49929.000000000007</v>
      </c>
      <c r="E157" s="7">
        <f>97510*(110/100)</f>
        <v>107261.00000000001</v>
      </c>
      <c r="F157" s="7">
        <f>37260*(110/100)</f>
        <v>40986</v>
      </c>
      <c r="G157" s="7">
        <f>98335*(110/100)</f>
        <v>108168.50000000001</v>
      </c>
      <c r="H157" s="7">
        <f>50140*(110/100)</f>
        <v>55154.000000000007</v>
      </c>
      <c r="I157" s="7">
        <f>28735*(110/100)</f>
        <v>31608.500000000004</v>
      </c>
      <c r="J157" s="7">
        <f>21190*(110/100)</f>
        <v>23309.000000000004</v>
      </c>
      <c r="K157" s="7">
        <f>28735*(110/100)</f>
        <v>31608.500000000004</v>
      </c>
      <c r="L157" s="7">
        <f>28735*(110/100)</f>
        <v>31608.500000000004</v>
      </c>
      <c r="M157" s="13" t="s">
        <v>213</v>
      </c>
      <c r="N157" s="7">
        <f t="shared" si="89"/>
        <v>612997</v>
      </c>
      <c r="O157" s="7">
        <f t="shared" si="90"/>
        <v>63217.000000000007</v>
      </c>
      <c r="P157" s="7">
        <f t="shared" si="91"/>
        <v>676214</v>
      </c>
      <c r="Q157" s="7">
        <v>676214</v>
      </c>
      <c r="R157" s="7">
        <f t="shared" si="83"/>
        <v>0</v>
      </c>
      <c r="S157" s="7"/>
      <c r="T157" s="7">
        <f>CEO!T157+CS!T157+CFO!T157+LLA!T157+'C&amp;E'!T157+CES!T157+LLT!T157+GB!T157</f>
        <v>0</v>
      </c>
      <c r="U157" s="7">
        <f t="shared" si="84"/>
        <v>676214</v>
      </c>
      <c r="V157" s="7">
        <f t="shared" si="92"/>
        <v>0</v>
      </c>
      <c r="W157" s="7"/>
      <c r="X157" s="7"/>
      <c r="Y157" s="7"/>
      <c r="Z157" s="7">
        <f t="shared" si="85"/>
        <v>676214</v>
      </c>
      <c r="AA157" s="7">
        <f t="shared" si="87"/>
        <v>743835.4</v>
      </c>
      <c r="AB157" s="7">
        <f t="shared" si="86"/>
        <v>818218.94000000006</v>
      </c>
    </row>
    <row r="158" spans="1:28" x14ac:dyDescent="0.3">
      <c r="A158" s="7">
        <f>24255*(110/100)</f>
        <v>26680.500000000004</v>
      </c>
      <c r="B158" s="7">
        <f>29260*(110/100)</f>
        <v>32186.000000000004</v>
      </c>
      <c r="C158" s="7">
        <f>23870*(110/100)</f>
        <v>26257.000000000004</v>
      </c>
      <c r="D158" s="7">
        <f>43120*(110/100)</f>
        <v>47432.000000000007</v>
      </c>
      <c r="E158" s="7">
        <f>42600*(110/100)</f>
        <v>46860.000000000007</v>
      </c>
      <c r="F158" s="7">
        <f>61405*(110/100)</f>
        <v>67545.5</v>
      </c>
      <c r="G158" s="7">
        <f>52360*(110/100)</f>
        <v>57596.000000000007</v>
      </c>
      <c r="H158" s="7">
        <f>40040*(110/100)</f>
        <v>44044</v>
      </c>
      <c r="I158" s="7">
        <f>25700*(110/100)</f>
        <v>28270.000000000004</v>
      </c>
      <c r="J158" s="7">
        <f>36045*(110/100)</f>
        <v>39649.5</v>
      </c>
      <c r="K158" s="7">
        <f>25700*(110/100)</f>
        <v>28270.000000000004</v>
      </c>
      <c r="L158" s="7">
        <f>25700*(110/100)</f>
        <v>28270.000000000004</v>
      </c>
      <c r="M158" s="127" t="s">
        <v>214</v>
      </c>
      <c r="N158" s="7">
        <f t="shared" si="89"/>
        <v>416520.50000000006</v>
      </c>
      <c r="O158" s="7">
        <f t="shared" si="90"/>
        <v>56540.000000000007</v>
      </c>
      <c r="P158" s="7">
        <f t="shared" si="91"/>
        <v>473060.50000000006</v>
      </c>
      <c r="Q158" s="7">
        <v>473060.50000000006</v>
      </c>
      <c r="R158" s="7">
        <f t="shared" si="83"/>
        <v>0</v>
      </c>
      <c r="S158" s="7"/>
      <c r="T158" s="7">
        <f>CEO!T158+CS!T158+CFO!T158+LLA!T158+'C&amp;E'!T158+CES!T158+LLT!T158+GB!T158</f>
        <v>0</v>
      </c>
      <c r="U158" s="7">
        <f t="shared" si="84"/>
        <v>473060.50000000006</v>
      </c>
      <c r="V158" s="7">
        <f t="shared" si="92"/>
        <v>0</v>
      </c>
      <c r="W158" s="7"/>
      <c r="X158" s="7"/>
      <c r="Y158" s="7"/>
      <c r="Z158" s="7">
        <f t="shared" si="85"/>
        <v>473060.50000000006</v>
      </c>
      <c r="AA158" s="7">
        <f t="shared" si="87"/>
        <v>520366.5500000001</v>
      </c>
      <c r="AB158" s="7">
        <f t="shared" si="86"/>
        <v>572403.20500000019</v>
      </c>
    </row>
    <row r="159" spans="1:28" x14ac:dyDescent="0.3">
      <c r="A159" s="7">
        <f>4260*(110/100)</f>
        <v>4686</v>
      </c>
      <c r="B159" s="7">
        <f>11240*(110/100)</f>
        <v>12364.000000000002</v>
      </c>
      <c r="C159" s="7">
        <f>710*(110/100)</f>
        <v>781.00000000000011</v>
      </c>
      <c r="D159" s="7">
        <f>8520*(110/100)</f>
        <v>9372</v>
      </c>
      <c r="E159" s="7">
        <f>5680*(110/100)</f>
        <v>6248.0000000000009</v>
      </c>
      <c r="F159" s="7">
        <f>1420*(110/100)</f>
        <v>1562.0000000000002</v>
      </c>
      <c r="G159" s="7">
        <f>2840*(110/100)</f>
        <v>3124.0000000000005</v>
      </c>
      <c r="H159" s="7">
        <f>710*(110/100)</f>
        <v>781.00000000000011</v>
      </c>
      <c r="I159" s="7">
        <f>0*(110/100)</f>
        <v>0</v>
      </c>
      <c r="J159" s="7">
        <f>710*(110/100)</f>
        <v>781.00000000000011</v>
      </c>
      <c r="K159" s="7">
        <f>0*(110/100)</f>
        <v>0</v>
      </c>
      <c r="L159" s="7">
        <f>0*(110/100)</f>
        <v>0</v>
      </c>
      <c r="M159" s="13" t="s">
        <v>215</v>
      </c>
      <c r="N159" s="7">
        <f t="shared" si="89"/>
        <v>39699</v>
      </c>
      <c r="O159" s="7">
        <f t="shared" si="90"/>
        <v>0</v>
      </c>
      <c r="P159" s="7">
        <f t="shared" si="91"/>
        <v>39699</v>
      </c>
      <c r="Q159" s="7">
        <v>39699</v>
      </c>
      <c r="R159" s="7">
        <f t="shared" si="83"/>
        <v>0</v>
      </c>
      <c r="S159" s="7"/>
      <c r="T159" s="7">
        <f>CEO!T159+CS!T159+CFO!T159+LLA!T159+'C&amp;E'!T159+CES!T159+LLT!T159+GB!T159</f>
        <v>0</v>
      </c>
      <c r="U159" s="7">
        <f t="shared" si="84"/>
        <v>39699</v>
      </c>
      <c r="V159" s="7">
        <f t="shared" si="92"/>
        <v>0</v>
      </c>
      <c r="W159" s="7"/>
      <c r="X159" s="7"/>
      <c r="Y159" s="7"/>
      <c r="Z159" s="7">
        <f t="shared" si="85"/>
        <v>39699</v>
      </c>
      <c r="AA159" s="7">
        <f t="shared" si="87"/>
        <v>43668.9</v>
      </c>
      <c r="AB159" s="7">
        <f t="shared" si="86"/>
        <v>48035.790000000008</v>
      </c>
    </row>
    <row r="160" spans="1:28" x14ac:dyDescent="0.3">
      <c r="A160" s="11">
        <f t="shared" ref="A160:H160" si="99">0*(110/100)</f>
        <v>0</v>
      </c>
      <c r="B160" s="11">
        <f t="shared" si="99"/>
        <v>0</v>
      </c>
      <c r="C160" s="11">
        <f t="shared" si="99"/>
        <v>0</v>
      </c>
      <c r="D160" s="11">
        <f t="shared" si="99"/>
        <v>0</v>
      </c>
      <c r="E160" s="11">
        <f t="shared" si="99"/>
        <v>0</v>
      </c>
      <c r="F160" s="11">
        <f t="shared" si="99"/>
        <v>0</v>
      </c>
      <c r="G160" s="11">
        <f t="shared" si="99"/>
        <v>0</v>
      </c>
      <c r="H160" s="11">
        <f t="shared" si="99"/>
        <v>0</v>
      </c>
      <c r="I160" s="11">
        <f>0*(110/100)</f>
        <v>0</v>
      </c>
      <c r="J160" s="11">
        <f>0*(110/100)</f>
        <v>0</v>
      </c>
      <c r="K160" s="11">
        <f>0*(110/100)</f>
        <v>0</v>
      </c>
      <c r="L160" s="11">
        <f>0*(110/100)</f>
        <v>0</v>
      </c>
      <c r="M160" s="13" t="s">
        <v>216</v>
      </c>
      <c r="N160" s="11">
        <f t="shared" si="89"/>
        <v>0</v>
      </c>
      <c r="O160" s="11">
        <f t="shared" si="90"/>
        <v>0</v>
      </c>
      <c r="P160" s="11">
        <f t="shared" si="91"/>
        <v>0</v>
      </c>
      <c r="Q160" s="11">
        <v>0</v>
      </c>
      <c r="R160" s="11">
        <f t="shared" si="83"/>
        <v>0</v>
      </c>
      <c r="S160" s="11"/>
      <c r="T160" s="11">
        <f>CEO!T160+CS!T160+CFO!T160+LLA!T160+'C&amp;E'!T160+CES!T160+LLT!T160+GB!T160</f>
        <v>0</v>
      </c>
      <c r="U160" s="11">
        <f t="shared" si="84"/>
        <v>0</v>
      </c>
      <c r="V160" s="11">
        <f t="shared" si="92"/>
        <v>0</v>
      </c>
      <c r="W160" s="11"/>
      <c r="X160" s="11"/>
      <c r="Y160" s="11"/>
      <c r="Z160" s="11">
        <f t="shared" si="85"/>
        <v>0</v>
      </c>
      <c r="AA160" s="11">
        <f t="shared" si="87"/>
        <v>0</v>
      </c>
      <c r="AB160" s="11">
        <f t="shared" si="86"/>
        <v>0</v>
      </c>
    </row>
    <row r="161" spans="1:28" ht="6" customHeight="1" x14ac:dyDescent="0.3">
      <c r="A161" s="81"/>
      <c r="B161" s="81"/>
      <c r="C161" s="81"/>
      <c r="D161" s="82"/>
      <c r="E161" s="81"/>
      <c r="F161" s="81"/>
      <c r="G161" s="81"/>
      <c r="H161" s="81"/>
      <c r="I161" s="81"/>
      <c r="J161" s="81"/>
      <c r="K161" s="81"/>
      <c r="L161" s="81"/>
      <c r="M161" s="13"/>
      <c r="N161" s="81">
        <f t="shared" ref="N161:N171" si="100">SUM(A161:J161)</f>
        <v>0</v>
      </c>
      <c r="O161" s="81">
        <f t="shared" si="90"/>
        <v>0</v>
      </c>
      <c r="P161" s="81">
        <f t="shared" si="91"/>
        <v>0</v>
      </c>
      <c r="Q161" s="81"/>
      <c r="R161" s="81">
        <f t="shared" ref="R161:R171" si="101">P161-Q161</f>
        <v>0</v>
      </c>
      <c r="S161" s="81">
        <f>CEO!S161+CS!S161+CFO!S161+LLA!S161+'C&amp;E'!S161+CES!S161+LLT!S161+GB!S161</f>
        <v>0</v>
      </c>
      <c r="T161" s="81">
        <f>CEO!T161+CS!T161+CFO!T161+LLA!T161+'C&amp;E'!T161+CES!T161+LLT!T161+GB!T161</f>
        <v>0</v>
      </c>
      <c r="U161" s="81">
        <f t="shared" si="84"/>
        <v>0</v>
      </c>
      <c r="V161" s="81">
        <f t="shared" si="92"/>
        <v>0</v>
      </c>
      <c r="W161" s="81"/>
      <c r="X161" s="81"/>
      <c r="Y161" s="81"/>
      <c r="Z161" s="81"/>
      <c r="AA161" s="81"/>
      <c r="AB161" s="81"/>
    </row>
    <row r="162" spans="1:28" x14ac:dyDescent="0.3">
      <c r="A162" s="4">
        <f t="shared" ref="A162:F162" si="102">SUM(A131:A160)</f>
        <v>699028</v>
      </c>
      <c r="B162" s="4">
        <f t="shared" si="102"/>
        <v>1149252.5</v>
      </c>
      <c r="C162" s="4">
        <f t="shared" si="102"/>
        <v>543406.38</v>
      </c>
      <c r="D162" s="4">
        <f t="shared" si="102"/>
        <v>644699</v>
      </c>
      <c r="E162" s="4">
        <f t="shared" si="102"/>
        <v>1049070</v>
      </c>
      <c r="F162" s="4">
        <f t="shared" si="102"/>
        <v>742670.5</v>
      </c>
      <c r="G162" s="4">
        <f t="shared" ref="G162:L162" si="103">SUM(G131:G160)</f>
        <v>999747.10000000009</v>
      </c>
      <c r="H162" s="4">
        <f t="shared" si="103"/>
        <v>975683.50000000012</v>
      </c>
      <c r="I162" s="4">
        <f t="shared" si="103"/>
        <v>822074</v>
      </c>
      <c r="J162" s="4">
        <f t="shared" si="103"/>
        <v>995871.25000000012</v>
      </c>
      <c r="K162" s="4">
        <f t="shared" si="103"/>
        <v>1174443.5</v>
      </c>
      <c r="L162" s="4">
        <f t="shared" si="103"/>
        <v>1174443.5</v>
      </c>
      <c r="M162" s="13" t="s">
        <v>217</v>
      </c>
      <c r="N162" s="4">
        <f t="shared" ref="N162:P162" si="104">SUM(N131:N160)</f>
        <v>8621502.2300000004</v>
      </c>
      <c r="O162" s="4">
        <f t="shared" si="104"/>
        <v>2348887</v>
      </c>
      <c r="P162" s="4">
        <f t="shared" si="104"/>
        <v>10970389.23</v>
      </c>
      <c r="Q162" s="4">
        <f>SUM(Q131:Q160)</f>
        <v>11070389.23</v>
      </c>
      <c r="R162" s="4">
        <f>SUM(R131:R160)</f>
        <v>100000</v>
      </c>
      <c r="S162" s="4">
        <f>SUM(S131:S160)</f>
        <v>371993</v>
      </c>
      <c r="T162" s="4">
        <f>CEO!T162+CS!T162+CFO!T162+LLA!T162+'C&amp;E'!T162+CES!T162+LLT!T162+GB!T162</f>
        <v>0</v>
      </c>
      <c r="U162" s="4">
        <f t="shared" si="84"/>
        <v>11442382.23</v>
      </c>
      <c r="V162" s="4">
        <f t="shared" si="92"/>
        <v>471993</v>
      </c>
      <c r="W162" s="4"/>
      <c r="X162" s="4"/>
      <c r="Y162" s="4"/>
      <c r="Z162" s="4">
        <f>SUM(Z131:Z160)</f>
        <v>11070389.23</v>
      </c>
      <c r="AA162" s="4">
        <f>SUM(AA131:AA160)</f>
        <v>12177428.153000001</v>
      </c>
      <c r="AB162" s="4">
        <f>SUM(AB131:AB160)</f>
        <v>13395170.9683</v>
      </c>
    </row>
    <row r="163" spans="1:28" ht="6.6" customHeight="1" x14ac:dyDescent="0.3">
      <c r="A163" s="81"/>
      <c r="B163" s="81"/>
      <c r="C163" s="81"/>
      <c r="D163" s="82"/>
      <c r="E163" s="95"/>
      <c r="F163" s="95"/>
      <c r="G163" s="95"/>
      <c r="H163" s="95"/>
      <c r="I163" s="95"/>
      <c r="J163" s="95"/>
      <c r="K163" s="95"/>
      <c r="L163" s="95"/>
      <c r="M163" s="122"/>
      <c r="N163" s="95">
        <f t="shared" si="100"/>
        <v>0</v>
      </c>
      <c r="O163" s="95">
        <f t="shared" si="90"/>
        <v>0</v>
      </c>
      <c r="P163" s="95">
        <f t="shared" si="91"/>
        <v>0</v>
      </c>
      <c r="Q163" s="95"/>
      <c r="R163" s="95">
        <f t="shared" si="101"/>
        <v>0</v>
      </c>
      <c r="S163" s="95">
        <f>CEO!S163+CS!S163+CFO!S163+LLA!S163+'C&amp;E'!S163+CES!S163+LLT!S163+GB!S163</f>
        <v>0</v>
      </c>
      <c r="T163" s="95">
        <f>CEO!T163+CS!T163+CFO!T163+LLA!T163+'C&amp;E'!T163+CES!T163+LLT!T163+GB!T163</f>
        <v>0</v>
      </c>
      <c r="U163" s="95">
        <f t="shared" si="84"/>
        <v>0</v>
      </c>
      <c r="V163" s="95">
        <f t="shared" si="92"/>
        <v>0</v>
      </c>
      <c r="W163" s="81"/>
      <c r="X163" s="95"/>
      <c r="Y163" s="95"/>
      <c r="Z163" s="95"/>
      <c r="AA163" s="95"/>
      <c r="AB163" s="95"/>
    </row>
    <row r="164" spans="1:28" x14ac:dyDescent="0.3">
      <c r="A164" s="8">
        <f>42079.89+12394.27</f>
        <v>54474.16</v>
      </c>
      <c r="B164" s="8">
        <f>38698.04+4696.58</f>
        <v>43394.62</v>
      </c>
      <c r="C164" s="8">
        <v>44882.31</v>
      </c>
      <c r="D164" s="8">
        <v>36455.99</v>
      </c>
      <c r="E164" s="8">
        <v>61024.2</v>
      </c>
      <c r="F164" s="8">
        <v>40266.14</v>
      </c>
      <c r="G164" s="8">
        <v>73014.36</v>
      </c>
      <c r="H164" s="8">
        <v>63043.87</v>
      </c>
      <c r="I164" s="8">
        <v>100039.03999999999</v>
      </c>
      <c r="J164" s="8">
        <f>130.52+206445.5+30470.82</f>
        <v>237046.84</v>
      </c>
      <c r="K164" s="8">
        <v>70000</v>
      </c>
      <c r="L164" s="8">
        <v>70000</v>
      </c>
      <c r="M164" s="13" t="s">
        <v>218</v>
      </c>
      <c r="N164" s="8">
        <f t="shared" ref="N164:N168" si="105">SUM(A164:J164)</f>
        <v>753641.52999999991</v>
      </c>
      <c r="O164" s="8">
        <f t="shared" si="90"/>
        <v>140000</v>
      </c>
      <c r="P164" s="8">
        <f t="shared" si="91"/>
        <v>893641.52999999991</v>
      </c>
      <c r="Q164" s="8">
        <v>893641.52999999991</v>
      </c>
      <c r="R164" s="8">
        <f t="shared" ref="R164:R168" si="106">Q164-P164</f>
        <v>0</v>
      </c>
      <c r="S164" s="8">
        <v>150000</v>
      </c>
      <c r="T164" s="8">
        <f>CEO!T164+CS!T164+CFO!T164+LLA!T164+'C&amp;E'!T164+CES!T164+LLT!T164+GB!T164</f>
        <v>0</v>
      </c>
      <c r="U164" s="8">
        <f t="shared" si="84"/>
        <v>1043641.5299999999</v>
      </c>
      <c r="V164" s="8">
        <f t="shared" si="92"/>
        <v>150000</v>
      </c>
      <c r="W164" s="8"/>
      <c r="X164" s="8"/>
      <c r="Y164" s="8"/>
      <c r="Z164" s="8">
        <f t="shared" ref="Z164" si="107">Q164</f>
        <v>893641.52999999991</v>
      </c>
      <c r="AA164" s="8">
        <f t="shared" ref="AA164:AB164" si="108">Z164*1.1</f>
        <v>983005.68299999996</v>
      </c>
      <c r="AB164" s="8">
        <f t="shared" si="108"/>
        <v>1081306.2513000001</v>
      </c>
    </row>
    <row r="165" spans="1:28" x14ac:dyDescent="0.3">
      <c r="A165" s="7">
        <v>0</v>
      </c>
      <c r="B165" s="7">
        <v>0</v>
      </c>
      <c r="C165" s="7">
        <f>$Q$165/4</f>
        <v>10569250</v>
      </c>
      <c r="D165" s="7">
        <v>0</v>
      </c>
      <c r="E165" s="7">
        <f>$Q$165/4</f>
        <v>10569250</v>
      </c>
      <c r="F165" s="7">
        <v>0</v>
      </c>
      <c r="G165" s="7"/>
      <c r="H165" s="7">
        <f>$Q$165/4</f>
        <v>10569250</v>
      </c>
      <c r="I165" s="7"/>
      <c r="J165" s="7"/>
      <c r="K165" s="7">
        <f>$Q$165/4</f>
        <v>10569250</v>
      </c>
      <c r="L165" s="7"/>
      <c r="M165" s="127" t="s">
        <v>219</v>
      </c>
      <c r="N165" s="7">
        <f t="shared" si="105"/>
        <v>31707750</v>
      </c>
      <c r="O165" s="7">
        <f t="shared" si="90"/>
        <v>10569250</v>
      </c>
      <c r="P165" s="7">
        <f t="shared" si="91"/>
        <v>42277000</v>
      </c>
      <c r="Q165" s="7">
        <v>42277000</v>
      </c>
      <c r="R165" s="7">
        <f t="shared" si="106"/>
        <v>0</v>
      </c>
      <c r="S165" s="7">
        <f>CEO!S165+CS!S165+CFO!S165+LLA!S165+'C&amp;E'!S165+CES!S165+LLT!S165+GB!S165</f>
        <v>0</v>
      </c>
      <c r="T165" s="7">
        <f>CEO!T165+CS!T165+CFO!T165+LLA!T165+'C&amp;E'!T165+CES!T165+LLT!T165+GB!T165</f>
        <v>0</v>
      </c>
      <c r="U165" s="7">
        <f t="shared" si="84"/>
        <v>42277000</v>
      </c>
      <c r="V165" s="7">
        <f t="shared" si="92"/>
        <v>0</v>
      </c>
      <c r="W165" s="7"/>
      <c r="X165" s="7"/>
      <c r="Y165" s="7"/>
      <c r="Z165" s="7">
        <f t="shared" ref="Z165:Z168" si="109">Q165</f>
        <v>42277000</v>
      </c>
      <c r="AA165" s="7">
        <v>44144000</v>
      </c>
      <c r="AB165" s="7">
        <v>45688000</v>
      </c>
    </row>
    <row r="166" spans="1:28" x14ac:dyDescent="0.3">
      <c r="A166" s="7">
        <v>0</v>
      </c>
      <c r="B166" s="7">
        <v>0</v>
      </c>
      <c r="C166" s="7">
        <v>0</v>
      </c>
      <c r="D166" s="7"/>
      <c r="E166" s="7"/>
      <c r="F166" s="7"/>
      <c r="G166" s="7"/>
      <c r="H166" s="7"/>
      <c r="I166" s="7"/>
      <c r="J166" s="7"/>
      <c r="K166" s="7"/>
      <c r="L166" s="7"/>
      <c r="M166" s="13" t="s">
        <v>220</v>
      </c>
      <c r="N166" s="7">
        <f t="shared" si="105"/>
        <v>0</v>
      </c>
      <c r="O166" s="7">
        <f t="shared" si="90"/>
        <v>0</v>
      </c>
      <c r="P166" s="7">
        <f t="shared" si="91"/>
        <v>0</v>
      </c>
      <c r="Q166" s="7">
        <v>0</v>
      </c>
      <c r="R166" s="7">
        <f t="shared" si="106"/>
        <v>0</v>
      </c>
      <c r="S166" s="7">
        <v>2819000</v>
      </c>
      <c r="T166" s="7">
        <f>CEO!T166+CS!T166+CFO!T166+LLA!T166+'C&amp;E'!T166+CES!T166+LLT!T166+GB!T166</f>
        <v>0</v>
      </c>
      <c r="U166" s="7">
        <f t="shared" si="84"/>
        <v>2819000</v>
      </c>
      <c r="V166" s="7">
        <f t="shared" si="92"/>
        <v>2819000</v>
      </c>
      <c r="W166" s="7"/>
      <c r="X166" s="7"/>
      <c r="Y166" s="7"/>
      <c r="Z166" s="7">
        <f t="shared" si="109"/>
        <v>0</v>
      </c>
      <c r="AA166" s="7">
        <v>0</v>
      </c>
      <c r="AB166" s="7">
        <v>0</v>
      </c>
    </row>
    <row r="167" spans="1:28" x14ac:dyDescent="0.3">
      <c r="A167" s="7">
        <v>0</v>
      </c>
      <c r="B167" s="7">
        <v>0</v>
      </c>
      <c r="C167" s="7">
        <v>0</v>
      </c>
      <c r="D167" s="7"/>
      <c r="E167" s="7"/>
      <c r="F167" s="7"/>
      <c r="G167" s="7"/>
      <c r="H167" s="7"/>
      <c r="I167" s="7"/>
      <c r="J167" s="7"/>
      <c r="K167" s="7"/>
      <c r="L167" s="7"/>
      <c r="M167" s="13" t="s">
        <v>221</v>
      </c>
      <c r="N167" s="7">
        <f t="shared" si="105"/>
        <v>0</v>
      </c>
      <c r="O167" s="7">
        <f t="shared" si="90"/>
        <v>0</v>
      </c>
      <c r="P167" s="7">
        <f t="shared" si="91"/>
        <v>0</v>
      </c>
      <c r="Q167" s="7">
        <v>0</v>
      </c>
      <c r="R167" s="7">
        <f t="shared" si="106"/>
        <v>0</v>
      </c>
      <c r="S167" s="7">
        <f>3528000</f>
        <v>3528000</v>
      </c>
      <c r="T167" s="7">
        <f>CEO!T167+CS!T167+CFO!T167+LLA!T167+'C&amp;E'!T167+CES!T167+LLT!T167+GB!T167</f>
        <v>0</v>
      </c>
      <c r="U167" s="7">
        <f t="shared" si="84"/>
        <v>3528000</v>
      </c>
      <c r="V167" s="7">
        <f t="shared" si="92"/>
        <v>3528000</v>
      </c>
      <c r="W167" s="7"/>
      <c r="X167" s="7"/>
      <c r="Y167" s="7"/>
      <c r="Z167" s="7">
        <f t="shared" si="109"/>
        <v>0</v>
      </c>
      <c r="AA167" s="7">
        <v>0</v>
      </c>
      <c r="AB167" s="7">
        <v>0</v>
      </c>
    </row>
    <row r="168" spans="1:28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27" t="s">
        <v>222</v>
      </c>
      <c r="N168" s="11">
        <f t="shared" si="105"/>
        <v>0</v>
      </c>
      <c r="O168" s="11">
        <f t="shared" si="90"/>
        <v>0</v>
      </c>
      <c r="P168" s="11">
        <f t="shared" si="91"/>
        <v>0</v>
      </c>
      <c r="Q168" s="11"/>
      <c r="R168" s="11">
        <f t="shared" si="106"/>
        <v>0</v>
      </c>
      <c r="S168" s="11">
        <f>CEO!S168+CS!S168+CFO!S168+LLA!S168+'C&amp;E'!S168+CES!S168+LLT!S168+GB!S168</f>
        <v>0</v>
      </c>
      <c r="T168" s="11">
        <f>CEO!T168+CS!T168+CFO!T168+LLA!T168+'C&amp;E'!T168+CES!T168+LLT!T168+GB!T168</f>
        <v>0</v>
      </c>
      <c r="U168" s="11">
        <f t="shared" si="84"/>
        <v>0</v>
      </c>
      <c r="V168" s="11">
        <f t="shared" si="92"/>
        <v>0</v>
      </c>
      <c r="W168" s="11"/>
      <c r="X168" s="11"/>
      <c r="Y168" s="11"/>
      <c r="Z168" s="11">
        <f t="shared" si="109"/>
        <v>0</v>
      </c>
      <c r="AA168" s="11"/>
      <c r="AB168" s="11"/>
    </row>
    <row r="169" spans="1:28" ht="4.2" customHeight="1" x14ac:dyDescent="0.3">
      <c r="A169" s="81"/>
      <c r="B169" s="81"/>
      <c r="C169" s="81"/>
      <c r="D169" s="82"/>
      <c r="E169" s="97"/>
      <c r="F169" s="96"/>
      <c r="G169" s="96"/>
      <c r="H169" s="96"/>
      <c r="I169" s="96"/>
      <c r="J169" s="96"/>
      <c r="K169" s="96"/>
      <c r="L169" s="96"/>
      <c r="M169" s="13"/>
      <c r="N169" s="96">
        <f t="shared" si="100"/>
        <v>0</v>
      </c>
      <c r="O169" s="96">
        <f t="shared" si="90"/>
        <v>0</v>
      </c>
      <c r="P169" s="96">
        <f t="shared" si="91"/>
        <v>0</v>
      </c>
      <c r="Q169" s="96"/>
      <c r="R169" s="96">
        <f t="shared" si="101"/>
        <v>0</v>
      </c>
      <c r="S169" s="96">
        <f>CEO!S169+CS!S169+CFO!S169+LLA!S169+'C&amp;E'!S169+CES!S169+LLT!S169+GB!S169</f>
        <v>0</v>
      </c>
      <c r="T169" s="96">
        <f>CEO!T169+CS!T169+CFO!T169+LLA!T169+'C&amp;E'!T169+CES!T169+LLT!T169+GB!T169</f>
        <v>0</v>
      </c>
      <c r="U169" s="96">
        <f t="shared" si="84"/>
        <v>0</v>
      </c>
      <c r="V169" s="96">
        <f t="shared" si="92"/>
        <v>0</v>
      </c>
      <c r="W169" s="81"/>
      <c r="X169" s="96"/>
      <c r="Y169" s="96"/>
      <c r="Z169" s="96"/>
      <c r="AA169" s="96"/>
      <c r="AB169" s="96"/>
    </row>
    <row r="170" spans="1:28" x14ac:dyDescent="0.3">
      <c r="A170" s="4">
        <f>A162+SUM(A164:A168)</f>
        <v>753502.16</v>
      </c>
      <c r="B170" s="4">
        <f t="shared" ref="B170:O170" si="110">B162+SUM(B164:B168)</f>
        <v>1192647.1200000001</v>
      </c>
      <c r="C170" s="4">
        <f t="shared" si="110"/>
        <v>11157538.690000001</v>
      </c>
      <c r="D170" s="4">
        <f t="shared" si="110"/>
        <v>681154.99</v>
      </c>
      <c r="E170" s="4">
        <f t="shared" si="110"/>
        <v>11679344.199999999</v>
      </c>
      <c r="F170" s="4">
        <f t="shared" si="110"/>
        <v>782936.64</v>
      </c>
      <c r="G170" s="4">
        <f t="shared" si="110"/>
        <v>1072761.4600000002</v>
      </c>
      <c r="H170" s="4">
        <f>H162+SUM(H164:H168)</f>
        <v>11607977.369999999</v>
      </c>
      <c r="I170" s="4">
        <f t="shared" si="110"/>
        <v>922113.04</v>
      </c>
      <c r="J170" s="4">
        <f t="shared" si="110"/>
        <v>1232918.0900000001</v>
      </c>
      <c r="K170" s="4">
        <f t="shared" si="110"/>
        <v>11813693.5</v>
      </c>
      <c r="L170" s="4">
        <f t="shared" si="110"/>
        <v>1244443.5</v>
      </c>
      <c r="M170" s="13" t="s">
        <v>223</v>
      </c>
      <c r="N170" s="4">
        <f>N162+SUM(N164:N168)</f>
        <v>41082893.760000005</v>
      </c>
      <c r="O170" s="4">
        <f t="shared" si="110"/>
        <v>13058137</v>
      </c>
      <c r="P170" s="4">
        <f>P162+SUM(P164:P168)</f>
        <v>54141030.760000005</v>
      </c>
      <c r="Q170" s="4">
        <f>SUM(Q162:Q168)</f>
        <v>54241030.759999998</v>
      </c>
      <c r="R170" s="4">
        <f>SUM(R162:R168)</f>
        <v>100000</v>
      </c>
      <c r="S170" s="4">
        <f>SUM(S162:S168)</f>
        <v>6868993</v>
      </c>
      <c r="T170" s="4">
        <f>CEO!T170+CS!T170+CFO!T170+LLA!T170+'C&amp;E'!T170+CES!T170+LLT!T170+GB!T170</f>
        <v>0</v>
      </c>
      <c r="U170" s="4">
        <f t="shared" si="84"/>
        <v>61110023.759999998</v>
      </c>
      <c r="V170" s="4">
        <f t="shared" si="92"/>
        <v>6968992.9999999925</v>
      </c>
      <c r="W170" s="4"/>
      <c r="X170" s="4"/>
      <c r="Y170" s="4"/>
      <c r="Z170" s="4">
        <f>SUM(Z162:Z168)</f>
        <v>54241030.759999998</v>
      </c>
      <c r="AA170" s="4">
        <f>SUM(AA162:AA168)</f>
        <v>57304433.836000003</v>
      </c>
      <c r="AB170" s="4">
        <f>SUM(AB162:AB168)</f>
        <v>60164477.219599999</v>
      </c>
    </row>
    <row r="171" spans="1:28" ht="7.95" customHeight="1" x14ac:dyDescent="0.3">
      <c r="A171" s="99"/>
      <c r="B171" s="99"/>
      <c r="C171" s="99"/>
      <c r="D171" s="100"/>
      <c r="E171" s="98"/>
      <c r="I171" s="78"/>
      <c r="K171" s="78"/>
      <c r="L171" s="78"/>
      <c r="M171" s="13"/>
      <c r="N171" s="78">
        <f t="shared" si="100"/>
        <v>0</v>
      </c>
      <c r="O171" s="78">
        <f t="shared" si="90"/>
        <v>0</v>
      </c>
      <c r="P171" s="78">
        <f t="shared" si="91"/>
        <v>0</v>
      </c>
      <c r="Q171" s="78"/>
      <c r="R171" s="78">
        <f t="shared" si="101"/>
        <v>0</v>
      </c>
      <c r="S171" s="78">
        <f>CEO!S171+CS!S171+CFO!S171+LLA!S171+'C&amp;E'!S171+CES!S171+LLT!S171+GB!S171</f>
        <v>0</v>
      </c>
      <c r="T171" s="78">
        <f>CEO!T171+CS!T171+CFO!T171+LLA!T171+'C&amp;E'!T171+CES!T171+LLT!T171+GB!T171</f>
        <v>0</v>
      </c>
      <c r="U171" s="78">
        <f t="shared" si="84"/>
        <v>0</v>
      </c>
      <c r="V171" s="78">
        <f t="shared" si="92"/>
        <v>0</v>
      </c>
      <c r="W171" s="99"/>
      <c r="X171" s="78"/>
      <c r="Y171" s="78"/>
      <c r="Z171" s="78"/>
      <c r="AA171" s="78"/>
      <c r="AB171" s="78"/>
    </row>
    <row r="172" spans="1:28" x14ac:dyDescent="0.3">
      <c r="A172" s="4">
        <f>A129-A170</f>
        <v>3495884.124269166</v>
      </c>
      <c r="B172" s="4">
        <f>B129-B170</f>
        <v>3472773.7743893787</v>
      </c>
      <c r="C172" s="4">
        <f>C129-C170</f>
        <v>-6174465.1281663952</v>
      </c>
      <c r="D172" s="4">
        <f>D129-D170</f>
        <v>4499887.4747165795</v>
      </c>
      <c r="E172" s="4">
        <f>E129-E170</f>
        <v>-6970091.9524063924</v>
      </c>
      <c r="F172" s="4">
        <f t="shared" ref="F172:L172" si="111">F129-F170</f>
        <v>4009793.8975136061</v>
      </c>
      <c r="G172" s="4">
        <f>G129-G170</f>
        <v>3491657.2346365806</v>
      </c>
      <c r="H172" s="4" t="e">
        <f t="shared" si="111"/>
        <v>#REF!</v>
      </c>
      <c r="I172" s="4">
        <f>I129-I170</f>
        <v>3567829.3042381387</v>
      </c>
      <c r="J172" s="4">
        <f t="shared" si="111"/>
        <v>3283941.0651165796</v>
      </c>
      <c r="K172" s="4">
        <f t="shared" si="111"/>
        <v>-7278001.0703844707</v>
      </c>
      <c r="L172" s="4">
        <f t="shared" si="111"/>
        <v>3417041.2546317466</v>
      </c>
      <c r="M172" s="13" t="s">
        <v>224</v>
      </c>
      <c r="N172" s="4" t="e">
        <f>N129-N170</f>
        <v>#REF!</v>
      </c>
      <c r="O172" s="4">
        <f>O129-O170</f>
        <v>-3860959.8157527242</v>
      </c>
      <c r="P172" s="4" t="e">
        <f t="shared" ref="P172" si="112">P129-P170</f>
        <v>#REF!</v>
      </c>
      <c r="Q172" s="4">
        <f>Q129-Q170</f>
        <v>3094354.6307515353</v>
      </c>
      <c r="R172" s="4" t="e">
        <f>R129-R170</f>
        <v>#REF!</v>
      </c>
      <c r="S172" s="4">
        <f>S129-S170</f>
        <v>-0.39478858839720488</v>
      </c>
      <c r="T172" s="4">
        <f t="shared" ref="T172" si="113">T129-T170</f>
        <v>-0.39194171888175333</v>
      </c>
      <c r="U172" s="4">
        <f>U129-U170</f>
        <v>3094353.8440212309</v>
      </c>
      <c r="V172" s="4" t="e">
        <f t="shared" si="92"/>
        <v>#REF!</v>
      </c>
      <c r="W172" s="4"/>
      <c r="X172" s="4"/>
      <c r="Y172" s="4"/>
      <c r="Z172" s="4">
        <f>Z129-Z170</f>
        <v>3061717.7413459346</v>
      </c>
      <c r="AA172" s="4" t="e">
        <f>AA129-AA170</f>
        <v>#REF!</v>
      </c>
      <c r="AB172" s="4" t="e">
        <f>AB129-AB170</f>
        <v>#REF!</v>
      </c>
    </row>
    <row r="173" spans="1:28" x14ac:dyDescent="0.3">
      <c r="A173" s="101"/>
      <c r="B173" s="101"/>
      <c r="C173" s="101"/>
      <c r="D173" s="102"/>
      <c r="E173" s="98"/>
      <c r="M173" s="123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</row>
    <row r="174" spans="1:28" x14ac:dyDescent="0.3">
      <c r="A174" s="103"/>
      <c r="B174" s="103"/>
      <c r="C174" s="103"/>
      <c r="D174" s="104"/>
      <c r="M174" s="12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</row>
    <row r="175" spans="1:28" x14ac:dyDescent="0.3">
      <c r="A175" s="103"/>
      <c r="B175" s="103"/>
      <c r="C175" s="103"/>
      <c r="D175" s="104"/>
      <c r="M175" s="12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</row>
    <row r="176" spans="1:28" x14ac:dyDescent="0.3">
      <c r="A176" s="105"/>
      <c r="B176" s="105"/>
      <c r="C176" s="105"/>
      <c r="D176" s="104"/>
      <c r="G176" s="98"/>
      <c r="L176" s="329"/>
      <c r="M176" s="123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</row>
    <row r="177" spans="1:23" x14ac:dyDescent="0.3">
      <c r="A177" s="103"/>
      <c r="B177" s="103"/>
      <c r="C177" s="103"/>
      <c r="D177" s="104"/>
      <c r="G177" s="98"/>
      <c r="L177" s="330"/>
      <c r="M177" s="12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</row>
    <row r="178" spans="1:23" x14ac:dyDescent="0.3">
      <c r="A178" s="105"/>
      <c r="B178" s="105"/>
      <c r="C178" s="105"/>
      <c r="D178" s="104"/>
      <c r="G178" s="98"/>
      <c r="L178" s="330"/>
      <c r="M178" s="123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</row>
    <row r="179" spans="1:23" x14ac:dyDescent="0.3">
      <c r="A179" s="15"/>
      <c r="B179" s="15"/>
      <c r="C179" s="15"/>
      <c r="D179" s="106"/>
      <c r="L179" s="78"/>
      <c r="M179" s="123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:23" x14ac:dyDescent="0.3">
      <c r="A180" s="15"/>
      <c r="B180" s="15"/>
      <c r="C180" s="15"/>
      <c r="D180" s="106"/>
      <c r="L180" s="78"/>
      <c r="M180" s="123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310" spans="195:195" x14ac:dyDescent="0.3">
      <c r="GM310" s="18" t="s">
        <v>404</v>
      </c>
    </row>
  </sheetData>
  <mergeCells count="4">
    <mergeCell ref="M1:N1"/>
    <mergeCell ref="A3:L3"/>
    <mergeCell ref="M4:M5"/>
    <mergeCell ref="N3:W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GL310"/>
  <sheetViews>
    <sheetView tabSelected="1" zoomScale="63" zoomScaleNormal="63" workbookViewId="0">
      <pane xSplit="13" ySplit="6" topLeftCell="Q157" activePane="bottomRight" state="frozen"/>
      <selection pane="topRight" activeCell="N1" sqref="N1"/>
      <selection pane="bottomLeft" activeCell="A7" sqref="A7"/>
      <selection pane="bottomRight" activeCell="Q1" sqref="A1:W172"/>
    </sheetView>
  </sheetViews>
  <sheetFormatPr defaultColWidth="9.109375" defaultRowHeight="14.4" x14ac:dyDescent="0.3"/>
  <cols>
    <col min="1" max="2" width="14.33203125" style="107" customWidth="1"/>
    <col min="3" max="3" width="15.88671875" style="107" bestFit="1" customWidth="1"/>
    <col min="4" max="4" width="14.33203125" style="108" customWidth="1"/>
    <col min="5" max="5" width="15.88671875" style="78" bestFit="1" customWidth="1"/>
    <col min="6" max="7" width="14.33203125" style="78" customWidth="1"/>
    <col min="8" max="8" width="15.44140625" style="78" bestFit="1" customWidth="1"/>
    <col min="9" max="9" width="14.33203125" style="77" customWidth="1"/>
    <col min="10" max="10" width="14.33203125" style="78" customWidth="1"/>
    <col min="11" max="11" width="15.88671875" style="79" bestFit="1" customWidth="1"/>
    <col min="12" max="12" width="14.33203125" style="79" customWidth="1"/>
    <col min="13" max="13" width="64.5546875" style="121" customWidth="1"/>
    <col min="14" max="14" width="17" style="107" hidden="1" customWidth="1"/>
    <col min="15" max="15" width="15.5546875" style="107" hidden="1" customWidth="1"/>
    <col min="16" max="16" width="16" style="107" hidden="1" customWidth="1"/>
    <col min="17" max="17" width="16.6640625" style="107" customWidth="1"/>
    <col min="18" max="18" width="15.109375" style="107" hidden="1" customWidth="1"/>
    <col min="19" max="19" width="15.33203125" style="107" hidden="1" customWidth="1"/>
    <col min="20" max="20" width="13.44140625" style="107" hidden="1" customWidth="1"/>
    <col min="21" max="21" width="16.88671875" style="107" hidden="1" customWidth="1"/>
    <col min="22" max="22" width="15.109375" style="107" hidden="1" customWidth="1"/>
    <col min="23" max="23" width="20.33203125" style="107" hidden="1" customWidth="1"/>
    <col min="24" max="24" width="17.33203125" style="167" customWidth="1"/>
    <col min="25" max="25" width="18" style="167" hidden="1" customWidth="1"/>
    <col min="26" max="26" width="17" style="167" hidden="1" customWidth="1"/>
    <col min="27" max="27" width="16.33203125" style="167" hidden="1" customWidth="1"/>
    <col min="28" max="28" width="12.109375" style="167" bestFit="1" customWidth="1"/>
    <col min="29" max="29" width="16.33203125" style="167" customWidth="1"/>
    <col min="30" max="30" width="15.33203125" style="167" customWidth="1"/>
    <col min="31" max="31" width="9.6640625" style="167" customWidth="1"/>
    <col min="32" max="32" width="11.6640625" style="167" bestFit="1" customWidth="1"/>
    <col min="33" max="33" width="11.44140625" style="167" bestFit="1" customWidth="1"/>
    <col min="34" max="16384" width="9.109375" style="167"/>
  </cols>
  <sheetData>
    <row r="1" spans="1:33" ht="17.399999999999999" x14ac:dyDescent="0.3">
      <c r="A1" s="167"/>
      <c r="B1" s="167"/>
      <c r="C1" s="167"/>
      <c r="D1" s="167">
        <v>1.1000000000000001</v>
      </c>
      <c r="E1" s="167"/>
      <c r="F1" s="167"/>
      <c r="G1" s="167"/>
      <c r="H1" s="167"/>
      <c r="I1" s="167"/>
      <c r="J1" s="167"/>
      <c r="K1" s="167">
        <f>110/100</f>
        <v>1.1000000000000001</v>
      </c>
      <c r="L1" s="166">
        <v>1.0999999999999999E-2</v>
      </c>
      <c r="M1" s="407" t="s">
        <v>410</v>
      </c>
      <c r="N1" s="407"/>
      <c r="O1" s="384"/>
      <c r="P1" s="384"/>
      <c r="Q1" s="384"/>
      <c r="R1" s="384"/>
      <c r="S1" s="384"/>
      <c r="T1" s="384"/>
      <c r="U1" s="384"/>
      <c r="V1" s="384"/>
      <c r="W1" s="384"/>
    </row>
    <row r="2" spans="1:33" ht="24.6" hidden="1" customHeight="1" x14ac:dyDescent="0.4">
      <c r="A2" s="75"/>
      <c r="B2" s="75"/>
      <c r="C2" s="75"/>
      <c r="D2" s="76"/>
      <c r="E2" s="75"/>
      <c r="F2" s="75"/>
      <c r="G2" s="75"/>
      <c r="H2" s="75"/>
      <c r="M2" s="120" t="s">
        <v>68</v>
      </c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33" ht="17.399999999999999" customHeight="1" x14ac:dyDescent="0.3">
      <c r="A3" s="408" t="s">
        <v>231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14" t="s">
        <v>69</v>
      </c>
      <c r="N3" s="424" t="s">
        <v>226</v>
      </c>
      <c r="O3" s="425"/>
      <c r="P3" s="425"/>
      <c r="Q3" s="425"/>
      <c r="R3" s="425"/>
      <c r="S3" s="425"/>
      <c r="T3" s="425"/>
      <c r="U3" s="425"/>
      <c r="V3" s="425"/>
      <c r="W3" s="425"/>
      <c r="X3" s="125"/>
      <c r="Z3" s="382">
        <v>4.8000000000000001E-2</v>
      </c>
      <c r="AA3" s="382">
        <v>4.7E-2</v>
      </c>
    </row>
    <row r="4" spans="1:33" ht="77.25" customHeight="1" x14ac:dyDescent="0.3">
      <c r="A4" s="125">
        <v>44287</v>
      </c>
      <c r="B4" s="125">
        <v>44317</v>
      </c>
      <c r="C4" s="125">
        <v>44348</v>
      </c>
      <c r="D4" s="125">
        <v>44378</v>
      </c>
      <c r="E4" s="125">
        <v>44409</v>
      </c>
      <c r="F4" s="125">
        <v>44440</v>
      </c>
      <c r="G4" s="125">
        <v>44470</v>
      </c>
      <c r="H4" s="125">
        <v>44501</v>
      </c>
      <c r="I4" s="125">
        <v>44531</v>
      </c>
      <c r="J4" s="125">
        <v>44562</v>
      </c>
      <c r="K4" s="125">
        <v>44593</v>
      </c>
      <c r="L4" s="125">
        <v>44621</v>
      </c>
      <c r="M4" s="395" t="s">
        <v>230</v>
      </c>
      <c r="N4" s="243" t="s">
        <v>411</v>
      </c>
      <c r="O4" s="243" t="s">
        <v>413</v>
      </c>
      <c r="P4" s="243" t="s">
        <v>18</v>
      </c>
      <c r="Q4" s="243" t="s">
        <v>235</v>
      </c>
      <c r="R4" s="243" t="s">
        <v>228</v>
      </c>
      <c r="S4" s="243" t="s">
        <v>378</v>
      </c>
      <c r="T4" s="243" t="s">
        <v>294</v>
      </c>
      <c r="U4" s="243" t="s">
        <v>74</v>
      </c>
      <c r="V4" s="243" t="s">
        <v>295</v>
      </c>
      <c r="W4" s="243" t="s">
        <v>229</v>
      </c>
      <c r="X4" s="125" t="s">
        <v>271</v>
      </c>
      <c r="Y4" s="243" t="s">
        <v>403</v>
      </c>
      <c r="Z4" s="243" t="s">
        <v>407</v>
      </c>
      <c r="AA4" s="243" t="s">
        <v>408</v>
      </c>
    </row>
    <row r="5" spans="1:33" ht="42" customHeight="1" x14ac:dyDescent="0.3">
      <c r="A5" s="10" t="s">
        <v>1</v>
      </c>
      <c r="B5" s="10" t="s">
        <v>1</v>
      </c>
      <c r="C5" s="10" t="s">
        <v>1</v>
      </c>
      <c r="D5" s="10" t="s">
        <v>1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396"/>
      <c r="N5" s="201" t="s">
        <v>2</v>
      </c>
      <c r="O5" s="10" t="s">
        <v>1</v>
      </c>
      <c r="P5" s="289" t="s">
        <v>502</v>
      </c>
      <c r="Q5" s="289" t="s">
        <v>241</v>
      </c>
      <c r="R5" s="10" t="s">
        <v>399</v>
      </c>
      <c r="S5" s="289" t="s">
        <v>235</v>
      </c>
      <c r="T5" s="289" t="s">
        <v>235</v>
      </c>
      <c r="U5" s="289" t="s">
        <v>235</v>
      </c>
      <c r="V5" s="10" t="s">
        <v>399</v>
      </c>
      <c r="W5" s="10" t="s">
        <v>400</v>
      </c>
      <c r="X5" s="10" t="s">
        <v>13</v>
      </c>
      <c r="Y5" s="289" t="s">
        <v>401</v>
      </c>
      <c r="Z5" s="289" t="s">
        <v>409</v>
      </c>
      <c r="AA5" s="289" t="s">
        <v>409</v>
      </c>
    </row>
    <row r="6" spans="1:33" ht="3" customHeight="1" x14ac:dyDescent="0.3">
      <c r="A6" s="1"/>
      <c r="B6" s="1"/>
      <c r="C6" s="1"/>
      <c r="D6" s="1"/>
      <c r="E6" s="1"/>
      <c r="F6" s="1"/>
      <c r="G6" s="1"/>
      <c r="H6" s="1"/>
      <c r="I6" s="5"/>
      <c r="J6" s="1"/>
      <c r="K6" s="1"/>
      <c r="L6" s="1"/>
      <c r="M6" s="12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33" x14ac:dyDescent="0.3">
      <c r="A7" s="8">
        <f>CEO!A7+CS!A7+CFO!A7+LLA!A7+'C&amp;E'!A7+CES!A7+LLT!A7+GB!A7</f>
        <v>0</v>
      </c>
      <c r="B7" s="8">
        <f>CEO!B7+CS!B7+CFO!B7+LLA!B7+'C&amp;E'!B7+CES!B7+LLT!B7+GB!B7</f>
        <v>60109.515933333336</v>
      </c>
      <c r="C7" s="8">
        <f>CEO!C7+CS!C7+CFO!C7+LLA!C7+'C&amp;E'!C7+CES!C7+LLT!C7+GB!C7</f>
        <v>0</v>
      </c>
      <c r="D7" s="8">
        <f>CEO!D7+CS!D7+CFO!D7+LLA!D7+'C&amp;E'!D7+CES!D7+LLT!D7+GB!D7</f>
        <v>60109.515933333336</v>
      </c>
      <c r="E7" s="8">
        <f>CEO!E7+CS!E7+CFO!E7+LLA!E7+'C&amp;E'!E7+CES!E7+LLT!E7+GB!E7</f>
        <v>0</v>
      </c>
      <c r="F7" s="8">
        <f>CEO!F7+CS!F7+CFO!F7+LLA!F7+'C&amp;E'!F7+CES!F7+LLT!F7+GB!F7</f>
        <v>0</v>
      </c>
      <c r="G7" s="8">
        <f>CEO!G7+CS!G7+CFO!G7+LLA!G7+'C&amp;E'!G7+CES!G7+LLT!G7+GB!G7</f>
        <v>60109.515933333336</v>
      </c>
      <c r="H7" s="8">
        <f>CEO!H7+CS!H7+CFO!H7+LLA!H7+'C&amp;E'!H7+CES!H7+LLT!H7+GB!H7</f>
        <v>60109.515933333336</v>
      </c>
      <c r="I7" s="8">
        <f>CEO!I7+CS!I7+CFO!I7+LLA!I7+'C&amp;E'!I7+CES!I7+LLT!I7+GB!I7</f>
        <v>0</v>
      </c>
      <c r="J7" s="8">
        <f>CEO!J7+CS!J7+CFO!J7+LLA!J7+'C&amp;E'!J7+CES!J7+LLT!J7+GB!J7</f>
        <v>60109.515933333336</v>
      </c>
      <c r="K7" s="8">
        <f>CEO!K7+CS!K7+CFO!K7+LLA!K7+'C&amp;E'!K7+CES!K7+LLT!K7+GB!K7</f>
        <v>0</v>
      </c>
      <c r="L7" s="8">
        <f>CEO!L7+CS!L7+CFO!L7+LLA!L7+'C&amp;E'!L7+CES!L7+LLT!L7+GB!L7</f>
        <v>60109.515933333336</v>
      </c>
      <c r="M7" s="385" t="s">
        <v>414</v>
      </c>
      <c r="N7" s="8">
        <f>SUM(0)</f>
        <v>0</v>
      </c>
      <c r="O7" s="8">
        <f>SUM(A7:L7)</f>
        <v>360657.0956</v>
      </c>
      <c r="P7" s="8">
        <f>SUM(N7:O7)</f>
        <v>360657.0956</v>
      </c>
      <c r="Q7" s="8">
        <f>CEO!Q7+CS!Q7+CFO!Q7+LLA!Q7+'C&amp;E'!Q7+CES!Q7+LLT!Q7+GB!Q7</f>
        <v>360657.0956</v>
      </c>
      <c r="R7" s="8">
        <f>Q7-P7</f>
        <v>0</v>
      </c>
      <c r="S7" s="8">
        <v>0</v>
      </c>
      <c r="T7" s="8">
        <f>CEO!T7+CS!T7+CFO!T7+LLA!T7+'C&amp;E'!T7+CES!T7+LLT!T7+GB!T7</f>
        <v>-5163.7524699999485</v>
      </c>
      <c r="U7" s="8">
        <f>CEO!U7+CS!U7+CFO!U7+LLA!U7+'C&amp;E'!U7+CES!U7+LLT!U7+GB!U7</f>
        <v>355493.34313000005</v>
      </c>
      <c r="V7" s="8">
        <f>U7-P7</f>
        <v>-5163.7524699999485</v>
      </c>
      <c r="W7" s="8"/>
      <c r="X7" s="158"/>
      <c r="Y7" s="8">
        <f>X7-Q7</f>
        <v>-360657.0956</v>
      </c>
      <c r="Z7" s="8">
        <v>360657.0956</v>
      </c>
      <c r="AA7" s="8">
        <f t="shared" ref="AA7:AA16" si="0">Z7*(1+AA$3)</f>
        <v>377607.9790932</v>
      </c>
      <c r="AC7" s="295">
        <f t="shared" ref="AC7:AC18" si="1">Q7-Z7</f>
        <v>0</v>
      </c>
    </row>
    <row r="8" spans="1:33" x14ac:dyDescent="0.3">
      <c r="A8" s="7">
        <f>CEO!A8+CS!A8+CFO!A8+LLA!A8+'C&amp;E'!A8+CES!A8+LLT!A8+GB!A8</f>
        <v>2610331.1068600002</v>
      </c>
      <c r="B8" s="7">
        <f>CEO!B8+CS!B8+CFO!B8+LLA!B8+'C&amp;E'!B8+CES!B8+LLT!B8+GB!B8</f>
        <v>2655397.64817724</v>
      </c>
      <c r="C8" s="7">
        <f>CEO!C8+CS!C8+CFO!C8+LLA!C8+'C&amp;E'!C8+CES!C8+LLT!C8+GB!C8</f>
        <v>2791140.8284950005</v>
      </c>
      <c r="D8" s="7">
        <f>CEO!D8+CS!D8+CFO!D8+LLA!D8+'C&amp;E'!D8+CES!D8+LLT!D8+GB!D8</f>
        <v>2791140.8284950005</v>
      </c>
      <c r="E8" s="7">
        <f>CEO!E8+CS!E8+CFO!E8+LLA!E8+'C&amp;E'!E8+CES!E8+LLT!E8+GB!E8</f>
        <v>2791140.8284950005</v>
      </c>
      <c r="F8" s="7">
        <f>CEO!F8+CS!F8+CFO!F8+LLA!F8+'C&amp;E'!F8+CES!F8+LLT!F8+GB!F8</f>
        <v>2791140.8284950005</v>
      </c>
      <c r="G8" s="7">
        <f>CEO!G8+CS!G8+CFO!G8+LLA!G8+'C&amp;E'!G8+CES!G8+LLT!G8+GB!G8</f>
        <v>2791140.8284950005</v>
      </c>
      <c r="H8" s="7">
        <f>CEO!H8+CS!H8+CFO!H8+LLA!H8+'C&amp;E'!H8+CES!H8+LLT!H8+GB!H8</f>
        <v>2791140.8284950005</v>
      </c>
      <c r="I8" s="7">
        <f>CEO!I8+CS!I8+CFO!I8+LLA!I8+'C&amp;E'!I8+CES!I8+LLT!I8+GB!I8</f>
        <v>2791140.8284950005</v>
      </c>
      <c r="J8" s="7">
        <f>CEO!J8+CS!J8+CFO!J8+LLA!J8+'C&amp;E'!J8+CES!J8+LLT!J8+GB!J8</f>
        <v>2791140.8284950005</v>
      </c>
      <c r="K8" s="7">
        <f>CEO!K8+CS!K8+CFO!K8+LLA!K8+'C&amp;E'!K8+CES!K8+LLT!K8+GB!K8</f>
        <v>2791140.8284950005</v>
      </c>
      <c r="L8" s="7">
        <f>CEO!L8+CS!L8+CFO!L8+LLA!L8+'C&amp;E'!L8+CES!L8+LLT!L8+GB!L8</f>
        <v>2638715.7084950004</v>
      </c>
      <c r="M8" s="13" t="s">
        <v>415</v>
      </c>
      <c r="N8" s="7">
        <f t="shared" ref="N8:N16" si="2">SUM(0)</f>
        <v>0</v>
      </c>
      <c r="O8" s="7">
        <f t="shared" ref="O8:O16" si="3">SUM(A8:L8)</f>
        <v>33024711.919987239</v>
      </c>
      <c r="P8" s="7">
        <f t="shared" ref="P8:P71" si="4">SUM(N8:O8)</f>
        <v>33024711.919987239</v>
      </c>
      <c r="Q8" s="7">
        <f>CEO!Q8+CS!Q8+CFO!Q8+LLA!Q8+'C&amp;E'!Q8+CES!Q8+LLT!Q8+GB!Q8</f>
        <v>33024711.919987243</v>
      </c>
      <c r="R8" s="7">
        <f t="shared" ref="R8:R16" si="5">Q8-P8</f>
        <v>0</v>
      </c>
      <c r="S8" s="202">
        <v>1869274</v>
      </c>
      <c r="T8" s="7">
        <f>CEO!T8+CS!T8+CFO!T8+LLA!T8+'C&amp;E'!T8+CES!T8+LLT!T8+GB!T8</f>
        <v>-1186874.3599999999</v>
      </c>
      <c r="U8" s="7">
        <f>S8+Q8+T8</f>
        <v>33707111.559987247</v>
      </c>
      <c r="V8" s="7">
        <f t="shared" ref="V8:V71" si="6">U8-P8</f>
        <v>682399.64000000805</v>
      </c>
      <c r="W8" s="7"/>
      <c r="X8" s="159">
        <f>IFERROR(N8/Q8,0)</f>
        <v>0</v>
      </c>
      <c r="Y8" s="202">
        <f>(X8-Q8)+2033523</f>
        <v>-30991188.919987243</v>
      </c>
      <c r="Z8" s="7">
        <v>33024711.5972354</v>
      </c>
      <c r="AA8" s="7">
        <f t="shared" si="0"/>
        <v>34576873.042305462</v>
      </c>
      <c r="AC8" s="295">
        <f t="shared" si="1"/>
        <v>0.32275184243917465</v>
      </c>
      <c r="AD8" s="182"/>
      <c r="AE8" s="295"/>
      <c r="AG8" s="295"/>
    </row>
    <row r="9" spans="1:33" x14ac:dyDescent="0.3">
      <c r="A9" s="7">
        <f>CEO!A9+CS!A9+CFO!A9+LLA!A9+'C&amp;E'!A9+CES!A9+LLT!A9+GB!A9</f>
        <v>0</v>
      </c>
      <c r="B9" s="7">
        <f>CEO!B9+CS!B9+CFO!B9+LLA!B9+'C&amp;E'!B9+CES!B9+LLT!B9+GB!B9</f>
        <v>0</v>
      </c>
      <c r="C9" s="7">
        <f>CEO!C9+CS!C9+CFO!C9+LLA!C9+'C&amp;E'!C9+CES!C9+LLT!C9+GB!C9</f>
        <v>0</v>
      </c>
      <c r="D9" s="7">
        <f>CEO!D9+CS!D9+CFO!D9+LLA!D9+'C&amp;E'!D9+CES!D9+LLT!D9+GB!D9</f>
        <v>0</v>
      </c>
      <c r="E9" s="7">
        <f>CEO!E9+CS!E9+CFO!E9+LLA!E9+'C&amp;E'!E9+CES!E9+LLT!E9+GB!E9</f>
        <v>0</v>
      </c>
      <c r="F9" s="7">
        <f>CEO!F9+CS!F9+CFO!F9+LLA!F9+'C&amp;E'!F9+CES!F9+LLT!F9+GB!F9</f>
        <v>0</v>
      </c>
      <c r="G9" s="7">
        <f>CEO!G9+CS!G9+CFO!G9+LLA!G9+'C&amp;E'!G9+CES!G9+LLT!G9+GB!G9</f>
        <v>0</v>
      </c>
      <c r="H9" s="7">
        <f>CEO!H9+CS!H9+CFO!H9+LLA!H9+'C&amp;E'!H9+CES!H9+LLT!H9+GB!H9</f>
        <v>0</v>
      </c>
      <c r="I9" s="7">
        <f>CEO!I9+CS!I9+CFO!I9+LLA!I9+'C&amp;E'!I9+CES!I9+LLT!I9+GB!I9</f>
        <v>0</v>
      </c>
      <c r="J9" s="7">
        <f>CEO!J9+CS!J9+CFO!J9+LLA!J9+'C&amp;E'!J9+CES!J9+LLT!J9+GB!J9</f>
        <v>0</v>
      </c>
      <c r="K9" s="7">
        <f>CEO!K9+CS!K9+CFO!K9+LLA!K9+'C&amp;E'!K9+CES!K9+LLT!K9+GB!K9</f>
        <v>0</v>
      </c>
      <c r="L9" s="7">
        <f>CEO!L9+CS!L9+CFO!L9+LLA!L9+'C&amp;E'!L9+CES!L9+LLT!L9+GB!L9</f>
        <v>43789.632000000005</v>
      </c>
      <c r="M9" s="13" t="s">
        <v>416</v>
      </c>
      <c r="N9" s="7">
        <f t="shared" si="2"/>
        <v>0</v>
      </c>
      <c r="O9" s="7">
        <f t="shared" si="3"/>
        <v>43789.632000000005</v>
      </c>
      <c r="P9" s="7">
        <f t="shared" si="4"/>
        <v>43789.632000000005</v>
      </c>
      <c r="Q9" s="7">
        <f>CEO!Q9+CS!Q9+CFO!Q9+LLA!Q9+'C&amp;E'!Q9+CES!Q9+LLT!Q9+GB!Q9</f>
        <v>43789.632000000005</v>
      </c>
      <c r="R9" s="7">
        <f t="shared" si="5"/>
        <v>0</v>
      </c>
      <c r="S9" s="7">
        <v>0.12305581101099961</v>
      </c>
      <c r="T9" s="7">
        <f>CEO!T9+CS!T9+CFO!T9+LLA!T9+'C&amp;E'!T9+CES!T9+LLT!T9+GB!T9</f>
        <v>0</v>
      </c>
      <c r="U9" s="7">
        <f t="shared" ref="U9:U72" si="7">S9+Q9+T9</f>
        <v>43789.755055811016</v>
      </c>
      <c r="V9" s="7">
        <f t="shared" si="6"/>
        <v>0.12305581101099961</v>
      </c>
      <c r="W9" s="7"/>
      <c r="X9" s="159">
        <f>IFERROR(N9/Q9,0)</f>
        <v>0</v>
      </c>
      <c r="Y9" s="7">
        <f t="shared" ref="Y9:Y16" si="8">X9-Q9</f>
        <v>-43789.632000000005</v>
      </c>
      <c r="Z9" s="7">
        <v>43789.632000000005</v>
      </c>
      <c r="AA9" s="7">
        <f t="shared" si="0"/>
        <v>45847.744704000004</v>
      </c>
      <c r="AC9" s="295">
        <f t="shared" si="1"/>
        <v>0</v>
      </c>
    </row>
    <row r="10" spans="1:33" x14ac:dyDescent="0.3">
      <c r="A10" s="7">
        <f>CEO!A10+CS!A10+CFO!A10+LLA!A10+'C&amp;E'!A10+CES!A10+LLT!A10+GB!A10</f>
        <v>0</v>
      </c>
      <c r="B10" s="7">
        <f>CEO!B10+CS!B10+CFO!B10+LLA!B10+'C&amp;E'!B10+CES!B10+LLT!B10+GB!B10</f>
        <v>9432.509909639999</v>
      </c>
      <c r="C10" s="7">
        <f>CEO!C10+CS!C10+CFO!C10+LLA!C10+'C&amp;E'!C10+CES!C10+LLT!C10+GB!C10</f>
        <v>0</v>
      </c>
      <c r="D10" s="7">
        <f>CEO!D10+CS!D10+CFO!D10+LLA!D10+'C&amp;E'!D10+CES!D10+LLT!D10+GB!D10</f>
        <v>9432.509909639999</v>
      </c>
      <c r="E10" s="7">
        <f>CEO!E10+CS!E10+CFO!E10+LLA!E10+'C&amp;E'!E10+CES!E10+LLT!E10+GB!E10</f>
        <v>0</v>
      </c>
      <c r="F10" s="7">
        <f>CEO!F10+CS!F10+CFO!F10+LLA!F10+'C&amp;E'!F10+CES!F10+LLT!F10+GB!F10</f>
        <v>0</v>
      </c>
      <c r="G10" s="7">
        <f>CEO!G10+CS!G10+CFO!G10+LLA!G10+'C&amp;E'!G10+CES!G10+LLT!G10+GB!G10</f>
        <v>9432.509909639999</v>
      </c>
      <c r="H10" s="7">
        <f>CEO!H10+CS!H10+CFO!H10+LLA!H10+'C&amp;E'!H10+CES!H10+LLT!H10+GB!H10</f>
        <v>9432.509909639999</v>
      </c>
      <c r="I10" s="7">
        <f>CEO!I10+CS!I10+CFO!I10+LLA!I10+'C&amp;E'!I10+CES!I10+LLT!I10+GB!I10</f>
        <v>0</v>
      </c>
      <c r="J10" s="7">
        <f>CEO!J10+CS!J10+CFO!J10+LLA!J10+'C&amp;E'!J10+CES!J10+LLT!J10+GB!J10</f>
        <v>9432.509909639999</v>
      </c>
      <c r="K10" s="7">
        <f>CEO!K10+CS!K10+CFO!K10+LLA!K10+'C&amp;E'!K10+CES!K10+LLT!K10+GB!K10</f>
        <v>0</v>
      </c>
      <c r="L10" s="7">
        <f>CEO!L10+CS!L10+CFO!L10+LLA!L10+'C&amp;E'!L10+CES!L10+LLT!L10+GB!L10</f>
        <v>9432.509909639999</v>
      </c>
      <c r="M10" s="13" t="s">
        <v>417</v>
      </c>
      <c r="N10" s="7">
        <f t="shared" si="2"/>
        <v>0</v>
      </c>
      <c r="O10" s="7">
        <f t="shared" si="3"/>
        <v>56595.059457839998</v>
      </c>
      <c r="P10" s="7">
        <f t="shared" si="4"/>
        <v>56595.059457839998</v>
      </c>
      <c r="Q10" s="7">
        <f>CEO!Q10+CS!Q10+CFO!Q10+LLA!Q10+'C&amp;E'!Q10+CES!Q10+LLT!Q10+GB!Q10</f>
        <v>56595.059457839998</v>
      </c>
      <c r="R10" s="7">
        <f t="shared" si="5"/>
        <v>0</v>
      </c>
      <c r="S10" s="7">
        <v>711</v>
      </c>
      <c r="T10" s="7">
        <f>CEO!T10+CS!T10+CFO!T10+LLA!T10+'C&amp;E'!T10+CES!T10+LLT!T10+GB!T10</f>
        <v>0</v>
      </c>
      <c r="U10" s="7">
        <f t="shared" si="7"/>
        <v>57306.059457839998</v>
      </c>
      <c r="V10" s="7">
        <f t="shared" si="6"/>
        <v>711</v>
      </c>
      <c r="W10" s="7"/>
      <c r="X10" s="159">
        <f t="shared" ref="X10:X73" si="9">IFERROR(N10/Q10,0)</f>
        <v>0</v>
      </c>
      <c r="Y10" s="7">
        <f t="shared" si="8"/>
        <v>-56595.059457839998</v>
      </c>
      <c r="Z10" s="7">
        <v>56595.059457839998</v>
      </c>
      <c r="AA10" s="7">
        <f t="shared" si="0"/>
        <v>59255.027252358472</v>
      </c>
      <c r="AC10" s="295">
        <f t="shared" si="1"/>
        <v>0</v>
      </c>
    </row>
    <row r="11" spans="1:33" x14ac:dyDescent="0.3">
      <c r="A11" s="7">
        <f>CEO!A11+CS!A11+CFO!A11+LLA!A11+'C&amp;E'!A11+CES!A11+LLT!A11+GB!A11</f>
        <v>0</v>
      </c>
      <c r="B11" s="7">
        <f>CEO!B11+CS!B11+CFO!B11+LLA!B11+'C&amp;E'!B11+CES!B11+LLT!B11+GB!B11</f>
        <v>0</v>
      </c>
      <c r="C11" s="7">
        <f>CEO!C11+CS!C11+CFO!C11+LLA!C11+'C&amp;E'!C11+CES!C11+LLT!C11+GB!C11</f>
        <v>0</v>
      </c>
      <c r="D11" s="7">
        <f>CEO!D11+CS!D11+CFO!D11+LLA!D11+'C&amp;E'!D11+CES!D11+LLT!D11+GB!D11</f>
        <v>0</v>
      </c>
      <c r="E11" s="7">
        <f>CEO!E11+CS!E11+CFO!E11+LLA!E11+'C&amp;E'!E11+CES!E11+LLT!E11+GB!E11</f>
        <v>0</v>
      </c>
      <c r="F11" s="7">
        <f>CEO!F11+CS!F11+CFO!F11+LLA!F11+'C&amp;E'!F11+CES!F11+LLT!F11+GB!F11</f>
        <v>0</v>
      </c>
      <c r="G11" s="7">
        <f>CEO!G11+CS!G11+CFO!G11+LLA!G11+'C&amp;E'!G11+CES!G11+LLT!G11+GB!G11</f>
        <v>0</v>
      </c>
      <c r="H11" s="7">
        <f>CEO!H11+CS!H11+CFO!H11+LLA!H11+'C&amp;E'!H11+CES!H11+LLT!H11+GB!H11</f>
        <v>0</v>
      </c>
      <c r="I11" s="7">
        <f>CEO!I11+CS!I11+CFO!I11+LLA!I11+'C&amp;E'!I11+CES!I11+LLT!I11+GB!I11</f>
        <v>0</v>
      </c>
      <c r="J11" s="7">
        <f>CEO!J11+CS!J11+CFO!J11+LLA!J11+'C&amp;E'!J11+CES!J11+LLT!J11+GB!J11</f>
        <v>0</v>
      </c>
      <c r="K11" s="7">
        <f>CEO!K11+CS!K11+CFO!K11+LLA!K11+'C&amp;E'!K11+CES!K11+LLT!K11+GB!K11</f>
        <v>0</v>
      </c>
      <c r="L11" s="7">
        <f>CEO!L11+CS!L11+CFO!L11+LLA!L11+'C&amp;E'!L11+CES!L11+LLT!L11+GB!L11</f>
        <v>0</v>
      </c>
      <c r="M11" s="13" t="s">
        <v>418</v>
      </c>
      <c r="N11" s="7">
        <f t="shared" si="2"/>
        <v>0</v>
      </c>
      <c r="O11" s="7">
        <f t="shared" si="3"/>
        <v>0</v>
      </c>
      <c r="P11" s="7">
        <f t="shared" si="4"/>
        <v>0</v>
      </c>
      <c r="Q11" s="7">
        <f>CEO!Q11+CS!Q11+CFO!Q11+LLA!Q11+'C&amp;E'!Q11+CES!Q11+LLT!Q11+GB!Q11</f>
        <v>0</v>
      </c>
      <c r="R11" s="7">
        <f t="shared" si="5"/>
        <v>0</v>
      </c>
      <c r="S11" s="7">
        <v>-710.55892440000014</v>
      </c>
      <c r="T11" s="7">
        <f>CEO!T11+CS!T11+CFO!T11+LLA!T11+'C&amp;E'!T11+CES!T11+LLT!T11+GB!T11</f>
        <v>0</v>
      </c>
      <c r="U11" s="7">
        <f t="shared" si="7"/>
        <v>-710.55892440000014</v>
      </c>
      <c r="V11" s="7">
        <f t="shared" si="6"/>
        <v>-710.55892440000014</v>
      </c>
      <c r="W11" s="7"/>
      <c r="X11" s="159">
        <f t="shared" si="9"/>
        <v>0</v>
      </c>
      <c r="Y11" s="7">
        <f t="shared" si="8"/>
        <v>0</v>
      </c>
      <c r="Z11" s="7">
        <v>0</v>
      </c>
      <c r="AA11" s="7">
        <f t="shared" si="0"/>
        <v>0</v>
      </c>
      <c r="AC11" s="295">
        <f t="shared" si="1"/>
        <v>0</v>
      </c>
    </row>
    <row r="12" spans="1:33" x14ac:dyDescent="0.3">
      <c r="A12" s="7">
        <f>CEO!A12+CS!A12+CFO!A12+LLA!A12+'C&amp;E'!A12+CES!A12+LLT!A12+GB!A12</f>
        <v>24881.540460159998</v>
      </c>
      <c r="B12" s="7">
        <f>CEO!B12+CS!B12+CFO!B12+LLA!B12+'C&amp;E'!B12+CES!B12+LLT!B12+GB!B12</f>
        <v>24881.540460159998</v>
      </c>
      <c r="C12" s="7">
        <f>CEO!C12+CS!C12+CFO!C12+LLA!C12+'C&amp;E'!C12+CES!C12+LLT!C12+GB!C12</f>
        <v>25910.2360696</v>
      </c>
      <c r="D12" s="7">
        <f>CEO!D12+CS!D12+CFO!D12+LLA!D12+'C&amp;E'!D12+CES!D12+LLT!D12+GB!D12</f>
        <v>25910.2360696</v>
      </c>
      <c r="E12" s="7">
        <f>CEO!E12+CS!E12+CFO!E12+LLA!E12+'C&amp;E'!E12+CES!E12+LLT!E12+GB!E12</f>
        <v>25910.2360696</v>
      </c>
      <c r="F12" s="7">
        <f>CEO!F12+CS!F12+CFO!F12+LLA!F12+'C&amp;E'!F12+CES!F12+LLT!F12+GB!F12</f>
        <v>25910.2360696</v>
      </c>
      <c r="G12" s="7">
        <f>CEO!G12+CS!G12+CFO!G12+LLA!G12+'C&amp;E'!G12+CES!G12+LLT!G12+GB!G12</f>
        <v>25910.2360696</v>
      </c>
      <c r="H12" s="7">
        <f>CEO!H12+CS!H12+CFO!H12+LLA!H12+'C&amp;E'!H12+CES!H12+LLT!H12+GB!H12</f>
        <v>25910.2360696</v>
      </c>
      <c r="I12" s="7">
        <f>CEO!I12+CS!I12+CFO!I12+LLA!I12+'C&amp;E'!I12+CES!I12+LLT!I12+GB!I12</f>
        <v>25910.2360696</v>
      </c>
      <c r="J12" s="7">
        <f>CEO!J12+CS!J12+CFO!J12+LLA!J12+'C&amp;E'!J12+CES!J12+LLT!J12+GB!J12</f>
        <v>25910.2360696</v>
      </c>
      <c r="K12" s="7">
        <f>CEO!K12+CS!K12+CFO!K12+LLA!K12+'C&amp;E'!K12+CES!K12+LLT!K12+GB!K12</f>
        <v>25910.2360696</v>
      </c>
      <c r="L12" s="7">
        <f>CEO!L12+CS!L12+CFO!L12+LLA!L12+'C&amp;E'!L12+CES!L12+LLT!L12+GB!L12</f>
        <v>25910.2360696</v>
      </c>
      <c r="M12" s="13" t="s">
        <v>419</v>
      </c>
      <c r="N12" s="7">
        <f t="shared" si="2"/>
        <v>0</v>
      </c>
      <c r="O12" s="7">
        <f t="shared" si="3"/>
        <v>308865.44161631999</v>
      </c>
      <c r="P12" s="7">
        <f t="shared" si="4"/>
        <v>308865.44161631999</v>
      </c>
      <c r="Q12" s="7">
        <f>CEO!Q12+CS!Q12+CFO!Q12+LLA!Q12+'C&amp;E'!Q12+CES!Q12+LLT!Q12+GB!Q12</f>
        <v>308865.44161632005</v>
      </c>
      <c r="R12" s="7">
        <f t="shared" si="5"/>
        <v>0</v>
      </c>
      <c r="S12" s="7">
        <v>299.99608000001172</v>
      </c>
      <c r="T12" s="7">
        <f>CEO!T12+CS!T12+CFO!T12+LLA!T12+'C&amp;E'!T12+CES!T12+LLT!T12+GB!T12</f>
        <v>5316</v>
      </c>
      <c r="U12" s="7">
        <f t="shared" si="7"/>
        <v>314481.43769632006</v>
      </c>
      <c r="V12" s="7">
        <f t="shared" si="6"/>
        <v>5615.9960800000699</v>
      </c>
      <c r="W12" s="7"/>
      <c r="X12" s="159">
        <f t="shared" si="9"/>
        <v>0</v>
      </c>
      <c r="Y12" s="7">
        <f t="shared" si="8"/>
        <v>-308865.44161632005</v>
      </c>
      <c r="Z12" s="7">
        <v>308865.50994591997</v>
      </c>
      <c r="AA12" s="7">
        <f t="shared" si="0"/>
        <v>323382.18891337817</v>
      </c>
      <c r="AC12" s="295">
        <f t="shared" si="1"/>
        <v>-6.8329599918797612E-2</v>
      </c>
    </row>
    <row r="13" spans="1:33" x14ac:dyDescent="0.3">
      <c r="A13" s="7">
        <f>CEO!A13+CS!A13+CFO!A13+LLA!A13+'C&amp;E'!A13+CES!A13+LLT!A13+GB!A13</f>
        <v>5735.0437600000005</v>
      </c>
      <c r="B13" s="7">
        <f>CEO!B13+CS!B13+CFO!B13+LLA!B13+'C&amp;E'!B13+CES!B13+LLT!B13+GB!B13</f>
        <v>4372.7590399999999</v>
      </c>
      <c r="C13" s="7">
        <f>CEO!C13+CS!C13+CFO!C13+LLA!C13+'C&amp;E'!C13+CES!C13+LLT!C13+GB!C13</f>
        <v>28424.652480000001</v>
      </c>
      <c r="D13" s="7">
        <f>CEO!D13+CS!D13+CFO!D13+LLA!D13+'C&amp;E'!D13+CES!D13+LLT!D13+GB!D13</f>
        <v>17272.37096</v>
      </c>
      <c r="E13" s="7">
        <f>CEO!E13+CS!E13+CFO!E13+LLA!E13+'C&amp;E'!E13+CES!E13+LLT!E13+GB!E13</f>
        <v>12462.333920000001</v>
      </c>
      <c r="F13" s="7">
        <f>CEO!F13+CS!F13+CFO!F13+LLA!F13+'C&amp;E'!F13+CES!F13+LLT!F13+GB!F13</f>
        <v>9073.4477600000009</v>
      </c>
      <c r="G13" s="7">
        <f>CEO!G13+CS!G13+CFO!G13+LLA!G13+'C&amp;E'!G13+CES!G13+LLT!G13+GB!G13</f>
        <v>8417.5569600000017</v>
      </c>
      <c r="H13" s="7">
        <f>CEO!H13+CS!H13+CFO!H13+LLA!H13+'C&amp;E'!H13+CES!H13+LLT!H13+GB!H13</f>
        <v>0</v>
      </c>
      <c r="I13" s="7">
        <f>CEO!I13+CS!I13+CFO!I13+LLA!I13+'C&amp;E'!I13+CES!I13+LLT!I13+GB!I13</f>
        <v>20169.315439999998</v>
      </c>
      <c r="J13" s="7">
        <f>CEO!J13+CS!J13+CFO!J13+LLA!J13+'C&amp;E'!J13+CES!J13+LLT!J13+GB!J13</f>
        <v>24104.775520000003</v>
      </c>
      <c r="K13" s="7">
        <f>CEO!K13+CS!K13+CFO!K13+LLA!K13+'C&amp;E'!K13+CES!K13+LLT!K13+GB!K13</f>
        <v>24104</v>
      </c>
      <c r="L13" s="7">
        <f>CEO!L13+CS!L13+CFO!L13+LLA!L13+'C&amp;E'!L13+CES!L13+LLT!L13+GB!L13</f>
        <v>24647.974880000002</v>
      </c>
      <c r="M13" s="13" t="s">
        <v>420</v>
      </c>
      <c r="N13" s="7">
        <f>SUM(0)</f>
        <v>0</v>
      </c>
      <c r="O13" s="7">
        <f t="shared" si="3"/>
        <v>178784.23071999999</v>
      </c>
      <c r="P13" s="7">
        <f t="shared" si="4"/>
        <v>178784.23071999999</v>
      </c>
      <c r="Q13" s="7">
        <f>CEO!Q13+CS!Q13+CFO!Q13+LLA!Q13+'C&amp;E'!Q13+CES!Q13+LLT!Q13+GB!Q13</f>
        <v>178784.23072000002</v>
      </c>
      <c r="R13" s="7">
        <f t="shared" si="5"/>
        <v>0</v>
      </c>
      <c r="S13" s="7">
        <v>108472</v>
      </c>
      <c r="T13" s="341">
        <f>CEO!T13+CS!T13+CFO!T13+LLA!T13+'C&amp;E'!T13+CES!T13+LLT!T13+GB!T13</f>
        <v>12124</v>
      </c>
      <c r="U13" s="341">
        <f t="shared" si="7"/>
        <v>299380.23071999999</v>
      </c>
      <c r="V13" s="341">
        <f t="shared" si="6"/>
        <v>120596</v>
      </c>
      <c r="W13" s="7"/>
      <c r="X13" s="159">
        <f t="shared" si="9"/>
        <v>0</v>
      </c>
      <c r="Y13" s="7">
        <f t="shared" si="8"/>
        <v>-178784.23072000002</v>
      </c>
      <c r="Z13" s="7">
        <v>178784.23072000002</v>
      </c>
      <c r="AA13" s="7">
        <f t="shared" si="0"/>
        <v>187187.08956384001</v>
      </c>
      <c r="AC13" s="295">
        <f t="shared" si="1"/>
        <v>0</v>
      </c>
    </row>
    <row r="14" spans="1:33" x14ac:dyDescent="0.3">
      <c r="A14" s="7">
        <f>CEO!A14+CS!A14+CFO!A14+LLA!A14+'C&amp;E'!A14+CES!A14+LLT!A14+GB!A14</f>
        <v>0</v>
      </c>
      <c r="B14" s="7">
        <f>CEO!B14+CS!B14+CFO!B14+LLA!B14+'C&amp;E'!B14+CES!B14+LLT!B14+GB!B14</f>
        <v>0</v>
      </c>
      <c r="C14" s="7">
        <f>CEO!C14+CS!C14+CFO!C14+LLA!C14+'C&amp;E'!C14+CES!C14+LLT!C14+GB!C14</f>
        <v>0</v>
      </c>
      <c r="D14" s="7">
        <f>CEO!D14+CS!D14+CFO!D14+LLA!D14+'C&amp;E'!D14+CES!D14+LLT!D14+GB!D14</f>
        <v>0</v>
      </c>
      <c r="E14" s="7">
        <f>CEO!E14+CS!E14+CFO!E14+LLA!E14+'C&amp;E'!E14+CES!E14+LLT!E14+GB!E14</f>
        <v>0</v>
      </c>
      <c r="F14" s="7">
        <f>CEO!F14+CS!F14+CFO!F14+LLA!F14+'C&amp;E'!F14+CES!F14+LLT!F14+GB!F14</f>
        <v>0</v>
      </c>
      <c r="G14" s="7">
        <f>CEO!G14+CS!G14+CFO!G14+LLA!G14+'C&amp;E'!G14+CES!G14+LLT!G14+GB!G14</f>
        <v>0</v>
      </c>
      <c r="H14" s="7">
        <f>CEO!H14+CS!H14+CFO!H14+LLA!H14+'C&amp;E'!H14+CES!H14+LLT!H14+GB!H14</f>
        <v>1483339.5318824349</v>
      </c>
      <c r="I14" s="7">
        <f>CEO!I14+CS!I14+CFO!I14+LLA!I14+'C&amp;E'!I14+CES!I14+LLT!I14+GB!I14</f>
        <v>0</v>
      </c>
      <c r="J14" s="7">
        <f>CEO!J14+CS!J14+CFO!J14+LLA!J14+'C&amp;E'!J14+CES!J14+LLT!J14+GB!J14</f>
        <v>0</v>
      </c>
      <c r="K14" s="7">
        <f>CEO!K14+CS!K14+CFO!K14+LLA!K14+'C&amp;E'!K14+CES!K14+LLT!K14+GB!K14</f>
        <v>0</v>
      </c>
      <c r="L14" s="7">
        <f>CEO!L14+CS!L14+CFO!L14+LLA!L14+'C&amp;E'!L14+CES!L14+LLT!L14+GB!L14</f>
        <v>0</v>
      </c>
      <c r="M14" s="13" t="s">
        <v>421</v>
      </c>
      <c r="N14" s="7">
        <f t="shared" si="2"/>
        <v>0</v>
      </c>
      <c r="O14" s="7">
        <f t="shared" si="3"/>
        <v>1483339.5318824349</v>
      </c>
      <c r="P14" s="7">
        <f t="shared" si="4"/>
        <v>1483339.5318824349</v>
      </c>
      <c r="Q14" s="7">
        <f>CEO!Q14+CS!Q14+CFO!Q14+LLA!Q14+'C&amp;E'!Q14+CES!Q14+LLT!Q14+GB!Q14</f>
        <v>1483339.5318824349</v>
      </c>
      <c r="R14" s="7">
        <f t="shared" si="5"/>
        <v>0</v>
      </c>
      <c r="S14" s="7">
        <v>-103000.00000000023</v>
      </c>
      <c r="T14" s="7">
        <f>CEO!T14+CS!T14+CFO!T14+LLA!T14+'C&amp;E'!T14+CES!T14+LLT!T14+GB!T14</f>
        <v>-311963</v>
      </c>
      <c r="U14" s="7">
        <f t="shared" si="7"/>
        <v>1068376.5318824346</v>
      </c>
      <c r="V14" s="7">
        <f t="shared" si="6"/>
        <v>-414963.00000000023</v>
      </c>
      <c r="W14" s="7"/>
      <c r="X14" s="159">
        <f t="shared" si="9"/>
        <v>0</v>
      </c>
      <c r="Y14" s="7">
        <f t="shared" si="8"/>
        <v>-1483339.5318824349</v>
      </c>
      <c r="Z14" s="7">
        <v>1440938.7427047917</v>
      </c>
      <c r="AA14" s="7">
        <f t="shared" si="0"/>
        <v>1508662.8636119168</v>
      </c>
      <c r="AC14" s="295">
        <f t="shared" si="1"/>
        <v>42400.789177643135</v>
      </c>
    </row>
    <row r="15" spans="1:33" x14ac:dyDescent="0.3">
      <c r="A15" s="7">
        <f>CEO!A15+CS!A15+CFO!A15+LLA!A15+'C&amp;E'!A15+CES!A15+LLT!A15+GB!A15</f>
        <v>0</v>
      </c>
      <c r="B15" s="7">
        <f>CEO!B15+CS!B15+CFO!B15+LLA!B15+'C&amp;E'!B15+CES!B15+LLT!B15+GB!B15</f>
        <v>6288</v>
      </c>
      <c r="C15" s="7">
        <f>CEO!C15+CS!C15+CFO!C15+LLA!C15+'C&amp;E'!C15+CES!C15+LLT!C15+GB!C15</f>
        <v>0</v>
      </c>
      <c r="D15" s="7">
        <f>CEO!D15+CS!D15+CFO!D15+LLA!D15+'C&amp;E'!D15+CES!D15+LLT!D15+GB!D15</f>
        <v>3144</v>
      </c>
      <c r="E15" s="7">
        <f>CEO!E15+CS!E15+CFO!E15+LLA!E15+'C&amp;E'!E15+CES!E15+LLT!E15+GB!E15</f>
        <v>9432</v>
      </c>
      <c r="F15" s="7">
        <f>CEO!F15+CS!F15+CFO!F15+LLA!F15+'C&amp;E'!F15+CES!F15+LLT!F15+GB!F15</f>
        <v>0</v>
      </c>
      <c r="G15" s="7">
        <f>CEO!G15+CS!G15+CFO!G15+LLA!G15+'C&amp;E'!G15+CES!G15+LLT!G15+GB!G15</f>
        <v>0</v>
      </c>
      <c r="H15" s="7">
        <f>CEO!H15+CS!H15+CFO!H15+LLA!H15+'C&amp;E'!H15+CES!H15+LLT!H15+GB!H15</f>
        <v>3144</v>
      </c>
      <c r="I15" s="7">
        <f>CEO!I15+CS!I15+CFO!I15+LLA!I15+'C&amp;E'!I15+CES!I15+LLT!I15+GB!I15</f>
        <v>0</v>
      </c>
      <c r="J15" s="7">
        <f>CEO!J15+CS!J15+CFO!J15+LLA!J15+'C&amp;E'!J15+CES!J15+LLT!J15+GB!J15</f>
        <v>0</v>
      </c>
      <c r="K15" s="7">
        <f>CEO!K15+CS!K15+CFO!K15+LLA!K15+'C&amp;E'!K15+CES!K15+LLT!K15+GB!K15</f>
        <v>0</v>
      </c>
      <c r="L15" s="7">
        <f>CEO!L15+CS!L15+CFO!L15+LLA!L15+'C&amp;E'!L15+CES!L15+LLT!L15+GB!L15</f>
        <v>6288</v>
      </c>
      <c r="M15" s="13" t="s">
        <v>422</v>
      </c>
      <c r="N15" s="7">
        <f t="shared" si="2"/>
        <v>0</v>
      </c>
      <c r="O15" s="7">
        <f t="shared" si="3"/>
        <v>28296</v>
      </c>
      <c r="P15" s="7">
        <f t="shared" si="4"/>
        <v>28296</v>
      </c>
      <c r="Q15" s="7">
        <f>CEO!Q15+CS!Q15+CFO!Q15+LLA!Q15+'C&amp;E'!Q15+CES!Q15+LLT!Q15+GB!Q15</f>
        <v>28296</v>
      </c>
      <c r="R15" s="7">
        <f t="shared" si="5"/>
        <v>0</v>
      </c>
      <c r="S15" s="7">
        <v>0</v>
      </c>
      <c r="T15" s="7">
        <f>CEO!T15+CS!T15+CFO!T15+LLA!T15+'C&amp;E'!T15+CES!T15+LLT!T15+GB!T15</f>
        <v>-26478.395</v>
      </c>
      <c r="U15" s="7">
        <f t="shared" si="7"/>
        <v>1817.6049999999996</v>
      </c>
      <c r="V15" s="7">
        <f t="shared" si="6"/>
        <v>-26478.395</v>
      </c>
      <c r="W15" s="7"/>
      <c r="X15" s="159">
        <f t="shared" si="9"/>
        <v>0</v>
      </c>
      <c r="Y15" s="7">
        <f t="shared" si="8"/>
        <v>-28296</v>
      </c>
      <c r="Z15" s="7">
        <v>28296</v>
      </c>
      <c r="AA15" s="7">
        <f t="shared" si="0"/>
        <v>29625.911999999997</v>
      </c>
      <c r="AC15" s="295">
        <f t="shared" si="1"/>
        <v>0</v>
      </c>
    </row>
    <row r="16" spans="1:33" x14ac:dyDescent="0.3">
      <c r="A16" s="11"/>
      <c r="B16" s="11"/>
      <c r="C16" s="11"/>
      <c r="D16" s="11"/>
      <c r="E16" s="11">
        <v>0</v>
      </c>
      <c r="F16" s="11"/>
      <c r="G16" s="11"/>
      <c r="H16" s="11"/>
      <c r="I16" s="11">
        <f>CEO!I16+CS!I16+CFO!I16+LLA!I16+'C&amp;E'!I16+CES!I16+LLT!I16+GB!I16</f>
        <v>0</v>
      </c>
      <c r="J16" s="11"/>
      <c r="K16" s="11"/>
      <c r="L16" s="11"/>
      <c r="M16" s="13" t="s">
        <v>423</v>
      </c>
      <c r="N16" s="11">
        <f t="shared" si="2"/>
        <v>0</v>
      </c>
      <c r="O16" s="11">
        <f t="shared" si="3"/>
        <v>0</v>
      </c>
      <c r="P16" s="11">
        <f t="shared" si="4"/>
        <v>0</v>
      </c>
      <c r="Q16" s="11">
        <f>CEO!Q16+CS!Q16+CFO!Q16+LLA!Q16+'C&amp;E'!Q16+CES!Q16+LLT!Q16+GB!Q16</f>
        <v>0</v>
      </c>
      <c r="R16" s="11">
        <f t="shared" si="5"/>
        <v>0</v>
      </c>
      <c r="S16" s="11">
        <v>0</v>
      </c>
      <c r="T16" s="11">
        <f>CEO!T16+CS!T16+CFO!T16+LLA!T16+'C&amp;E'!T16+CES!T16+LLT!T16+GB!T16</f>
        <v>0</v>
      </c>
      <c r="U16" s="11">
        <f t="shared" si="7"/>
        <v>0</v>
      </c>
      <c r="V16" s="11">
        <f t="shared" si="6"/>
        <v>0</v>
      </c>
      <c r="W16" s="11"/>
      <c r="X16" s="160">
        <f t="shared" si="9"/>
        <v>0</v>
      </c>
      <c r="Y16" s="11">
        <f t="shared" si="8"/>
        <v>0</v>
      </c>
      <c r="Z16" s="11">
        <v>0</v>
      </c>
      <c r="AA16" s="11">
        <f t="shared" si="0"/>
        <v>0</v>
      </c>
      <c r="AC16" s="295">
        <f t="shared" si="1"/>
        <v>0</v>
      </c>
    </row>
    <row r="17" spans="1:33" ht="5.4" customHeight="1" x14ac:dyDescent="0.3">
      <c r="A17" s="81"/>
      <c r="B17" s="81"/>
      <c r="C17" s="81"/>
      <c r="D17" s="85"/>
      <c r="E17" s="83"/>
      <c r="F17" s="83"/>
      <c r="G17" s="83"/>
      <c r="H17" s="83"/>
      <c r="I17" s="83"/>
      <c r="J17" s="83"/>
      <c r="K17" s="83"/>
      <c r="L17" s="83"/>
      <c r="M17" s="13"/>
      <c r="N17" s="83">
        <f t="shared" ref="N17:N66" si="10">SUM(A17:J17)</f>
        <v>0</v>
      </c>
      <c r="O17" s="83">
        <f t="shared" ref="O17:O66" si="11">SUM(K17:L17)</f>
        <v>0</v>
      </c>
      <c r="P17" s="83">
        <f t="shared" si="4"/>
        <v>0</v>
      </c>
      <c r="Q17" s="83"/>
      <c r="R17" s="83">
        <f t="shared" ref="R17:R66" si="12">P17-Q17</f>
        <v>0</v>
      </c>
      <c r="S17" s="83">
        <v>0</v>
      </c>
      <c r="T17" s="81">
        <f>CEO!T17+CS!T17+CFO!T17+LLA!T17+'C&amp;E'!T17+CES!T17+LLT!T17+GB!T17</f>
        <v>0</v>
      </c>
      <c r="U17" s="81">
        <f t="shared" si="7"/>
        <v>0</v>
      </c>
      <c r="V17" s="81">
        <f t="shared" si="6"/>
        <v>0</v>
      </c>
      <c r="W17" s="81"/>
      <c r="X17" s="204"/>
      <c r="Y17" s="83">
        <f t="shared" ref="Y17:Y66" si="13">Q17-X17</f>
        <v>0</v>
      </c>
      <c r="Z17" s="83"/>
      <c r="AA17" s="83"/>
      <c r="AC17" s="295">
        <f t="shared" si="1"/>
        <v>0</v>
      </c>
    </row>
    <row r="18" spans="1:33" x14ac:dyDescent="0.3">
      <c r="A18" s="4">
        <f>SUM(A7:A16)</f>
        <v>2640947.69108016</v>
      </c>
      <c r="B18" s="4">
        <f>SUM(B7:B16)</f>
        <v>2760481.9735203735</v>
      </c>
      <c r="C18" s="4">
        <f t="shared" ref="C18:L18" si="14">SUM(C7:C16)</f>
        <v>2845475.7170446008</v>
      </c>
      <c r="D18" s="4">
        <f>SUM(D7:D16)</f>
        <v>2907009.4613675741</v>
      </c>
      <c r="E18" s="4">
        <f t="shared" si="14"/>
        <v>2838945.3984846007</v>
      </c>
      <c r="F18" s="4">
        <f t="shared" si="14"/>
        <v>2826124.5123246005</v>
      </c>
      <c r="G18" s="4">
        <f t="shared" si="14"/>
        <v>2895010.6473675743</v>
      </c>
      <c r="H18" s="4">
        <f t="shared" si="14"/>
        <v>4373076.6222900087</v>
      </c>
      <c r="I18" s="4">
        <f t="shared" si="14"/>
        <v>2837220.3800046006</v>
      </c>
      <c r="J18" s="4">
        <f t="shared" si="14"/>
        <v>2910697.8659275742</v>
      </c>
      <c r="K18" s="4">
        <f t="shared" si="14"/>
        <v>2841155.0645646006</v>
      </c>
      <c r="L18" s="4">
        <f t="shared" si="14"/>
        <v>2808893.5772875743</v>
      </c>
      <c r="M18" s="13" t="s">
        <v>89</v>
      </c>
      <c r="N18" s="4">
        <f t="shared" ref="N18:O18" si="15">SUM(N7:N17)</f>
        <v>0</v>
      </c>
      <c r="O18" s="4">
        <f t="shared" si="15"/>
        <v>35485038.911263831</v>
      </c>
      <c r="P18" s="4">
        <f t="shared" ref="P18" si="16">SUM(P7:P17)</f>
        <v>35485038.911263831</v>
      </c>
      <c r="Q18" s="4">
        <f>SUM(Q7:Q17)</f>
        <v>35485038.911263838</v>
      </c>
      <c r="R18" s="4">
        <f t="shared" ref="R18:S18" si="17">SUM(R7:R17)</f>
        <v>0</v>
      </c>
      <c r="S18" s="4">
        <f t="shared" si="17"/>
        <v>1875046.5602114107</v>
      </c>
      <c r="T18" s="4">
        <f>CEO!T18+CS!T18+CFO!T18+LLA!T18+'C&amp;E'!T18+CES!T18+LLT!T18+GB!T18</f>
        <v>-1514082.5063470432</v>
      </c>
      <c r="U18" s="4">
        <f t="shared" si="7"/>
        <v>35846002.965128206</v>
      </c>
      <c r="V18" s="4">
        <f t="shared" si="6"/>
        <v>360964.05386437476</v>
      </c>
      <c r="W18" s="4"/>
      <c r="X18" s="162">
        <f t="shared" si="9"/>
        <v>0</v>
      </c>
      <c r="Y18" s="4">
        <f t="shared" si="13"/>
        <v>35485038.911263838</v>
      </c>
      <c r="Z18" s="4">
        <f>SUM(Z7:Z17)</f>
        <v>35442637.86766395</v>
      </c>
      <c r="AA18" s="4">
        <f>SUM(AA7:AA17)</f>
        <v>37108441.847444154</v>
      </c>
      <c r="AC18" s="295">
        <f t="shared" si="1"/>
        <v>42401.043599888682</v>
      </c>
      <c r="AG18" s="295"/>
    </row>
    <row r="19" spans="1:33" ht="5.4" customHeight="1" x14ac:dyDescent="0.3">
      <c r="A19" s="81"/>
      <c r="B19" s="81"/>
      <c r="C19" s="81"/>
      <c r="D19" s="82"/>
      <c r="E19" s="86"/>
      <c r="F19" s="86"/>
      <c r="G19" s="86"/>
      <c r="H19" s="86"/>
      <c r="I19" s="86"/>
      <c r="J19" s="86"/>
      <c r="K19" s="86"/>
      <c r="L19" s="86"/>
      <c r="M19" s="122"/>
      <c r="N19" s="86">
        <f t="shared" si="10"/>
        <v>0</v>
      </c>
      <c r="O19" s="86">
        <f t="shared" si="11"/>
        <v>0</v>
      </c>
      <c r="P19" s="86">
        <f t="shared" si="4"/>
        <v>0</v>
      </c>
      <c r="Q19" s="86"/>
      <c r="R19" s="86">
        <f t="shared" si="12"/>
        <v>0</v>
      </c>
      <c r="S19" s="86">
        <v>0</v>
      </c>
      <c r="T19" s="81">
        <f>CEO!T19+CS!T19+CFO!T19+LLA!T19+'C&amp;E'!T19+CES!T19+LLT!T19+GB!T19</f>
        <v>0</v>
      </c>
      <c r="U19" s="81">
        <f t="shared" si="7"/>
        <v>0</v>
      </c>
      <c r="V19" s="81">
        <f t="shared" si="6"/>
        <v>0</v>
      </c>
      <c r="W19" s="81"/>
      <c r="X19" s="204"/>
      <c r="Y19" s="86">
        <f t="shared" si="13"/>
        <v>0</v>
      </c>
      <c r="Z19" s="86"/>
      <c r="AA19" s="86"/>
    </row>
    <row r="20" spans="1:33" x14ac:dyDescent="0.3">
      <c r="A20" s="7">
        <f>CEO!A20+CS!A20+CFO!A20+LLA!A20+'C&amp;E'!A20+CES!A20+LLT!A20+GB!A20</f>
        <v>10825.84</v>
      </c>
      <c r="B20" s="7">
        <f>CEO!B20+CS!B20+CFO!B20+LLA!B20+'C&amp;E'!B20+CES!B20+LLT!B20+GB!B20</f>
        <v>10825.84</v>
      </c>
      <c r="C20" s="7">
        <f>CEO!C20+CS!C20+CFO!C20+LLA!C20+'C&amp;E'!C20+CES!C20+LLT!C20+GB!C20</f>
        <v>10825.84</v>
      </c>
      <c r="D20" s="7">
        <f>CEO!D20+CS!D20+CFO!D20+LLA!D20+'C&amp;E'!D20+CES!D20+LLT!D20+GB!D20</f>
        <v>10825.84</v>
      </c>
      <c r="E20" s="7">
        <f>CEO!E20+CS!E20+CFO!E20+LLA!E20+'C&amp;E'!E20+CES!E20+LLT!E20+GB!E20</f>
        <v>10825.84</v>
      </c>
      <c r="F20" s="7">
        <f>CEO!F20+CS!F20+CFO!F20+LLA!F20+'C&amp;E'!F20+CES!F20+LLT!F20+GB!F20</f>
        <v>10825.84</v>
      </c>
      <c r="G20" s="7">
        <f>CEO!G20+CS!G20+CFO!G20+LLA!G20+'C&amp;E'!G20+CES!G20+LLT!G20+GB!G20</f>
        <v>10825.84</v>
      </c>
      <c r="H20" s="7">
        <f>CEO!H20+CS!H20+CFO!H20+LLA!H20+'C&amp;E'!H20+CES!H20+LLT!H20+GB!H20</f>
        <v>10825.84</v>
      </c>
      <c r="I20" s="7">
        <f>CEO!I20+CS!I20+CFO!I20+LLA!I20+'C&amp;E'!I20+CES!I20+LLT!I20+GB!I20</f>
        <v>10825.84</v>
      </c>
      <c r="J20" s="7">
        <f>CEO!J20+CS!J20+CFO!J20+LLA!J20+'C&amp;E'!J20+CES!J20+LLT!J20+GB!J20</f>
        <v>10825.84</v>
      </c>
      <c r="K20" s="7">
        <f>CEO!K20+CS!K20+CFO!K20+LLA!K20+'C&amp;E'!K20+CES!K20+LLT!K20+GB!K20</f>
        <v>10825.84</v>
      </c>
      <c r="L20" s="7">
        <f>CEO!L20+CS!L20+CFO!L20+LLA!L20+'C&amp;E'!L20+CES!L20+LLT!L20+GB!L20</f>
        <v>10825.84</v>
      </c>
      <c r="M20" s="385" t="s">
        <v>424</v>
      </c>
      <c r="N20" s="8">
        <f t="shared" ref="N20:N26" si="18">SUM(0)</f>
        <v>0</v>
      </c>
      <c r="O20" s="8">
        <f t="shared" ref="O20:O26" si="19">SUM(A20:L20)</f>
        <v>129910.07999999997</v>
      </c>
      <c r="P20" s="8">
        <f t="shared" si="4"/>
        <v>129910.07999999997</v>
      </c>
      <c r="Q20" s="8">
        <f>CEO!Q20+CS!Q20+CFO!Q20+LLA!Q20+'C&amp;E'!Q20+CES!Q20+LLT!Q20+GB!Q20</f>
        <v>129910.07999999997</v>
      </c>
      <c r="R20" s="8">
        <f t="shared" ref="R20:R26" si="20">Q20-P20</f>
        <v>0</v>
      </c>
      <c r="S20" s="210">
        <v>70000</v>
      </c>
      <c r="T20" s="8">
        <f>CEO!T20+CS!T20+CFO!T20+LLA!T20+'C&amp;E'!T20+CES!T20+LLT!T20+GB!T20</f>
        <v>0</v>
      </c>
      <c r="U20" s="8">
        <f t="shared" si="7"/>
        <v>199910.07999999996</v>
      </c>
      <c r="V20" s="8">
        <f t="shared" si="6"/>
        <v>69999.999999999985</v>
      </c>
      <c r="W20" s="8"/>
      <c r="X20" s="158">
        <f t="shared" si="9"/>
        <v>0</v>
      </c>
      <c r="Y20" s="210">
        <v>70000</v>
      </c>
      <c r="Z20" s="8">
        <v>129910.28435999999</v>
      </c>
      <c r="AA20" s="8">
        <f t="shared" ref="AA20:AA26" si="21">Z20*(1+AA$3)</f>
        <v>136016.06772491999</v>
      </c>
      <c r="AB20" s="182"/>
      <c r="AC20" s="295">
        <f>Q20-Z20</f>
        <v>-0.20436000001791399</v>
      </c>
    </row>
    <row r="21" spans="1:33" x14ac:dyDescent="0.3">
      <c r="A21" s="7">
        <f>CEO!A21+CS!A21+CFO!A21+LLA!A21+'C&amp;E'!A21+CES!A21+LLT!A21+GB!A21</f>
        <v>142166.44</v>
      </c>
      <c r="B21" s="7">
        <f>CEO!B21+CS!B21+CFO!B21+LLA!B21+'C&amp;E'!B21+CES!B21+LLT!B21+GB!B21</f>
        <v>142166.44</v>
      </c>
      <c r="C21" s="7">
        <f>CEO!C21+CS!C21+CFO!C21+LLA!C21+'C&amp;E'!C21+CES!C21+LLT!C21+GB!C21</f>
        <v>142166.44</v>
      </c>
      <c r="D21" s="7">
        <f>CEO!D21+CS!D21+CFO!D21+LLA!D21+'C&amp;E'!D21+CES!D21+LLT!D21+GB!D21</f>
        <v>142166.44</v>
      </c>
      <c r="E21" s="7">
        <f>CEO!E21+CS!E21+CFO!E21+LLA!E21+'C&amp;E'!E21+CES!E21+LLT!E21+GB!E21</f>
        <v>142166.44</v>
      </c>
      <c r="F21" s="7">
        <f>CEO!F21+CS!F21+CFO!F21+LLA!F21+'C&amp;E'!F21+CES!F21+LLT!F21+GB!F21</f>
        <v>142166.44</v>
      </c>
      <c r="G21" s="7">
        <f>CEO!G21+CS!G21+CFO!G21+LLA!G21+'C&amp;E'!G21+CES!G21+LLT!G21+GB!G21</f>
        <v>142166.44</v>
      </c>
      <c r="H21" s="7">
        <f>CEO!H21+CS!H21+CFO!H21+LLA!H21+'C&amp;E'!H21+CES!H21+LLT!H21+GB!H21</f>
        <v>142166.44</v>
      </c>
      <c r="I21" s="7">
        <f>CEO!I21+CS!I21+CFO!I21+LLA!I21+'C&amp;E'!I21+CES!I21+LLT!I21+GB!I21</f>
        <v>142166.44</v>
      </c>
      <c r="J21" s="7">
        <f>CEO!J21+CS!J21+CFO!J21+LLA!J21+'C&amp;E'!J21+CES!J21+LLT!J21+GB!J21</f>
        <v>142166.44</v>
      </c>
      <c r="K21" s="7">
        <f>CEO!K21+CS!K21+CFO!K21+LLA!K21+'C&amp;E'!K21+CES!K21+LLT!K21+GB!K21</f>
        <v>142166.44</v>
      </c>
      <c r="L21" s="7">
        <f>CEO!L21+CS!L21+CFO!L21+LLA!L21+'C&amp;E'!L21+CES!L21+LLT!L21+GB!L21</f>
        <v>152930</v>
      </c>
      <c r="M21" s="13" t="s">
        <v>425</v>
      </c>
      <c r="N21" s="7">
        <f t="shared" si="18"/>
        <v>0</v>
      </c>
      <c r="O21" s="7">
        <f t="shared" si="19"/>
        <v>1716760.8399999996</v>
      </c>
      <c r="P21" s="7">
        <f t="shared" si="4"/>
        <v>1716760.8399999996</v>
      </c>
      <c r="Q21" s="7">
        <f>CEO!Q21+CS!Q21+CFO!Q21+LLA!Q21+'C&amp;E'!Q21+CES!Q21+LLT!Q21+GB!Q21</f>
        <v>1716760.8399999996</v>
      </c>
      <c r="R21" s="7">
        <f t="shared" si="20"/>
        <v>0</v>
      </c>
      <c r="S21" s="202">
        <v>4059000</v>
      </c>
      <c r="T21" s="7">
        <f>CEO!T21+CS!T21+CFO!T21+LLA!T21+'C&amp;E'!T21+CES!T21+LLT!T21+GB!T21</f>
        <v>-715404</v>
      </c>
      <c r="U21" s="7">
        <f t="shared" si="7"/>
        <v>5060356.84</v>
      </c>
      <c r="V21" s="7">
        <f t="shared" si="6"/>
        <v>3343596</v>
      </c>
      <c r="W21" s="7"/>
      <c r="X21" s="159">
        <f t="shared" si="9"/>
        <v>0</v>
      </c>
      <c r="Y21" s="202">
        <v>4059000</v>
      </c>
      <c r="Z21" s="7">
        <v>1716760.7818472679</v>
      </c>
      <c r="AA21" s="7">
        <f>Z21*(1+AA$3)+114694</f>
        <v>1912142.5385940894</v>
      </c>
      <c r="AC21" s="295">
        <f t="shared" ref="AC21:AC28" si="22">Q21-Z21</f>
        <v>5.815273174084723E-2</v>
      </c>
    </row>
    <row r="22" spans="1:33" x14ac:dyDescent="0.3">
      <c r="A22" s="7">
        <f>CEO!A22+CS!A22+CFO!A22+LLA!A22+'C&amp;E'!A22+CES!A22+LLT!A22+GB!A22</f>
        <v>13768.624</v>
      </c>
      <c r="B22" s="7">
        <f>CEO!B22+CS!B22+CFO!B22+LLA!B22+'C&amp;E'!B22+CES!B22+LLT!B22+GB!B22</f>
        <v>13768.624</v>
      </c>
      <c r="C22" s="7">
        <f>CEO!C22+CS!C22+CFO!C22+LLA!C22+'C&amp;E'!C22+CES!C22+LLT!C22+GB!C22</f>
        <v>13768.624</v>
      </c>
      <c r="D22" s="7">
        <f>CEO!D22+CS!D22+CFO!D22+LLA!D22+'C&amp;E'!D22+CES!D22+LLT!D22+GB!D22</f>
        <v>13768.624</v>
      </c>
      <c r="E22" s="7">
        <f>CEO!E22+CS!E22+CFO!E22+LLA!E22+'C&amp;E'!E22+CES!E22+LLT!E22+GB!E22</f>
        <v>13768.624</v>
      </c>
      <c r="F22" s="7">
        <f>CEO!F22+CS!F22+CFO!F22+LLA!F22+'C&amp;E'!F22+CES!F22+LLT!F22+GB!F22</f>
        <v>13768.624</v>
      </c>
      <c r="G22" s="7">
        <f>CEO!G22+CS!G22+CFO!G22+LLA!G22+'C&amp;E'!G22+CES!G22+LLT!G22+GB!G22</f>
        <v>13768.624</v>
      </c>
      <c r="H22" s="7">
        <f>CEO!H22+CS!H22+CFO!H22+LLA!H22+'C&amp;E'!H22+CES!H22+LLT!H22+GB!H22</f>
        <v>13768.624</v>
      </c>
      <c r="I22" s="7">
        <f>CEO!I22+CS!I22+CFO!I22+LLA!I22+'C&amp;E'!I22+CES!I22+LLT!I22+GB!I22</f>
        <v>13768.624</v>
      </c>
      <c r="J22" s="7">
        <f>CEO!J22+CS!J22+CFO!J22+LLA!J22+'C&amp;E'!J22+CES!J22+LLT!J22+GB!J22</f>
        <v>13768.624</v>
      </c>
      <c r="K22" s="7">
        <f>CEO!K22+CS!K22+CFO!K22+LLA!K22+'C&amp;E'!K22+CES!K22+LLT!K22+GB!K22</f>
        <v>13768.624</v>
      </c>
      <c r="L22" s="7">
        <f>CEO!L22+CS!L22+CFO!L22+LLA!L22+'C&amp;E'!L22+CES!L22+LLT!L22+GB!L22</f>
        <v>13762.624</v>
      </c>
      <c r="M22" s="13" t="s">
        <v>426</v>
      </c>
      <c r="N22" s="7">
        <f t="shared" si="18"/>
        <v>0</v>
      </c>
      <c r="O22" s="7">
        <f t="shared" si="19"/>
        <v>165217.48800000001</v>
      </c>
      <c r="P22" s="7">
        <f t="shared" si="4"/>
        <v>165217.48800000001</v>
      </c>
      <c r="Q22" s="7">
        <f>CEO!Q22+CS!Q22+CFO!Q22+LLA!Q22+'C&amp;E'!Q22+CES!Q22+LLT!Q22+GB!Q22</f>
        <v>165217.48800000001</v>
      </c>
      <c r="R22" s="7">
        <f t="shared" si="20"/>
        <v>0</v>
      </c>
      <c r="S22" s="202">
        <v>400000</v>
      </c>
      <c r="T22" s="7">
        <f>CEO!T22+CS!T22+CFO!T22+LLA!T22+'C&amp;E'!T22+CES!T22+LLT!T22+GB!T22</f>
        <v>0</v>
      </c>
      <c r="U22" s="7">
        <f t="shared" si="7"/>
        <v>565217.48800000001</v>
      </c>
      <c r="V22" s="7">
        <f t="shared" si="6"/>
        <v>400000</v>
      </c>
      <c r="W22" s="7"/>
      <c r="X22" s="159">
        <f t="shared" si="9"/>
        <v>0</v>
      </c>
      <c r="Y22" s="202">
        <v>400000</v>
      </c>
      <c r="Z22" s="7">
        <v>165217.20000000001</v>
      </c>
      <c r="AA22" s="7">
        <f t="shared" si="21"/>
        <v>172982.40840000001</v>
      </c>
      <c r="AC22" s="295">
        <f t="shared" si="22"/>
        <v>0.28800000000046566</v>
      </c>
    </row>
    <row r="23" spans="1:33" x14ac:dyDescent="0.3">
      <c r="A23" s="7">
        <f>CEO!A23+CS!A23+CFO!A23+LLA!A23+'C&amp;E'!A23+CES!A23+LLT!A23+GB!A23</f>
        <v>0</v>
      </c>
      <c r="B23" s="7">
        <f>CEO!B23+CS!B23+CFO!B23+LLA!B23+'C&amp;E'!B23+CES!B23+LLT!B23+GB!B23</f>
        <v>0</v>
      </c>
      <c r="C23" s="7">
        <f>CEO!C23+CS!C23+CFO!C23+LLA!C23+'C&amp;E'!C23+CES!C23+LLT!C23+GB!C23</f>
        <v>0</v>
      </c>
      <c r="D23" s="7">
        <f>CEO!D23+CS!D23+CFO!D23+LLA!D23+'C&amp;E'!D23+CES!D23+LLT!D23+GB!D23</f>
        <v>0</v>
      </c>
      <c r="E23" s="7">
        <f>CEO!E23+CS!E23+CFO!E23+LLA!E23+'C&amp;E'!E23+CES!E23+LLT!E23+GB!E23</f>
        <v>0</v>
      </c>
      <c r="F23" s="7">
        <f>CEO!F23+CS!F23+CFO!F23+LLA!F23+'C&amp;E'!F23+CES!F23+LLT!F23+GB!F23</f>
        <v>0</v>
      </c>
      <c r="G23" s="7">
        <f>CEO!G23+CS!G23+CFO!G23+LLA!G23+'C&amp;E'!G23+CES!G23+LLT!G23+GB!G23</f>
        <v>0</v>
      </c>
      <c r="H23" s="7">
        <f>CEO!H23+CS!H23+CFO!H23+LLA!H23+'C&amp;E'!H23+CES!H23+LLT!H23+GB!H23</f>
        <v>0</v>
      </c>
      <c r="I23" s="7">
        <f>CEO!I23+CS!I23+CFO!I23+LLA!I23+'C&amp;E'!I23+CES!I23+LLT!I23+GB!I23</f>
        <v>0</v>
      </c>
      <c r="J23" s="7">
        <f>CEO!J23+CS!J23+CFO!J23+LLA!J23+'C&amp;E'!J23+CES!J23+LLT!J23+GB!J23</f>
        <v>0</v>
      </c>
      <c r="K23" s="7">
        <f>CEO!K23+CS!K23+CFO!K23+LLA!K23+'C&amp;E'!K23+CES!K23+LLT!K23+GB!K23</f>
        <v>0</v>
      </c>
      <c r="L23" s="7">
        <f>CEO!L23+CS!L23+CFO!L23+LLA!L23+'C&amp;E'!L23+CES!L23+LLT!L23+GB!L23</f>
        <v>0</v>
      </c>
      <c r="M23" s="125" t="s">
        <v>427</v>
      </c>
      <c r="N23" s="7">
        <f t="shared" si="18"/>
        <v>0</v>
      </c>
      <c r="O23" s="7">
        <f t="shared" si="19"/>
        <v>0</v>
      </c>
      <c r="P23" s="7">
        <f t="shared" si="4"/>
        <v>0</v>
      </c>
      <c r="Q23" s="7">
        <f>CEO!Q23+CS!Q23+CFO!Q23+LLA!Q23+'C&amp;E'!Q23+CES!Q23+LLT!Q23+GB!Q23</f>
        <v>0</v>
      </c>
      <c r="R23" s="7">
        <f t="shared" si="20"/>
        <v>0</v>
      </c>
      <c r="S23" s="7">
        <v>0</v>
      </c>
      <c r="T23" s="7">
        <f>CEO!T23+CS!T23+CFO!T23+LLA!T23+'C&amp;E'!T23+CES!T23+LLT!T23+GB!T23</f>
        <v>0</v>
      </c>
      <c r="U23" s="7">
        <f t="shared" si="7"/>
        <v>0</v>
      </c>
      <c r="V23" s="7">
        <f t="shared" si="6"/>
        <v>0</v>
      </c>
      <c r="W23" s="7"/>
      <c r="X23" s="159">
        <f t="shared" si="9"/>
        <v>0</v>
      </c>
      <c r="Y23" s="7">
        <f t="shared" ref="Y23:Y26" si="23">X23-Q23</f>
        <v>0</v>
      </c>
      <c r="Z23" s="7">
        <v>0</v>
      </c>
      <c r="AA23" s="7">
        <f t="shared" si="21"/>
        <v>0</v>
      </c>
      <c r="AC23" s="295">
        <f t="shared" si="22"/>
        <v>0</v>
      </c>
    </row>
    <row r="24" spans="1:33" x14ac:dyDescent="0.3">
      <c r="A24" s="7">
        <f>CEO!A24+CS!A24+CFO!A24+LLA!A24+'C&amp;E'!A24+CES!A24+LLT!A24+GB!A24</f>
        <v>23328.48</v>
      </c>
      <c r="B24" s="7">
        <f>CEO!B24+CS!B24+CFO!B24+LLA!B24+'C&amp;E'!B24+CES!B24+LLT!B24+GB!B24</f>
        <v>23328.48</v>
      </c>
      <c r="C24" s="7">
        <f>CEO!C24+CS!C24+CFO!C24+LLA!C24+'C&amp;E'!C24+CES!C24+LLT!C24+GB!C24</f>
        <v>23328.48</v>
      </c>
      <c r="D24" s="7">
        <f>CEO!D24+CS!D24+CFO!D24+LLA!D24+'C&amp;E'!D24+CES!D24+LLT!D24+GB!D24</f>
        <v>23328.48</v>
      </c>
      <c r="E24" s="7">
        <f>CEO!E24+CS!E24+CFO!E24+LLA!E24+'C&amp;E'!E24+CES!E24+LLT!E24+GB!E24</f>
        <v>23328.48</v>
      </c>
      <c r="F24" s="7">
        <f>CEO!F24+CS!F24+CFO!F24+LLA!F24+'C&amp;E'!F24+CES!F24+LLT!F24+GB!F24</f>
        <v>23328.48</v>
      </c>
      <c r="G24" s="7">
        <f>CEO!G24+CS!G24+CFO!G24+LLA!G24+'C&amp;E'!G24+CES!G24+LLT!G24+GB!G24</f>
        <v>23328.48</v>
      </c>
      <c r="H24" s="7">
        <f>CEO!H24+CS!H24+CFO!H24+LLA!H24+'C&amp;E'!H24+CES!H24+LLT!H24+GB!H24</f>
        <v>23328.48</v>
      </c>
      <c r="I24" s="7">
        <f>CEO!I24+CS!I24+CFO!I24+LLA!I24+'C&amp;E'!I24+CES!I24+LLT!I24+GB!I24</f>
        <v>23328.48</v>
      </c>
      <c r="J24" s="7">
        <f>CEO!J24+CS!J24+CFO!J24+LLA!J24+'C&amp;E'!J24+CES!J24+LLT!J24+GB!J24</f>
        <v>23328.48</v>
      </c>
      <c r="K24" s="7">
        <f>CEO!K24+CS!K24+CFO!K24+LLA!K24+'C&amp;E'!K24+CES!K24+LLT!K24+GB!K24</f>
        <v>23328.48</v>
      </c>
      <c r="L24" s="7">
        <f>CEO!L24+CS!L24+CFO!L24+LLA!L24+'C&amp;E'!L24+CES!L24+LLT!L24+GB!L24</f>
        <v>23333.48</v>
      </c>
      <c r="M24" s="125" t="s">
        <v>428</v>
      </c>
      <c r="N24" s="7">
        <f t="shared" si="18"/>
        <v>0</v>
      </c>
      <c r="O24" s="7">
        <f t="shared" si="19"/>
        <v>279946.76000000007</v>
      </c>
      <c r="P24" s="7">
        <f t="shared" si="4"/>
        <v>279946.76000000007</v>
      </c>
      <c r="Q24" s="7">
        <f>CEO!Q24+CS!Q24+CFO!Q24+LLA!Q24+'C&amp;E'!Q24+CES!Q24+LLT!Q24+GB!Q24</f>
        <v>279946.76000000007</v>
      </c>
      <c r="R24" s="7">
        <f t="shared" si="20"/>
        <v>0</v>
      </c>
      <c r="S24" s="7">
        <v>0</v>
      </c>
      <c r="T24" s="7">
        <f>CEO!T24+CS!T24+CFO!T24+LLA!T24+'C&amp;E'!T24+CES!T24+LLT!T24+GB!T24</f>
        <v>0</v>
      </c>
      <c r="U24" s="7">
        <f t="shared" si="7"/>
        <v>279946.76000000007</v>
      </c>
      <c r="V24" s="7">
        <f t="shared" si="6"/>
        <v>0</v>
      </c>
      <c r="W24" s="7"/>
      <c r="X24" s="159">
        <f t="shared" si="9"/>
        <v>0</v>
      </c>
      <c r="Y24" s="7">
        <f t="shared" si="23"/>
        <v>-279946.76000000007</v>
      </c>
      <c r="Z24" s="7">
        <v>279947.04191999999</v>
      </c>
      <c r="AA24" s="7">
        <f t="shared" si="21"/>
        <v>293104.55289023998</v>
      </c>
      <c r="AC24" s="295">
        <f t="shared" si="22"/>
        <v>-0.28191999992122874</v>
      </c>
    </row>
    <row r="25" spans="1:33" x14ac:dyDescent="0.3">
      <c r="A25" s="7">
        <f>CEO!A25+CS!A25+CFO!A25+LLA!A25+'C&amp;E'!A25+CES!A25+LLT!A25+GB!A25</f>
        <v>1290.0880000000002</v>
      </c>
      <c r="B25" s="7">
        <f>CEO!B25+CS!B25+CFO!B25+LLA!B25+'C&amp;E'!B25+CES!B25+LLT!B25+GB!B25</f>
        <v>1290.0880000000002</v>
      </c>
      <c r="C25" s="7">
        <f>CEO!C25+CS!C25+CFO!C25+LLA!C25+'C&amp;E'!C25+CES!C25+LLT!C25+GB!C25</f>
        <v>1290.0880000000002</v>
      </c>
      <c r="D25" s="7">
        <f>CEO!D25+CS!D25+CFO!D25+LLA!D25+'C&amp;E'!D25+CES!D25+LLT!D25+GB!D25</f>
        <v>1290.0880000000002</v>
      </c>
      <c r="E25" s="7">
        <f>CEO!E25+CS!E25+CFO!E25+LLA!E25+'C&amp;E'!E25+CES!E25+LLT!E25+GB!E25</f>
        <v>1290.0880000000002</v>
      </c>
      <c r="F25" s="7">
        <f>CEO!F25+CS!F25+CFO!F25+LLA!F25+'C&amp;E'!F25+CES!F25+LLT!F25+GB!F25</f>
        <v>1290.0880000000002</v>
      </c>
      <c r="G25" s="7">
        <f>CEO!G25+CS!G25+CFO!G25+LLA!G25+'C&amp;E'!G25+CES!G25+LLT!G25+GB!G25</f>
        <v>1290.0880000000002</v>
      </c>
      <c r="H25" s="7">
        <f>CEO!H25+CS!H25+CFO!H25+LLA!H25+'C&amp;E'!H25+CES!H25+LLT!H25+GB!H25</f>
        <v>1290.0880000000002</v>
      </c>
      <c r="I25" s="7">
        <f>CEO!I25+CS!I25+CFO!I25+LLA!I25+'C&amp;E'!I25+CES!I25+LLT!I25+GB!I25</f>
        <v>1290.0880000000002</v>
      </c>
      <c r="J25" s="7">
        <f>CEO!J25+CS!J25+CFO!J25+LLA!J25+'C&amp;E'!J25+CES!J25+LLT!J25+GB!J25</f>
        <v>1290.0880000000002</v>
      </c>
      <c r="K25" s="7">
        <f>CEO!K25+CS!K25+CFO!K25+LLA!K25+'C&amp;E'!K25+CES!K25+LLT!K25+GB!K25</f>
        <v>1290.0880000000002</v>
      </c>
      <c r="L25" s="7">
        <f>CEO!L25+CS!L25+CFO!L25+LLA!L25+'C&amp;E'!L25+CES!L25+LLT!L25+GB!L25</f>
        <v>1298.0880000000002</v>
      </c>
      <c r="M25" s="13" t="s">
        <v>429</v>
      </c>
      <c r="N25" s="7">
        <f t="shared" si="18"/>
        <v>0</v>
      </c>
      <c r="O25" s="7">
        <f t="shared" si="19"/>
        <v>15489.055999999999</v>
      </c>
      <c r="P25" s="7">
        <f t="shared" si="4"/>
        <v>15489.055999999999</v>
      </c>
      <c r="Q25" s="7">
        <f>CEO!Q25+CS!Q25+CFO!Q25+LLA!Q25+'C&amp;E'!Q25+CES!Q25+LLT!Q25+GB!Q25</f>
        <v>15489.056000000004</v>
      </c>
      <c r="R25" s="7">
        <f t="shared" si="20"/>
        <v>0</v>
      </c>
      <c r="S25" s="7">
        <v>4780</v>
      </c>
      <c r="T25" s="7">
        <f>CEO!T25+CS!T25+CFO!T25+LLA!T25+'C&amp;E'!T25+CES!T25+LLT!T25+GB!T25</f>
        <v>8301</v>
      </c>
      <c r="U25" s="7">
        <f t="shared" si="7"/>
        <v>28570.056000000004</v>
      </c>
      <c r="V25" s="7">
        <f t="shared" si="6"/>
        <v>13081.000000000005</v>
      </c>
      <c r="W25" s="7"/>
      <c r="X25" s="159">
        <f t="shared" si="9"/>
        <v>0</v>
      </c>
      <c r="Y25" s="7">
        <f t="shared" si="23"/>
        <v>-15489.056000000004</v>
      </c>
      <c r="Z25" s="7">
        <v>15489.44</v>
      </c>
      <c r="AA25" s="7">
        <f t="shared" si="21"/>
        <v>16217.44368</v>
      </c>
      <c r="AC25" s="295">
        <f t="shared" si="22"/>
        <v>-0.38399999999637657</v>
      </c>
    </row>
    <row r="26" spans="1:33" x14ac:dyDescent="0.3">
      <c r="A26" s="7">
        <f>CEO!A26+CS!A26+CFO!A26+LLA!A26+'C&amp;E'!A26+CES!A26+LLT!A26+GB!A26</f>
        <v>0</v>
      </c>
      <c r="B26" s="7">
        <f>CEO!B26+CS!B26+CFO!B26+LLA!B26+'C&amp;E'!B26+CES!B26+LLT!B26+GB!B26</f>
        <v>0</v>
      </c>
      <c r="C26" s="7">
        <f>CEO!C26+CS!C26+CFO!C26+LLA!C26+'C&amp;E'!C26+CES!C26+LLT!C26+GB!C26</f>
        <v>0</v>
      </c>
      <c r="D26" s="7">
        <f>CEO!D26+CS!D26+CFO!D26+LLA!D26+'C&amp;E'!D26+CES!D26+LLT!D26+GB!D26</f>
        <v>0</v>
      </c>
      <c r="E26" s="7">
        <f>CEO!E26+CS!E26+CFO!E26+LLA!E26+'C&amp;E'!E26+CES!E26+LLT!E26+GB!E26</f>
        <v>0</v>
      </c>
      <c r="F26" s="7">
        <f>CEO!F26+CS!F26+CFO!F26+LLA!F26+'C&amp;E'!F26+CES!F26+LLT!F26+GB!F26</f>
        <v>0</v>
      </c>
      <c r="G26" s="7">
        <f>CEO!G26+CS!G26+CFO!G26+LLA!G26+'C&amp;E'!G26+CES!G26+LLT!G26+GB!G26</f>
        <v>0</v>
      </c>
      <c r="H26" s="7">
        <f>CEO!H26+CS!H26+CFO!H26+LLA!H26+'C&amp;E'!H26+CES!H26+LLT!H26+GB!H26</f>
        <v>0</v>
      </c>
      <c r="I26" s="11">
        <f>CEO!I26+CS!I26+CFO!I26+LLA!I26+'C&amp;E'!I26+CES!I26+LLT!I26+GB!I26</f>
        <v>0</v>
      </c>
      <c r="J26" s="11">
        <f>CEO!J26+CS!J26+CFO!J26+LLA!J26+'C&amp;E'!J26+CES!J26+LLT!J26+GB!J26</f>
        <v>0</v>
      </c>
      <c r="K26" s="11">
        <f>CEO!K26+CS!K26+CFO!K26+LLA!K26+'C&amp;E'!K26+CES!K26+LLT!K26+GB!K26</f>
        <v>0</v>
      </c>
      <c r="L26" s="11">
        <f>CEO!L26+CS!L26+CFO!L26+LLA!L26+'C&amp;E'!L26+CES!L26+LLT!L26+GB!L26</f>
        <v>0</v>
      </c>
      <c r="M26" s="13" t="s">
        <v>430</v>
      </c>
      <c r="N26" s="11">
        <f t="shared" si="18"/>
        <v>0</v>
      </c>
      <c r="O26" s="11">
        <f t="shared" si="19"/>
        <v>0</v>
      </c>
      <c r="P26" s="11">
        <f t="shared" si="4"/>
        <v>0</v>
      </c>
      <c r="Q26" s="11">
        <f>CEO!Q26+CS!Q26+CFO!Q26+LLA!Q26+'C&amp;E'!Q26+CES!Q26+LLT!Q26+GB!Q26</f>
        <v>0</v>
      </c>
      <c r="R26" s="11">
        <f t="shared" si="20"/>
        <v>0</v>
      </c>
      <c r="S26" s="11">
        <v>0</v>
      </c>
      <c r="T26" s="11">
        <f>CEO!T26+CS!T26+CFO!T26+LLA!T26+'C&amp;E'!T26+CES!T26+LLT!T26+GB!T26</f>
        <v>0</v>
      </c>
      <c r="U26" s="11">
        <f t="shared" si="7"/>
        <v>0</v>
      </c>
      <c r="V26" s="11">
        <f t="shared" si="6"/>
        <v>0</v>
      </c>
      <c r="W26" s="11"/>
      <c r="X26" s="160">
        <f t="shared" si="9"/>
        <v>0</v>
      </c>
      <c r="Y26" s="11">
        <f t="shared" si="23"/>
        <v>0</v>
      </c>
      <c r="Z26" s="11">
        <v>0</v>
      </c>
      <c r="AA26" s="11">
        <f t="shared" si="21"/>
        <v>0</v>
      </c>
      <c r="AC26" s="295">
        <f t="shared" si="22"/>
        <v>0</v>
      </c>
    </row>
    <row r="27" spans="1:33" ht="5.4" customHeight="1" x14ac:dyDescent="0.3">
      <c r="A27" s="81"/>
      <c r="B27" s="81"/>
      <c r="C27" s="81"/>
      <c r="D27" s="85"/>
      <c r="E27" s="83"/>
      <c r="F27" s="83"/>
      <c r="G27" s="83"/>
      <c r="H27" s="83"/>
      <c r="I27" s="83"/>
      <c r="J27" s="83"/>
      <c r="K27" s="83"/>
      <c r="L27" s="83"/>
      <c r="M27" s="13"/>
      <c r="N27" s="83">
        <f t="shared" si="10"/>
        <v>0</v>
      </c>
      <c r="O27" s="83">
        <f t="shared" si="11"/>
        <v>0</v>
      </c>
      <c r="P27" s="83">
        <f t="shared" si="4"/>
        <v>0</v>
      </c>
      <c r="Q27" s="83"/>
      <c r="R27" s="83">
        <f t="shared" si="12"/>
        <v>0</v>
      </c>
      <c r="S27" s="83">
        <v>0</v>
      </c>
      <c r="T27" s="81">
        <f>CEO!T27+CS!T27+CFO!T27+LLA!T27+'C&amp;E'!T27+CES!T27+LLT!T27+GB!T27</f>
        <v>0</v>
      </c>
      <c r="U27" s="81">
        <f t="shared" si="7"/>
        <v>0</v>
      </c>
      <c r="V27" s="81">
        <f t="shared" si="6"/>
        <v>0</v>
      </c>
      <c r="W27" s="81"/>
      <c r="X27" s="204">
        <f t="shared" si="9"/>
        <v>0</v>
      </c>
      <c r="Y27" s="83">
        <f t="shared" si="13"/>
        <v>0</v>
      </c>
      <c r="Z27" s="83"/>
      <c r="AA27" s="83"/>
      <c r="AC27" s="295">
        <f t="shared" si="22"/>
        <v>0</v>
      </c>
    </row>
    <row r="28" spans="1:33" x14ac:dyDescent="0.3">
      <c r="A28" s="4">
        <f>SUM(A20:A26)</f>
        <v>191379.47200000001</v>
      </c>
      <c r="B28" s="4">
        <f>SUM(B20:B26)</f>
        <v>191379.47200000001</v>
      </c>
      <c r="C28" s="4">
        <f t="shared" ref="C28:L28" si="24">SUM(C20:C26)</f>
        <v>191379.47200000001</v>
      </c>
      <c r="D28" s="4">
        <f t="shared" si="24"/>
        <v>191379.47200000001</v>
      </c>
      <c r="E28" s="4">
        <f t="shared" si="24"/>
        <v>191379.47200000001</v>
      </c>
      <c r="F28" s="4">
        <f t="shared" si="24"/>
        <v>191379.47200000001</v>
      </c>
      <c r="G28" s="4">
        <f t="shared" si="24"/>
        <v>191379.47200000001</v>
      </c>
      <c r="H28" s="4">
        <f t="shared" si="24"/>
        <v>191379.47200000001</v>
      </c>
      <c r="I28" s="4">
        <f t="shared" si="24"/>
        <v>191379.47200000001</v>
      </c>
      <c r="J28" s="4">
        <f t="shared" si="24"/>
        <v>191379.47200000001</v>
      </c>
      <c r="K28" s="4">
        <f t="shared" si="24"/>
        <v>191379.47200000001</v>
      </c>
      <c r="L28" s="4">
        <f t="shared" si="24"/>
        <v>202150.03200000001</v>
      </c>
      <c r="M28" s="13" t="s">
        <v>97</v>
      </c>
      <c r="N28" s="4">
        <f t="shared" ref="N28:O28" si="25">SUM(N20:N26)</f>
        <v>0</v>
      </c>
      <c r="O28" s="4">
        <f t="shared" si="25"/>
        <v>2307324.2239999999</v>
      </c>
      <c r="P28" s="4">
        <f>SUM(P20:P26)</f>
        <v>2307324.2239999999</v>
      </c>
      <c r="Q28" s="4">
        <f>SUM(Q20:Q26)</f>
        <v>2307324.2239999999</v>
      </c>
      <c r="R28" s="4">
        <f t="shared" ref="R28:S28" si="26">SUM(R20:R26)</f>
        <v>0</v>
      </c>
      <c r="S28" s="4">
        <f t="shared" si="26"/>
        <v>4533780</v>
      </c>
      <c r="T28" s="4">
        <f>CEO!T28+CS!T28+CFO!T28+LLA!T28+'C&amp;E'!T28+CES!T28+LLT!T28+GB!T28</f>
        <v>-707103</v>
      </c>
      <c r="U28" s="4">
        <f t="shared" si="7"/>
        <v>6134001.2239999995</v>
      </c>
      <c r="V28" s="4">
        <f t="shared" si="6"/>
        <v>3826676.9999999995</v>
      </c>
      <c r="W28" s="4"/>
      <c r="X28" s="162">
        <f t="shared" si="9"/>
        <v>0</v>
      </c>
      <c r="Y28" s="4">
        <f t="shared" si="13"/>
        <v>2307324.2239999999</v>
      </c>
      <c r="Z28" s="4">
        <f>SUM(Z20:Z26)</f>
        <v>2307324.7481272677</v>
      </c>
      <c r="AA28" s="4">
        <f>SUM(AA20:AA26)</f>
        <v>2530463.0112892496</v>
      </c>
      <c r="AC28" s="295">
        <f t="shared" si="22"/>
        <v>-0.5241272677667439</v>
      </c>
    </row>
    <row r="29" spans="1:33" ht="3.6" customHeight="1" x14ac:dyDescent="0.3">
      <c r="A29" s="81"/>
      <c r="B29" s="81"/>
      <c r="C29" s="81"/>
      <c r="D29" s="82"/>
      <c r="E29" s="86"/>
      <c r="F29" s="86"/>
      <c r="G29" s="86"/>
      <c r="H29" s="86"/>
      <c r="I29" s="86"/>
      <c r="J29" s="86"/>
      <c r="K29" s="86"/>
      <c r="L29" s="86"/>
      <c r="M29" s="80"/>
      <c r="N29" s="86">
        <f t="shared" si="10"/>
        <v>0</v>
      </c>
      <c r="O29" s="86">
        <f t="shared" si="11"/>
        <v>0</v>
      </c>
      <c r="P29" s="86">
        <f t="shared" si="4"/>
        <v>0</v>
      </c>
      <c r="Q29" s="86"/>
      <c r="R29" s="86">
        <f t="shared" si="12"/>
        <v>0</v>
      </c>
      <c r="S29" s="86">
        <v>0</v>
      </c>
      <c r="T29" s="81">
        <f>CEO!T29+CS!T29+CFO!T29+LLA!T29+'C&amp;E'!T29+CES!T29+LLT!T29+GB!T29</f>
        <v>0</v>
      </c>
      <c r="U29" s="81">
        <f t="shared" si="7"/>
        <v>0</v>
      </c>
      <c r="V29" s="81">
        <f t="shared" si="6"/>
        <v>0</v>
      </c>
      <c r="W29" s="81"/>
      <c r="X29" s="204">
        <f t="shared" si="9"/>
        <v>0</v>
      </c>
      <c r="Y29" s="86">
        <f t="shared" si="13"/>
        <v>0</v>
      </c>
      <c r="Z29" s="86"/>
      <c r="AA29" s="86"/>
    </row>
    <row r="30" spans="1:33" x14ac:dyDescent="0.3">
      <c r="A30" s="8">
        <f>CEO!A30+CS!A30+CFO!A30+LLA!A30+'C&amp;E'!A30+CES!A30+LLT!A30+GB!A30</f>
        <v>0</v>
      </c>
      <c r="B30" s="8">
        <f>CEO!B30+CS!B30+CFO!B30+LLA!B30+'C&amp;E'!B30+CES!B30+LLT!B30+GB!B30</f>
        <v>295515.20767999999</v>
      </c>
      <c r="C30" s="8">
        <f>CEO!C30+CS!C30+CFO!C30+LLA!C30+'C&amp;E'!C30+CES!C30+LLT!C30+GB!C30</f>
        <v>471100.05160000001</v>
      </c>
      <c r="D30" s="8">
        <f>CEO!D30+CS!D30+CFO!D30+LLA!D30+'C&amp;E'!D30+CES!D30+LLT!D30+GB!D30</f>
        <v>667871.71416000009</v>
      </c>
      <c r="E30" s="8">
        <f>CEO!E30+CS!E30+CFO!E30+LLA!E30+'C&amp;E'!E30+CES!E30+LLT!E30+GB!E30</f>
        <v>242312.57592000006</v>
      </c>
      <c r="F30" s="8">
        <f>CEO!F30+CS!F30+CFO!F30+LLA!F30+'C&amp;E'!F30+CES!F30+LLT!F30+GB!F30</f>
        <v>0</v>
      </c>
      <c r="G30" s="8">
        <f>CEO!G30+CS!G30+CFO!G30+LLA!G30+'C&amp;E'!G30+CES!G30+LLT!G30+GB!G30</f>
        <v>0</v>
      </c>
      <c r="H30" s="8">
        <f>CEO!H30+CS!H30+CFO!H30+LLA!H30+'C&amp;E'!H30+CES!H30+LLT!H30+GB!H30</f>
        <v>0</v>
      </c>
      <c r="I30" s="8">
        <f>CEO!I30+CS!I30+CFO!I30+LLA!I30+'C&amp;E'!I30+CES!I30+LLT!I30+GB!I30</f>
        <v>0</v>
      </c>
      <c r="J30" s="8">
        <f>CEO!J30+CS!J30+CFO!J30+LLA!J30+'C&amp;E'!J30+CES!J30+LLT!J30+GB!J30</f>
        <v>0</v>
      </c>
      <c r="K30" s="8">
        <f>CEO!K30+CS!K30+CFO!K30+LLA!K30+'C&amp;E'!K30+CES!K30+LLT!K30+GB!K30</f>
        <v>0</v>
      </c>
      <c r="L30" s="8">
        <f>CEO!L30+CS!L30+CFO!L30+LLA!L30+'C&amp;E'!L30+CES!L30+LLT!L30+GB!L30</f>
        <v>0</v>
      </c>
      <c r="M30" s="385" t="s">
        <v>431</v>
      </c>
      <c r="N30" s="8">
        <f t="shared" ref="N30:N44" si="27">SUM(0)</f>
        <v>0</v>
      </c>
      <c r="O30" s="8">
        <f t="shared" ref="O30:O44" si="28">SUM(A30:L30)</f>
        <v>1676799.5493600001</v>
      </c>
      <c r="P30" s="8">
        <f t="shared" si="4"/>
        <v>1676799.5493600001</v>
      </c>
      <c r="Q30" s="8">
        <f>CEO!Q30+CS!Q30+CFO!Q30+LLA!Q30+'C&amp;E'!Q30+CES!Q30+LLT!Q30+GB!Q30</f>
        <v>1676799.5493600001</v>
      </c>
      <c r="R30" s="8">
        <f t="shared" ref="R30:R44" si="29">Q30-P30</f>
        <v>0</v>
      </c>
      <c r="S30" s="8">
        <v>0</v>
      </c>
      <c r="T30" s="8">
        <f>CEO!T30+CS!T30+CFO!T30+LLA!T30+'C&amp;E'!T30+CES!T30+LLT!T30+GB!T30</f>
        <v>683270.35999999987</v>
      </c>
      <c r="U30" s="8">
        <f t="shared" si="7"/>
        <v>2360069.9093599999</v>
      </c>
      <c r="V30" s="8">
        <f t="shared" si="6"/>
        <v>683270.35999999987</v>
      </c>
      <c r="W30" s="8"/>
      <c r="X30" s="158">
        <f t="shared" si="9"/>
        <v>0</v>
      </c>
      <c r="Y30" s="8">
        <f t="shared" ref="Y30:Y44" si="30">X30-Q30</f>
        <v>-1676799.5493600001</v>
      </c>
      <c r="Z30" s="8">
        <v>1676800</v>
      </c>
      <c r="AA30" s="8">
        <f t="shared" ref="AA30:AA44" si="31">Z30*(1+AA$3)</f>
        <v>1755609.5999999999</v>
      </c>
      <c r="AC30" s="295">
        <f t="shared" ref="AC30:AC93" si="32">Q30-Z30</f>
        <v>-0.45063999993726611</v>
      </c>
    </row>
    <row r="31" spans="1:33" x14ac:dyDescent="0.3">
      <c r="A31" s="7">
        <f>CEO!A31+CS!A31+CFO!A31+LLA!A31+'C&amp;E'!A31+CES!A31+LLT!A31+GB!A31</f>
        <v>9215.0640000000003</v>
      </c>
      <c r="B31" s="7">
        <f>CEO!B31+CS!B31+CFO!B31+LLA!B31+'C&amp;E'!B31+CES!B31+LLT!B31+GB!B31</f>
        <v>9215.0640000000003</v>
      </c>
      <c r="C31" s="7">
        <f>CEO!C31+CS!C31+CFO!C31+LLA!C31+'C&amp;E'!C31+CES!C31+LLT!C31+GB!C31</f>
        <v>9215.0640000000003</v>
      </c>
      <c r="D31" s="7">
        <f>CEO!D31+CS!D31+CFO!D31+LLA!D31+'C&amp;E'!D31+CES!D31+LLT!D31+GB!D31</f>
        <v>9215.0640000000003</v>
      </c>
      <c r="E31" s="7">
        <f>CEO!E31+CS!E31+CFO!E31+LLA!E31+'C&amp;E'!E31+CES!E31+LLT!E31+GB!E31</f>
        <v>9215.0640000000003</v>
      </c>
      <c r="F31" s="7">
        <f>CEO!F31+CS!F31+CFO!F31+LLA!F31+'C&amp;E'!F31+CES!F31+LLT!F31+GB!F31</f>
        <v>9215.0640000000003</v>
      </c>
      <c r="G31" s="7">
        <f>CEO!G31+CS!G31+CFO!G31+LLA!G31+'C&amp;E'!G31+CES!G31+LLT!G31+GB!G31</f>
        <v>9215.0640000000003</v>
      </c>
      <c r="H31" s="7">
        <f>CEO!H31+CS!H31+CFO!H31+LLA!H31+'C&amp;E'!H31+CES!H31+LLT!H31+GB!H31</f>
        <v>9215.0640000000003</v>
      </c>
      <c r="I31" s="7">
        <f>CEO!I31+CS!I31+CFO!I31+LLA!I31+'C&amp;E'!I31+CES!I31+LLT!I31+GB!I31</f>
        <v>9215.0640000000003</v>
      </c>
      <c r="J31" s="7">
        <f>CEO!J31+CS!J31+CFO!J31+LLA!J31+'C&amp;E'!J31+CES!J31+LLT!J31+GB!J31</f>
        <v>9215.0640000000003</v>
      </c>
      <c r="K31" s="7">
        <f>CEO!K31+CS!K31+CFO!K31+LLA!K31+'C&amp;E'!K31+CES!K31+LLT!K31+GB!K31</f>
        <v>9215.0640000000003</v>
      </c>
      <c r="L31" s="7">
        <f>CEO!L31+CS!L31+CFO!L31+LLA!L31+'C&amp;E'!L31+CES!L31+LLT!L31+GB!L31</f>
        <v>9214.0640000000003</v>
      </c>
      <c r="M31" s="13" t="s">
        <v>432</v>
      </c>
      <c r="N31" s="7">
        <f t="shared" si="27"/>
        <v>0</v>
      </c>
      <c r="O31" s="7">
        <f t="shared" si="28"/>
        <v>110579.768</v>
      </c>
      <c r="P31" s="7">
        <f t="shared" si="4"/>
        <v>110579.768</v>
      </c>
      <c r="Q31" s="7">
        <f>CEO!Q31+CS!Q31+CFO!Q31+LLA!Q31+'C&amp;E'!Q31+CES!Q31+LLT!Q31+GB!Q31</f>
        <v>110579.768</v>
      </c>
      <c r="R31" s="7">
        <f t="shared" si="29"/>
        <v>0</v>
      </c>
      <c r="S31" s="7">
        <v>0</v>
      </c>
      <c r="T31" s="7">
        <f>CEO!T31+CS!T31+CFO!T31+LLA!T31+'C&amp;E'!T31+CES!T31+LLT!T31+GB!T31</f>
        <v>20432</v>
      </c>
      <c r="U31" s="7">
        <f t="shared" si="7"/>
        <v>131011.768</v>
      </c>
      <c r="V31" s="7">
        <f t="shared" si="6"/>
        <v>20432</v>
      </c>
      <c r="W31" s="7"/>
      <c r="X31" s="159">
        <f t="shared" si="9"/>
        <v>0</v>
      </c>
      <c r="Y31" s="7">
        <f t="shared" si="30"/>
        <v>-110579.768</v>
      </c>
      <c r="Z31" s="7">
        <v>110579.34331572511</v>
      </c>
      <c r="AA31" s="7">
        <f t="shared" si="31"/>
        <v>115776.57245156419</v>
      </c>
      <c r="AC31" s="295">
        <f t="shared" si="32"/>
        <v>0.42468427488347515</v>
      </c>
    </row>
    <row r="32" spans="1:33" x14ac:dyDescent="0.3">
      <c r="A32" s="7">
        <f>CEO!A32+CS!A32+CFO!A32+LLA!A32+'C&amp;E'!A32+CES!A32+LLT!A32+GB!A32</f>
        <v>74534.808000000005</v>
      </c>
      <c r="B32" s="7">
        <f>CEO!B32+CS!B32+CFO!B32+LLA!B32+'C&amp;E'!B32+CES!B32+LLT!B32+GB!B32</f>
        <v>74534.808000000005</v>
      </c>
      <c r="C32" s="7">
        <f>CEO!C32+CS!C32+CFO!C32+LLA!C32+'C&amp;E'!C32+CES!C32+LLT!C32+GB!C32</f>
        <v>74534.808000000005</v>
      </c>
      <c r="D32" s="7">
        <f>CEO!D32+CS!D32+CFO!D32+LLA!D32+'C&amp;E'!D32+CES!D32+LLT!D32+GB!D32</f>
        <v>74534.808000000005</v>
      </c>
      <c r="E32" s="7">
        <f>CEO!E32+CS!E32+CFO!E32+LLA!E32+'C&amp;E'!E32+CES!E32+LLT!E32+GB!E32</f>
        <v>74534.808000000005</v>
      </c>
      <c r="F32" s="7">
        <f>CEO!F32+CS!F32+CFO!F32+LLA!F32+'C&amp;E'!F32+CES!F32+LLT!F32+GB!F32</f>
        <v>74534.808000000005</v>
      </c>
      <c r="G32" s="7">
        <f>CEO!G32+CS!G32+CFO!G32+LLA!G32+'C&amp;E'!G32+CES!G32+LLT!G32+GB!G32</f>
        <v>74534.808000000005</v>
      </c>
      <c r="H32" s="7">
        <f>CEO!H32+CS!H32+CFO!H32+LLA!H32+'C&amp;E'!H32+CES!H32+LLT!H32+GB!H32</f>
        <v>74534.808000000005</v>
      </c>
      <c r="I32" s="7">
        <f>CEO!I32+CS!I32+CFO!I32+LLA!I32+'C&amp;E'!I32+CES!I32+LLT!I32+GB!I32</f>
        <v>74534.808000000005</v>
      </c>
      <c r="J32" s="7">
        <f>CEO!J32+CS!J32+CFO!J32+LLA!J32+'C&amp;E'!J32+CES!J32+LLT!J32+GB!J32</f>
        <v>74534.808000000005</v>
      </c>
      <c r="K32" s="7">
        <f>CEO!K32+CS!K32+CFO!K32+LLA!K32+'C&amp;E'!K32+CES!K32+LLT!K32+GB!K32</f>
        <v>74534.808000000005</v>
      </c>
      <c r="L32" s="7">
        <f>CEO!L32+CS!L32+CFO!L32+LLA!L32+'C&amp;E'!L32+CES!L32+LLT!L32+GB!L32</f>
        <v>74535.922317440083</v>
      </c>
      <c r="M32" s="13" t="s">
        <v>433</v>
      </c>
      <c r="N32" s="7">
        <f t="shared" si="27"/>
        <v>0</v>
      </c>
      <c r="O32" s="7">
        <f t="shared" si="28"/>
        <v>894418.81031743996</v>
      </c>
      <c r="P32" s="7">
        <f t="shared" si="4"/>
        <v>894418.81031743996</v>
      </c>
      <c r="Q32" s="7">
        <f>CEO!Q32+CS!Q32+CFO!Q32+LLA!Q32+'C&amp;E'!Q32+CES!Q32+LLT!Q32+GB!Q32</f>
        <v>894418.81031743996</v>
      </c>
      <c r="R32" s="7">
        <f t="shared" si="29"/>
        <v>0</v>
      </c>
      <c r="S32" s="7">
        <v>0</v>
      </c>
      <c r="T32" s="7">
        <f>CEO!T32+CS!T32+CFO!T32+LLA!T32+'C&amp;E'!T32+CES!T32+LLT!T32+GB!T32</f>
        <v>0</v>
      </c>
      <c r="U32" s="7">
        <f t="shared" si="7"/>
        <v>894418.81031743996</v>
      </c>
      <c r="V32" s="7">
        <f t="shared" si="6"/>
        <v>0</v>
      </c>
      <c r="W32" s="7"/>
      <c r="X32" s="159">
        <f t="shared" si="9"/>
        <v>0</v>
      </c>
      <c r="Y32" s="7">
        <f t="shared" si="30"/>
        <v>-894418.81031743996</v>
      </c>
      <c r="Z32" s="7">
        <v>894418.81031744007</v>
      </c>
      <c r="AA32" s="7">
        <f t="shared" si="31"/>
        <v>936456.49440235971</v>
      </c>
      <c r="AC32" s="295">
        <f t="shared" si="32"/>
        <v>0</v>
      </c>
    </row>
    <row r="33" spans="1:29" x14ac:dyDescent="0.3">
      <c r="A33" s="7">
        <f>CEO!A33+CS!A33+CFO!A33+LLA!A33+'C&amp;E'!A33+CES!A33+LLT!A33+GB!A33</f>
        <v>4377.4960000000001</v>
      </c>
      <c r="B33" s="7">
        <f>CEO!B33+CS!B33+CFO!B33+LLA!B33+'C&amp;E'!B33+CES!B33+LLT!B33+GB!B33</f>
        <v>4377.4960000000001</v>
      </c>
      <c r="C33" s="7">
        <f>CEO!C33+CS!C33+CFO!C33+LLA!C33+'C&amp;E'!C33+CES!C33+LLT!C33+GB!C33</f>
        <v>4377.4960000000001</v>
      </c>
      <c r="D33" s="7">
        <f>CEO!D33+CS!D33+CFO!D33+LLA!D33+'C&amp;E'!D33+CES!D33+LLT!D33+GB!D33</f>
        <v>4377.4960000000001</v>
      </c>
      <c r="E33" s="7">
        <f>CEO!E33+CS!E33+CFO!E33+LLA!E33+'C&amp;E'!E33+CES!E33+LLT!E33+GB!E33</f>
        <v>4377.4960000000001</v>
      </c>
      <c r="F33" s="7">
        <f>CEO!F33+CS!F33+CFO!F33+LLA!F33+'C&amp;E'!F33+CES!F33+LLT!F33+GB!F33</f>
        <v>4377.4960000000001</v>
      </c>
      <c r="G33" s="7">
        <f>CEO!G33+CS!G33+CFO!G33+LLA!G33+'C&amp;E'!G33+CES!G33+LLT!G33+GB!G33</f>
        <v>4377.4960000000001</v>
      </c>
      <c r="H33" s="7">
        <f>CEO!H33+CS!H33+CFO!H33+LLA!H33+'C&amp;E'!H33+CES!H33+LLT!H33+GB!H33</f>
        <v>4377.4960000000001</v>
      </c>
      <c r="I33" s="7">
        <f>CEO!I33+CS!I33+CFO!I33+LLA!I33+'C&amp;E'!I33+CES!I33+LLT!I33+GB!I33</f>
        <v>4377.4960000000001</v>
      </c>
      <c r="J33" s="7">
        <f>CEO!J33+CS!J33+CFO!J33+LLA!J33+'C&amp;E'!J33+CES!J33+LLT!J33+GB!J33</f>
        <v>4377.4960000000001</v>
      </c>
      <c r="K33" s="7">
        <f>CEO!K33+CS!K33+CFO!K33+LLA!K33+'C&amp;E'!K33+CES!K33+LLT!K33+GB!K33</f>
        <v>4377.4960000000001</v>
      </c>
      <c r="L33" s="7">
        <f>CEO!L33+CS!L33+CFO!L33+LLA!L33+'C&amp;E'!L33+CES!L33+LLT!L33+GB!L33</f>
        <v>4378.5440000000026</v>
      </c>
      <c r="M33" s="13" t="s">
        <v>434</v>
      </c>
      <c r="N33" s="7">
        <f t="shared" si="27"/>
        <v>0</v>
      </c>
      <c r="O33" s="7">
        <f t="shared" si="28"/>
        <v>52531</v>
      </c>
      <c r="P33" s="7">
        <f t="shared" si="4"/>
        <v>52531</v>
      </c>
      <c r="Q33" s="7">
        <f>CEO!Q33+CS!Q33+CFO!Q33+LLA!Q33+'C&amp;E'!Q33+CES!Q33+LLT!Q33+GB!Q33</f>
        <v>52531</v>
      </c>
      <c r="R33" s="7">
        <f t="shared" si="29"/>
        <v>0</v>
      </c>
      <c r="S33" s="7">
        <v>50125</v>
      </c>
      <c r="T33" s="7">
        <f>CEO!T33+CS!T33+CFO!T33+LLA!T33+'C&amp;E'!T33+CES!T33+LLT!T33+GB!T33</f>
        <v>0</v>
      </c>
      <c r="U33" s="7">
        <f t="shared" si="7"/>
        <v>102656</v>
      </c>
      <c r="V33" s="7">
        <f t="shared" si="6"/>
        <v>50125</v>
      </c>
      <c r="W33" s="7"/>
      <c r="X33" s="159">
        <f t="shared" si="9"/>
        <v>0</v>
      </c>
      <c r="Y33" s="7">
        <f t="shared" si="30"/>
        <v>-52531</v>
      </c>
      <c r="Z33" s="7">
        <v>52531</v>
      </c>
      <c r="AA33" s="7">
        <f t="shared" si="31"/>
        <v>54999.956999999995</v>
      </c>
      <c r="AC33" s="295">
        <f t="shared" si="32"/>
        <v>0</v>
      </c>
    </row>
    <row r="34" spans="1:29" x14ac:dyDescent="0.3">
      <c r="A34" s="7">
        <f>CEO!A34+CS!A34+CFO!A34+LLA!A34+'C&amp;E'!A34+CES!A34+LLT!A34+GB!A34</f>
        <v>34273.792000000001</v>
      </c>
      <c r="B34" s="7">
        <f>CEO!B34+CS!B34+CFO!B34+LLA!B34+'C&amp;E'!B34+CES!B34+LLT!B34+GB!B34</f>
        <v>34273.792000000001</v>
      </c>
      <c r="C34" s="7">
        <f>CEO!C34+CS!C34+CFO!C34+LLA!C34+'C&amp;E'!C34+CES!C34+LLT!C34+GB!C34</f>
        <v>34273.792000000001</v>
      </c>
      <c r="D34" s="7">
        <f>CEO!D34+CS!D34+CFO!D34+LLA!D34+'C&amp;E'!D34+CES!D34+LLT!D34+GB!D34</f>
        <v>34273.792000000001</v>
      </c>
      <c r="E34" s="7">
        <f>CEO!E34+CS!E34+CFO!E34+LLA!E34+'C&amp;E'!E34+CES!E34+LLT!E34+GB!E34</f>
        <v>34273.792000000001</v>
      </c>
      <c r="F34" s="7">
        <f>CEO!F34+CS!F34+CFO!F34+LLA!F34+'C&amp;E'!F34+CES!F34+LLT!F34+GB!F34</f>
        <v>34273.792000000001</v>
      </c>
      <c r="G34" s="7">
        <f>CEO!G34+CS!G34+CFO!G34+LLA!G34+'C&amp;E'!G34+CES!G34+LLT!G34+GB!G34</f>
        <v>34273.792000000001</v>
      </c>
      <c r="H34" s="7">
        <f>CEO!H34+CS!H34+CFO!H34+LLA!H34+'C&amp;E'!H34+CES!H34+LLT!H34+GB!H34</f>
        <v>34273.792000000001</v>
      </c>
      <c r="I34" s="7">
        <f>CEO!I34+CS!I34+CFO!I34+LLA!I34+'C&amp;E'!I34+CES!I34+LLT!I34+GB!I34</f>
        <v>34273.792000000001</v>
      </c>
      <c r="J34" s="7">
        <f>CEO!J34+CS!J34+CFO!J34+LLA!J34+'C&amp;E'!J34+CES!J34+LLT!J34+GB!J34</f>
        <v>34273.792000000001</v>
      </c>
      <c r="K34" s="7">
        <f>CEO!K34+CS!K34+CFO!K34+LLA!K34+'C&amp;E'!K34+CES!K34+LLT!K34+GB!K34</f>
        <v>34273.792000000001</v>
      </c>
      <c r="L34" s="7">
        <f>CEO!L34+CS!L34+CFO!L34+LLA!L34+'C&amp;E'!L34+CES!L34+LLT!L34+GB!L34</f>
        <v>34268.456572264011</v>
      </c>
      <c r="M34" s="13" t="s">
        <v>435</v>
      </c>
      <c r="N34" s="7">
        <f t="shared" si="27"/>
        <v>0</v>
      </c>
      <c r="O34" s="7">
        <f t="shared" si="28"/>
        <v>411280.16857226414</v>
      </c>
      <c r="P34" s="7">
        <f t="shared" si="4"/>
        <v>411280.16857226414</v>
      </c>
      <c r="Q34" s="7">
        <f>CEO!Q34+CS!Q34+CFO!Q34+LLA!Q34+'C&amp;E'!Q34+CES!Q34+LLT!Q34+GB!Q34</f>
        <v>411280.16857226402</v>
      </c>
      <c r="R34" s="7">
        <f t="shared" si="29"/>
        <v>0</v>
      </c>
      <c r="S34" s="7">
        <v>149964</v>
      </c>
      <c r="T34" s="7">
        <f>CEO!T34+CS!T34+CFO!T34+LLA!T34+'C&amp;E'!T34+CES!T34+LLT!T34+GB!T34</f>
        <v>-390716</v>
      </c>
      <c r="U34" s="7">
        <f t="shared" si="7"/>
        <v>170528.16857226402</v>
      </c>
      <c r="V34" s="7">
        <f t="shared" si="6"/>
        <v>-240752.00000000012</v>
      </c>
      <c r="W34" s="7"/>
      <c r="X34" s="159">
        <f t="shared" si="9"/>
        <v>0</v>
      </c>
      <c r="Y34" s="7">
        <f t="shared" si="30"/>
        <v>-411280.16857226402</v>
      </c>
      <c r="Z34" s="7">
        <v>411280.16857226402</v>
      </c>
      <c r="AA34" s="7">
        <f t="shared" si="31"/>
        <v>430610.33649516042</v>
      </c>
      <c r="AC34" s="295">
        <f t="shared" si="32"/>
        <v>0</v>
      </c>
    </row>
    <row r="35" spans="1:29" x14ac:dyDescent="0.3">
      <c r="A35" s="7">
        <f>CEO!A35+CS!A35+CFO!A35+LLA!A35+'C&amp;E'!A35+CES!A35+LLT!A35+GB!A35</f>
        <v>0</v>
      </c>
      <c r="B35" s="7">
        <f>CEO!B35+CS!B35+CFO!B35+LLA!B35+'C&amp;E'!B35+CES!B35+LLT!B35+GB!B35</f>
        <v>0</v>
      </c>
      <c r="C35" s="7">
        <f>CEO!C35+CS!C35+CFO!C35+LLA!C35+'C&amp;E'!C35+CES!C35+LLT!C35+GB!C35</f>
        <v>0</v>
      </c>
      <c r="D35" s="7">
        <f>CEO!D35+CS!D35+CFO!D35+LLA!D35+'C&amp;E'!D35+CES!D35+LLT!D35+GB!D35</f>
        <v>0</v>
      </c>
      <c r="E35" s="7">
        <f>CEO!E35+CS!E35+CFO!E35+LLA!E35+'C&amp;E'!E35+CES!E35+LLT!E35+GB!E35</f>
        <v>0</v>
      </c>
      <c r="F35" s="7">
        <f>CEO!F35+CS!F35+CFO!F35+LLA!F35+'C&amp;E'!F35+CES!F35+LLT!F35+GB!F35</f>
        <v>0</v>
      </c>
      <c r="G35" s="7">
        <f>CEO!G35+CS!G35+CFO!G35+LLA!G35+'C&amp;E'!G35+CES!G35+LLT!G35+GB!G35</f>
        <v>0</v>
      </c>
      <c r="H35" s="7">
        <f>CEO!H35+CS!H35+CFO!H35+LLA!H35+'C&amp;E'!H35+CES!H35+LLT!H35+GB!H35</f>
        <v>0</v>
      </c>
      <c r="I35" s="7">
        <f>CEO!I35+CS!I35+CFO!I35+LLA!I35+'C&amp;E'!I35+CES!I35+LLT!I35+GB!I35</f>
        <v>0</v>
      </c>
      <c r="J35" s="7">
        <f>CEO!J35+CS!J35+CFO!J35+LLA!J35+'C&amp;E'!J35+CES!J35+LLT!J35+GB!J35</f>
        <v>0</v>
      </c>
      <c r="K35" s="7">
        <f>CEO!K35+CS!K35+CFO!K35+LLA!K35+'C&amp;E'!K35+CES!K35+LLT!K35+GB!K35</f>
        <v>0</v>
      </c>
      <c r="L35" s="7">
        <f>CEO!L35+CS!L35+CFO!L35+LLA!L35+'C&amp;E'!L35+CES!L35+LLT!L35+GB!L35</f>
        <v>0</v>
      </c>
      <c r="M35" s="13" t="s">
        <v>436</v>
      </c>
      <c r="N35" s="7">
        <f t="shared" si="27"/>
        <v>0</v>
      </c>
      <c r="O35" s="7">
        <f t="shared" si="28"/>
        <v>0</v>
      </c>
      <c r="P35" s="7">
        <f t="shared" si="4"/>
        <v>0</v>
      </c>
      <c r="Q35" s="7">
        <f>CEO!Q35+CS!Q35+CFO!Q35+LLA!Q35+'C&amp;E'!Q35+CES!Q35+LLT!Q35+GB!Q35</f>
        <v>0</v>
      </c>
      <c r="R35" s="7">
        <f t="shared" si="29"/>
        <v>0</v>
      </c>
      <c r="S35" s="7">
        <v>0</v>
      </c>
      <c r="T35" s="7">
        <f>CEO!T35+CS!T35+CFO!T35+LLA!T35+'C&amp;E'!T35+CES!T35+LLT!T35+GB!T35</f>
        <v>0</v>
      </c>
      <c r="U35" s="7">
        <f t="shared" si="7"/>
        <v>0</v>
      </c>
      <c r="V35" s="7">
        <f t="shared" si="6"/>
        <v>0</v>
      </c>
      <c r="W35" s="7"/>
      <c r="X35" s="159">
        <f t="shared" si="9"/>
        <v>0</v>
      </c>
      <c r="Y35" s="7">
        <f t="shared" si="30"/>
        <v>0</v>
      </c>
      <c r="Z35" s="7">
        <v>0</v>
      </c>
      <c r="AA35" s="7">
        <f t="shared" si="31"/>
        <v>0</v>
      </c>
      <c r="AC35" s="295">
        <f t="shared" si="32"/>
        <v>0</v>
      </c>
    </row>
    <row r="36" spans="1:29" x14ac:dyDescent="0.3">
      <c r="A36" s="7">
        <f>CEO!A36+CS!A36+CFO!A36+LLA!A36+'C&amp;E'!A36+CES!A36+LLT!A36+GB!A36</f>
        <v>0</v>
      </c>
      <c r="B36" s="7">
        <f>CEO!B36+CS!B36+CFO!B36+LLA!B36+'C&amp;E'!B36+CES!B36+LLT!B36+GB!B36</f>
        <v>0</v>
      </c>
      <c r="C36" s="7">
        <f>CEO!C36+CS!C36+CFO!C36+LLA!C36+'C&amp;E'!C36+CES!C36+LLT!C36+GB!C36</f>
        <v>0</v>
      </c>
      <c r="D36" s="7">
        <f>CEO!D36+CS!D36+CFO!D36+LLA!D36+'C&amp;E'!D36+CES!D36+LLT!D36+GB!D36</f>
        <v>0</v>
      </c>
      <c r="E36" s="7">
        <f>CEO!E36+CS!E36+CFO!E36+LLA!E36+'C&amp;E'!E36+CES!E36+LLT!E36+GB!E36</f>
        <v>0</v>
      </c>
      <c r="F36" s="7">
        <f>CEO!F36+CS!F36+CFO!F36+LLA!F36+'C&amp;E'!F36+CES!F36+LLT!F36+GB!F36</f>
        <v>0</v>
      </c>
      <c r="G36" s="7">
        <f>CEO!G36+CS!G36+CFO!G36+LLA!G36+'C&amp;E'!G36+CES!G36+LLT!G36+GB!G36</f>
        <v>0</v>
      </c>
      <c r="H36" s="7">
        <f>CEO!H36+CS!H36+CFO!H36+LLA!H36+'C&amp;E'!H36+CES!H36+LLT!H36+GB!H36</f>
        <v>0</v>
      </c>
      <c r="I36" s="7">
        <f>CEO!I36+CS!I36+CFO!I36+LLA!I36+'C&amp;E'!I36+CES!I36+LLT!I36+GB!I36</f>
        <v>0</v>
      </c>
      <c r="J36" s="7">
        <f>CEO!J36+CS!J36+CFO!J36+LLA!J36+'C&amp;E'!J36+CES!J36+LLT!J36+GB!J36</f>
        <v>0</v>
      </c>
      <c r="K36" s="7">
        <f>CEO!K36+CS!K36+CFO!K36+LLA!K36+'C&amp;E'!K36+CES!K36+LLT!K36+GB!K36</f>
        <v>0</v>
      </c>
      <c r="L36" s="7">
        <f>CEO!L36+CS!L36+CFO!L36+LLA!L36+'C&amp;E'!L36+CES!L36+LLT!L36+GB!L36</f>
        <v>0</v>
      </c>
      <c r="M36" s="13" t="s">
        <v>437</v>
      </c>
      <c r="N36" s="7">
        <f t="shared" si="27"/>
        <v>0</v>
      </c>
      <c r="O36" s="7">
        <f t="shared" si="28"/>
        <v>0</v>
      </c>
      <c r="P36" s="7">
        <f t="shared" si="4"/>
        <v>0</v>
      </c>
      <c r="Q36" s="7">
        <f>CEO!Q36+CS!Q36+CFO!Q36+LLA!Q36+'C&amp;E'!Q36+CES!Q36+LLT!Q36+GB!Q36</f>
        <v>0</v>
      </c>
      <c r="R36" s="7">
        <f t="shared" si="29"/>
        <v>0</v>
      </c>
      <c r="S36" s="7">
        <v>29007.000000000007</v>
      </c>
      <c r="T36" s="7">
        <f>CEO!T36+CS!T36+CFO!T36+LLA!T36+'C&amp;E'!T36+CES!T36+LLT!T36+GB!T36</f>
        <v>82465</v>
      </c>
      <c r="U36" s="7">
        <f t="shared" si="7"/>
        <v>111472</v>
      </c>
      <c r="V36" s="7">
        <f t="shared" si="6"/>
        <v>111472</v>
      </c>
      <c r="W36" s="7"/>
      <c r="X36" s="159">
        <f t="shared" si="9"/>
        <v>0</v>
      </c>
      <c r="Y36" s="7">
        <f t="shared" si="30"/>
        <v>0</v>
      </c>
      <c r="Z36" s="7">
        <v>0</v>
      </c>
      <c r="AA36" s="7">
        <f t="shared" si="31"/>
        <v>0</v>
      </c>
      <c r="AC36" s="295">
        <f t="shared" si="32"/>
        <v>0</v>
      </c>
    </row>
    <row r="37" spans="1:29" x14ac:dyDescent="0.3">
      <c r="A37" s="7">
        <f>CEO!A37+CS!A37+CFO!A37+LLA!A37+'C&amp;E'!A37+CES!A37+LLT!A37+GB!A37</f>
        <v>23763.4</v>
      </c>
      <c r="B37" s="7">
        <f>CEO!B37+CS!B37+CFO!B37+LLA!B37+'C&amp;E'!B37+CES!B37+LLT!B37+GB!B37</f>
        <v>23763.4</v>
      </c>
      <c r="C37" s="7">
        <f>CEO!C37+CS!C37+CFO!C37+LLA!C37+'C&amp;E'!C37+CES!C37+LLT!C37+GB!C37</f>
        <v>23763.4</v>
      </c>
      <c r="D37" s="7">
        <f>CEO!D37+CS!D37+CFO!D37+LLA!D37+'C&amp;E'!D37+CES!D37+LLT!D37+GB!D37</f>
        <v>23763.4</v>
      </c>
      <c r="E37" s="7">
        <f>CEO!E37+CS!E37+CFO!E37+LLA!E37+'C&amp;E'!E37+CES!E37+LLT!E37+GB!E37</f>
        <v>23763.4</v>
      </c>
      <c r="F37" s="7">
        <f>CEO!F37+CS!F37+CFO!F37+LLA!F37+'C&amp;E'!F37+CES!F37+LLT!F37+GB!F37</f>
        <v>23763.4</v>
      </c>
      <c r="G37" s="7">
        <f>CEO!G37+CS!G37+CFO!G37+LLA!G37+'C&amp;E'!G37+CES!G37+LLT!G37+GB!G37</f>
        <v>23763.4</v>
      </c>
      <c r="H37" s="7">
        <f>CEO!H37+CS!H37+CFO!H37+LLA!H37+'C&amp;E'!H37+CES!H37+LLT!H37+GB!H37</f>
        <v>23763.4</v>
      </c>
      <c r="I37" s="7">
        <f>CEO!I37+CS!I37+CFO!I37+LLA!I37+'C&amp;E'!I37+CES!I37+LLT!I37+GB!I37</f>
        <v>23763.4</v>
      </c>
      <c r="J37" s="7">
        <f>CEO!J37+CS!J37+CFO!J37+LLA!J37+'C&amp;E'!J37+CES!J37+LLT!J37+GB!J37</f>
        <v>23763.4</v>
      </c>
      <c r="K37" s="7">
        <f>CEO!K37+CS!K37+CFO!K37+LLA!K37+'C&amp;E'!K37+CES!K37+LLT!K37+GB!K37</f>
        <v>23763.4</v>
      </c>
      <c r="L37" s="7">
        <f>CEO!L37+CS!L37+CFO!L37+LLA!L37+'C&amp;E'!L37+CES!L37+LLT!L37+GB!L37</f>
        <v>23766.400000000001</v>
      </c>
      <c r="M37" s="385" t="s">
        <v>438</v>
      </c>
      <c r="N37" s="7">
        <f t="shared" si="27"/>
        <v>0</v>
      </c>
      <c r="O37" s="7">
        <f t="shared" si="28"/>
        <v>285163.8</v>
      </c>
      <c r="P37" s="7">
        <f t="shared" si="4"/>
        <v>285163.8</v>
      </c>
      <c r="Q37" s="7">
        <f>CEO!Q37+CS!Q37+CFO!Q37+LLA!Q37+'C&amp;E'!Q37+CES!Q37+LLT!Q37+GB!Q37</f>
        <v>285163.8</v>
      </c>
      <c r="R37" s="7">
        <f t="shared" si="29"/>
        <v>0</v>
      </c>
      <c r="S37" s="7">
        <v>-59299</v>
      </c>
      <c r="T37" s="7">
        <f>CEO!T37+CS!T37+CFO!T37+LLA!T37+'C&amp;E'!T37+CES!T37+LLT!T37+GB!T37</f>
        <v>19640</v>
      </c>
      <c r="U37" s="7">
        <f t="shared" si="7"/>
        <v>245504.8</v>
      </c>
      <c r="V37" s="7">
        <f t="shared" si="6"/>
        <v>-39659</v>
      </c>
      <c r="W37" s="7"/>
      <c r="X37" s="159">
        <f t="shared" si="9"/>
        <v>0</v>
      </c>
      <c r="Y37" s="7">
        <f t="shared" si="30"/>
        <v>-285163.8</v>
      </c>
      <c r="Z37" s="7">
        <v>285163.94817103999</v>
      </c>
      <c r="AA37" s="7">
        <f t="shared" si="31"/>
        <v>298566.65373507887</v>
      </c>
      <c r="AC37" s="295">
        <f t="shared" si="32"/>
        <v>-0.1481710399966687</v>
      </c>
    </row>
    <row r="38" spans="1:29" x14ac:dyDescent="0.3">
      <c r="A38" s="7">
        <f>CEO!A38+CS!A38+CFO!A38+LLA!A38+'C&amp;E'!A38+CES!A38+LLT!A38+GB!A38</f>
        <v>249170.38400000002</v>
      </c>
      <c r="B38" s="7">
        <f>CEO!B38+CS!B38+CFO!B38+LLA!B38+'C&amp;E'!B38+CES!B38+LLT!B38+GB!B38</f>
        <v>249170.38400000002</v>
      </c>
      <c r="C38" s="7">
        <f>CEO!C38+CS!C38+CFO!C38+LLA!C38+'C&amp;E'!C38+CES!C38+LLT!C38+GB!C38</f>
        <v>249170.38400000002</v>
      </c>
      <c r="D38" s="7">
        <f>CEO!D38+CS!D38+CFO!D38+LLA!D38+'C&amp;E'!D38+CES!D38+LLT!D38+GB!D38</f>
        <v>249170.38400000002</v>
      </c>
      <c r="E38" s="7">
        <f>CEO!E38+CS!E38+CFO!E38+LLA!E38+'C&amp;E'!E38+CES!E38+LLT!E38+GB!E38</f>
        <v>249170.38400000002</v>
      </c>
      <c r="F38" s="7">
        <f>CEO!F38+CS!F38+CFO!F38+LLA!F38+'C&amp;E'!F38+CES!F38+LLT!F38+GB!F38</f>
        <v>249170.38400000002</v>
      </c>
      <c r="G38" s="7">
        <f>CEO!G38+CS!G38+CFO!G38+LLA!G38+'C&amp;E'!G38+CES!G38+LLT!G38+GB!G38</f>
        <v>249170.38400000002</v>
      </c>
      <c r="H38" s="7">
        <f>CEO!H38+CS!H38+CFO!H38+LLA!H38+'C&amp;E'!H38+CES!H38+LLT!H38+GB!H38</f>
        <v>249170.38400000002</v>
      </c>
      <c r="I38" s="7">
        <f>CEO!I38+CS!I38+CFO!I38+LLA!I38+'C&amp;E'!I38+CES!I38+LLT!I38+GB!I38</f>
        <v>249170.38400000002</v>
      </c>
      <c r="J38" s="7">
        <f>CEO!J38+CS!J38+CFO!J38+LLA!J38+'C&amp;E'!J38+CES!J38+LLT!J38+GB!J38</f>
        <v>249170.38400000002</v>
      </c>
      <c r="K38" s="7">
        <f>CEO!K38+CS!K38+CFO!K38+LLA!K38+'C&amp;E'!K38+CES!K38+LLT!K38+GB!K38</f>
        <v>249170.38400000002</v>
      </c>
      <c r="L38" s="7">
        <f>CEO!L38+CS!L38+CFO!L38+LLA!L38+'C&amp;E'!L38+CES!L38+LLT!L38+GB!L38</f>
        <v>249175.59255999926</v>
      </c>
      <c r="M38" s="13" t="s">
        <v>439</v>
      </c>
      <c r="N38" s="7">
        <f t="shared" si="27"/>
        <v>0</v>
      </c>
      <c r="O38" s="7">
        <f t="shared" si="28"/>
        <v>2990049.8165599997</v>
      </c>
      <c r="P38" s="7">
        <f t="shared" si="4"/>
        <v>2990049.8165599997</v>
      </c>
      <c r="Q38" s="7">
        <f>CEO!Q38+CS!Q38+CFO!Q38+LLA!Q38+'C&amp;E'!Q38+CES!Q38+LLT!Q38+GB!Q38</f>
        <v>2990049.8165599997</v>
      </c>
      <c r="R38" s="7">
        <f t="shared" si="29"/>
        <v>0</v>
      </c>
      <c r="S38" s="7">
        <v>271756.81000000006</v>
      </c>
      <c r="T38" s="7">
        <f>CEO!T38+CS!T38+CFO!T38+LLA!T38+'C&amp;E'!T38+CES!T38+LLT!T38+GB!T38</f>
        <v>0</v>
      </c>
      <c r="U38" s="7">
        <f t="shared" si="7"/>
        <v>3261806.6265599998</v>
      </c>
      <c r="V38" s="7">
        <f t="shared" si="6"/>
        <v>271756.81000000006</v>
      </c>
      <c r="W38" s="7"/>
      <c r="X38" s="159">
        <f t="shared" si="9"/>
        <v>0</v>
      </c>
      <c r="Y38" s="7">
        <f t="shared" si="30"/>
        <v>-2990049.8165599997</v>
      </c>
      <c r="Z38" s="7">
        <v>2990049.8165599997</v>
      </c>
      <c r="AA38" s="7">
        <f t="shared" si="31"/>
        <v>3130582.1579383197</v>
      </c>
      <c r="AC38" s="295">
        <f t="shared" si="32"/>
        <v>0</v>
      </c>
    </row>
    <row r="39" spans="1:29" x14ac:dyDescent="0.3">
      <c r="A39" s="7">
        <f>CEO!A39+CS!A39+CFO!A39+LLA!A39+'C&amp;E'!A39+CES!A39+LLT!A39+GB!A39</f>
        <v>60451.784</v>
      </c>
      <c r="B39" s="7">
        <f>CEO!B39+CS!B39+CFO!B39+LLA!B39+'C&amp;E'!B39+CES!B39+LLT!B39+GB!B39</f>
        <v>60451.784</v>
      </c>
      <c r="C39" s="7">
        <f>CEO!C39+CS!C39+CFO!C39+LLA!C39+'C&amp;E'!C39+CES!C39+LLT!C39+GB!C39</f>
        <v>60451.784</v>
      </c>
      <c r="D39" s="7">
        <f>CEO!D39+CS!D39+CFO!D39+LLA!D39+'C&amp;E'!D39+CES!D39+LLT!D39+GB!D39</f>
        <v>60451.784</v>
      </c>
      <c r="E39" s="7">
        <f>CEO!E39+CS!E39+CFO!E39+LLA!E39+'C&amp;E'!E39+CES!E39+LLT!E39+GB!E39</f>
        <v>60451.784</v>
      </c>
      <c r="F39" s="7">
        <f>CEO!F39+CS!F39+CFO!F39+LLA!F39+'C&amp;E'!F39+CES!F39+LLT!F39+GB!F39</f>
        <v>60451.784</v>
      </c>
      <c r="G39" s="7">
        <f>CEO!G39+CS!G39+CFO!G39+LLA!G39+'C&amp;E'!G39+CES!G39+LLT!G39+GB!G39</f>
        <v>60451.784</v>
      </c>
      <c r="H39" s="7">
        <f>CEO!H39+CS!H39+CFO!H39+LLA!H39+'C&amp;E'!H39+CES!H39+LLT!H39+GB!H39</f>
        <v>60451.784</v>
      </c>
      <c r="I39" s="7">
        <f>CEO!I39+CS!I39+CFO!I39+LLA!I39+'C&amp;E'!I39+CES!I39+LLT!I39+GB!I39</f>
        <v>60451.784</v>
      </c>
      <c r="J39" s="7">
        <f>CEO!J39+CS!J39+CFO!J39+LLA!J39+'C&amp;E'!J39+CES!J39+LLT!J39+GB!J39</f>
        <v>60451.784</v>
      </c>
      <c r="K39" s="7">
        <f>CEO!K39+CS!K39+CFO!K39+LLA!K39+'C&amp;E'!K39+CES!K39+LLT!K39+GB!K39</f>
        <v>60451.784</v>
      </c>
      <c r="L39" s="7">
        <f>CEO!L39+CS!L39+CFO!L39+LLA!L39+'C&amp;E'!L39+CES!L39+LLT!L39+GB!L39</f>
        <v>60453.259586096057</v>
      </c>
      <c r="M39" s="13" t="s">
        <v>440</v>
      </c>
      <c r="N39" s="7">
        <f t="shared" si="27"/>
        <v>0</v>
      </c>
      <c r="O39" s="7">
        <f t="shared" si="28"/>
        <v>725422.883586096</v>
      </c>
      <c r="P39" s="7">
        <f t="shared" si="4"/>
        <v>725422.883586096</v>
      </c>
      <c r="Q39" s="7">
        <f>CEO!Q39+CS!Q39+CFO!Q39+LLA!Q39+'C&amp;E'!Q39+CES!Q39+LLT!Q39+GB!Q39</f>
        <v>725422.883586096</v>
      </c>
      <c r="R39" s="7">
        <f t="shared" si="29"/>
        <v>0</v>
      </c>
      <c r="S39" s="7">
        <v>0</v>
      </c>
      <c r="T39" s="7">
        <f>CEO!T39+CS!T39+CFO!T39+LLA!T39+'C&amp;E'!T39+CES!T39+LLT!T39+GB!T39</f>
        <v>30000</v>
      </c>
      <c r="U39" s="7">
        <f t="shared" si="7"/>
        <v>755422.883586096</v>
      </c>
      <c r="V39" s="7">
        <f t="shared" si="6"/>
        <v>30000</v>
      </c>
      <c r="W39" s="7"/>
      <c r="X39" s="159">
        <f t="shared" si="9"/>
        <v>0</v>
      </c>
      <c r="Y39" s="7">
        <f t="shared" si="30"/>
        <v>-725422.883586096</v>
      </c>
      <c r="Z39" s="7">
        <v>725422.883586096</v>
      </c>
      <c r="AA39" s="7">
        <f t="shared" si="31"/>
        <v>759517.75911464251</v>
      </c>
      <c r="AC39" s="295">
        <f t="shared" si="32"/>
        <v>0</v>
      </c>
    </row>
    <row r="40" spans="1:29" x14ac:dyDescent="0.3">
      <c r="A40" s="7">
        <f>CEO!A40+CS!A40+CFO!A40+LLA!A40+'C&amp;E'!A40+CES!A40+LLT!A40+GB!A40</f>
        <v>1180.048</v>
      </c>
      <c r="B40" s="7">
        <f>CEO!B40+CS!B40+CFO!B40+LLA!B40+'C&amp;E'!B40+CES!B40+LLT!B40+GB!B40</f>
        <v>1180.048</v>
      </c>
      <c r="C40" s="7">
        <f>CEO!C40+CS!C40+CFO!C40+LLA!C40+'C&amp;E'!C40+CES!C40+LLT!C40+GB!C40</f>
        <v>1180.048</v>
      </c>
      <c r="D40" s="7">
        <f>CEO!D40+CS!D40+CFO!D40+LLA!D40+'C&amp;E'!D40+CES!D40+LLT!D40+GB!D40</f>
        <v>1180.048</v>
      </c>
      <c r="E40" s="7">
        <f>CEO!E40+CS!E40+CFO!E40+LLA!E40+'C&amp;E'!E40+CES!E40+LLT!E40+GB!E40</f>
        <v>1180.048</v>
      </c>
      <c r="F40" s="7">
        <f>CEO!F40+CS!F40+CFO!F40+LLA!F40+'C&amp;E'!F40+CES!F40+LLT!F40+GB!F40</f>
        <v>1180.048</v>
      </c>
      <c r="G40" s="7">
        <f>CEO!G40+CS!G40+CFO!G40+LLA!G40+'C&amp;E'!G40+CES!G40+LLT!G40+GB!G40</f>
        <v>1180.048</v>
      </c>
      <c r="H40" s="7">
        <f>CEO!H40+CS!H40+CFO!H40+LLA!H40+'C&amp;E'!H40+CES!H40+LLT!H40+GB!H40</f>
        <v>1180.048</v>
      </c>
      <c r="I40" s="7">
        <f>CEO!I40+CS!I40+CFO!I40+LLA!I40+'C&amp;E'!I40+CES!I40+LLT!I40+GB!I40</f>
        <v>1180.048</v>
      </c>
      <c r="J40" s="7">
        <f>CEO!J40+CS!J40+CFO!J40+LLA!J40+'C&amp;E'!J40+CES!J40+LLT!J40+GB!J40</f>
        <v>1180.048</v>
      </c>
      <c r="K40" s="7">
        <f>CEO!K40+CS!K40+CFO!K40+LLA!K40+'C&amp;E'!K40+CES!K40+LLT!K40+GB!K40</f>
        <v>1180.048</v>
      </c>
      <c r="L40" s="7">
        <f>CEO!L40+CS!L40+CFO!L40+LLA!L40+'C&amp;E'!L40+CES!L40+LLT!L40+GB!L40</f>
        <v>1184.7884453126419</v>
      </c>
      <c r="M40" s="13" t="s">
        <v>441</v>
      </c>
      <c r="N40" s="7">
        <f t="shared" si="27"/>
        <v>0</v>
      </c>
      <c r="O40" s="7">
        <f t="shared" si="28"/>
        <v>14165.316445312645</v>
      </c>
      <c r="P40" s="7">
        <f t="shared" si="4"/>
        <v>14165.316445312645</v>
      </c>
      <c r="Q40" s="7">
        <f>CEO!Q40+CS!Q40+CFO!Q40+LLA!Q40+'C&amp;E'!Q40+CES!Q40+LLT!Q40+GB!Q40</f>
        <v>14165.316445312645</v>
      </c>
      <c r="R40" s="7">
        <f t="shared" si="29"/>
        <v>0</v>
      </c>
      <c r="S40" s="7">
        <v>-6745</v>
      </c>
      <c r="T40" s="7">
        <f>CEO!T40+CS!T40+CFO!T40+LLA!T40+'C&amp;E'!T40+CES!T40+LLT!T40+GB!T40</f>
        <v>0</v>
      </c>
      <c r="U40" s="7">
        <f t="shared" si="7"/>
        <v>7420.3164453126446</v>
      </c>
      <c r="V40" s="7">
        <f t="shared" si="6"/>
        <v>-6745</v>
      </c>
      <c r="W40" s="7"/>
      <c r="X40" s="159">
        <f t="shared" si="9"/>
        <v>0</v>
      </c>
      <c r="Y40" s="7">
        <f t="shared" si="30"/>
        <v>-14165.316445312645</v>
      </c>
      <c r="Z40" s="7">
        <v>14165.316445312643</v>
      </c>
      <c r="AA40" s="7">
        <f t="shared" si="31"/>
        <v>14831.086318242336</v>
      </c>
      <c r="AC40" s="295">
        <f t="shared" si="32"/>
        <v>0</v>
      </c>
    </row>
    <row r="41" spans="1:29" x14ac:dyDescent="0.3">
      <c r="A41" s="7">
        <f>CEO!A41+CS!A41+CFO!A41+LLA!A41+'C&amp;E'!A41+CES!A41+LLT!A41+GB!A41</f>
        <v>19656.288</v>
      </c>
      <c r="B41" s="7">
        <f>CEO!B41+CS!B41+CFO!B41+LLA!B41+'C&amp;E'!B41+CES!B41+LLT!B41+GB!B41</f>
        <v>19656.288</v>
      </c>
      <c r="C41" s="7">
        <f>CEO!C41+CS!C41+CFO!C41+LLA!C41+'C&amp;E'!C41+CES!C41+LLT!C41+GB!C41</f>
        <v>19656.288</v>
      </c>
      <c r="D41" s="7">
        <f>CEO!D41+CS!D41+CFO!D41+LLA!D41+'C&amp;E'!D41+CES!D41+LLT!D41+GB!D41</f>
        <v>19656.288</v>
      </c>
      <c r="E41" s="7">
        <f>CEO!E41+CS!E41+CFO!E41+LLA!E41+'C&amp;E'!E41+CES!E41+LLT!E41+GB!E41</f>
        <v>19656.288</v>
      </c>
      <c r="F41" s="7">
        <f>CEO!F41+CS!F41+CFO!F41+LLA!F41+'C&amp;E'!F41+CES!F41+LLT!F41+GB!F41</f>
        <v>19656.288</v>
      </c>
      <c r="G41" s="7">
        <f>CEO!G41+CS!G41+CFO!G41+LLA!G41+'C&amp;E'!G41+CES!G41+LLT!G41+GB!G41</f>
        <v>19656.288</v>
      </c>
      <c r="H41" s="7">
        <f>CEO!H41+CS!H41+CFO!H41+LLA!H41+'C&amp;E'!H41+CES!H41+LLT!H41+GB!H41</f>
        <v>19656.288</v>
      </c>
      <c r="I41" s="7">
        <f>CEO!I41+CS!I41+CFO!I41+LLA!I41+'C&amp;E'!I41+CES!I41+LLT!I41+GB!I41</f>
        <v>19656.288</v>
      </c>
      <c r="J41" s="7">
        <f>CEO!J41+CS!J41+CFO!J41+LLA!J41+'C&amp;E'!J41+CES!J41+LLT!J41+GB!J41</f>
        <v>19656.288</v>
      </c>
      <c r="K41" s="7">
        <f>CEO!K41+CS!K41+CFO!K41+LLA!K41+'C&amp;E'!K41+CES!K41+LLT!K41+GB!K41</f>
        <v>19656.288</v>
      </c>
      <c r="L41" s="7">
        <f>CEO!L41+CS!L41+CFO!L41+LLA!L41+'C&amp;E'!L41+CES!L41+LLT!L41+GB!L41</f>
        <v>19653.382450392004</v>
      </c>
      <c r="M41" s="13" t="s">
        <v>442</v>
      </c>
      <c r="N41" s="7">
        <f t="shared" si="27"/>
        <v>0</v>
      </c>
      <c r="O41" s="7">
        <f t="shared" si="28"/>
        <v>235872.55045039201</v>
      </c>
      <c r="P41" s="7">
        <f t="shared" si="4"/>
        <v>235872.55045039201</v>
      </c>
      <c r="Q41" s="7">
        <f>CEO!Q41+CS!Q41+CFO!Q41+LLA!Q41+'C&amp;E'!Q41+CES!Q41+LLT!Q41+GB!Q41</f>
        <v>235872.55045039201</v>
      </c>
      <c r="R41" s="7">
        <f t="shared" si="29"/>
        <v>0</v>
      </c>
      <c r="S41" s="7">
        <v>2966</v>
      </c>
      <c r="T41" s="7">
        <f>CEO!T41+CS!T41+CFO!T41+LLA!T41+'C&amp;E'!T41+CES!T41+LLT!T41+GB!T41</f>
        <v>1</v>
      </c>
      <c r="U41" s="7">
        <f t="shared" si="7"/>
        <v>238839.55045039201</v>
      </c>
      <c r="V41" s="7">
        <f t="shared" si="6"/>
        <v>2967</v>
      </c>
      <c r="W41" s="7"/>
      <c r="X41" s="159">
        <f t="shared" si="9"/>
        <v>0</v>
      </c>
      <c r="Y41" s="7">
        <f t="shared" si="30"/>
        <v>-235872.55045039201</v>
      </c>
      <c r="Z41" s="7">
        <v>235872.55045039201</v>
      </c>
      <c r="AA41" s="7">
        <f t="shared" si="31"/>
        <v>246958.56032156042</v>
      </c>
      <c r="AC41" s="295">
        <f t="shared" si="32"/>
        <v>0</v>
      </c>
    </row>
    <row r="42" spans="1:29" x14ac:dyDescent="0.3">
      <c r="A42" s="7">
        <f>CEO!A42+CS!A42+CFO!A42+LLA!A42+'C&amp;E'!A42+CES!A42+LLT!A42+GB!A42</f>
        <v>13516.056</v>
      </c>
      <c r="B42" s="7">
        <f>CEO!B42+CS!B42+CFO!B42+LLA!B42+'C&amp;E'!B42+CES!B42+LLT!B42+GB!B42</f>
        <v>13516.056</v>
      </c>
      <c r="C42" s="7">
        <f>CEO!C42+CS!C42+CFO!C42+LLA!C42+'C&amp;E'!C42+CES!C42+LLT!C42+GB!C42</f>
        <v>13516.056</v>
      </c>
      <c r="D42" s="7">
        <f>CEO!D42+CS!D42+CFO!D42+LLA!D42+'C&amp;E'!D42+CES!D42+LLT!D42+GB!D42</f>
        <v>13516.056</v>
      </c>
      <c r="E42" s="7">
        <f>CEO!E42+CS!E42+CFO!E42+LLA!E42+'C&amp;E'!E42+CES!E42+LLT!E42+GB!E42</f>
        <v>13516.056</v>
      </c>
      <c r="F42" s="7">
        <f>CEO!F42+CS!F42+CFO!F42+LLA!F42+'C&amp;E'!F42+CES!F42+LLT!F42+GB!F42</f>
        <v>13516.056</v>
      </c>
      <c r="G42" s="7">
        <f>CEO!G42+CS!G42+CFO!G42+LLA!G42+'C&amp;E'!G42+CES!G42+LLT!G42+GB!G42</f>
        <v>13516.056</v>
      </c>
      <c r="H42" s="7">
        <f>CEO!H42+CS!H42+CFO!H42+LLA!H42+'C&amp;E'!H42+CES!H42+LLT!H42+GB!H42</f>
        <v>13516.056</v>
      </c>
      <c r="I42" s="7">
        <f>CEO!I42+CS!I42+CFO!I42+LLA!I42+'C&amp;E'!I42+CES!I42+LLT!I42+GB!I42</f>
        <v>13516.056</v>
      </c>
      <c r="J42" s="7">
        <f>CEO!J42+CS!J42+CFO!J42+LLA!J42+'C&amp;E'!J42+CES!J42+LLT!J42+GB!J42</f>
        <v>13516.056</v>
      </c>
      <c r="K42" s="7">
        <f>CEO!K42+CS!K42+CFO!K42+LLA!K42+'C&amp;E'!K42+CES!K42+LLT!K42+GB!K42</f>
        <v>13516.056</v>
      </c>
      <c r="L42" s="7">
        <f>CEO!L42+CS!L42+CFO!L42+LLA!L42+'C&amp;E'!L42+CES!L42+LLT!L42+GB!L42</f>
        <v>13518.053729039984</v>
      </c>
      <c r="M42" s="13" t="s">
        <v>443</v>
      </c>
      <c r="N42" s="7">
        <f t="shared" si="27"/>
        <v>0</v>
      </c>
      <c r="O42" s="7">
        <f t="shared" si="28"/>
        <v>162194.66972904</v>
      </c>
      <c r="P42" s="7">
        <f t="shared" si="4"/>
        <v>162194.66972904</v>
      </c>
      <c r="Q42" s="7">
        <f>CEO!Q42+CS!Q42+CFO!Q42+LLA!Q42+'C&amp;E'!Q42+CES!Q42+LLT!Q42+GB!Q42</f>
        <v>162194.66972904</v>
      </c>
      <c r="R42" s="7">
        <f t="shared" si="29"/>
        <v>0</v>
      </c>
      <c r="S42" s="7">
        <v>-292461</v>
      </c>
      <c r="T42" s="7">
        <f>CEO!T42+CS!T42+CFO!T42+LLA!T42+'C&amp;E'!T42+CES!T42+LLT!T42+GB!T42</f>
        <v>0</v>
      </c>
      <c r="U42" s="7">
        <f t="shared" si="7"/>
        <v>-130266.33027096</v>
      </c>
      <c r="V42" s="7">
        <f t="shared" si="6"/>
        <v>-292461</v>
      </c>
      <c r="W42" s="7"/>
      <c r="X42" s="159">
        <f t="shared" si="9"/>
        <v>0</v>
      </c>
      <c r="Y42" s="7">
        <f t="shared" si="30"/>
        <v>-162194.66972904</v>
      </c>
      <c r="Z42" s="7">
        <v>162194.66972903998</v>
      </c>
      <c r="AA42" s="7">
        <f t="shared" si="31"/>
        <v>169817.81920630485</v>
      </c>
      <c r="AC42" s="295">
        <f t="shared" si="32"/>
        <v>0</v>
      </c>
    </row>
    <row r="43" spans="1:29" x14ac:dyDescent="0.3">
      <c r="A43" s="7">
        <f>CEO!A43+CS!A43+CFO!A43+LLA!A43+'C&amp;E'!A43+CES!A43+LLT!A43+GB!A43</f>
        <v>12851.624</v>
      </c>
      <c r="B43" s="7">
        <f>CEO!B43+CS!B43+CFO!B43+LLA!B43+'C&amp;E'!B43+CES!B43+LLT!B43+GB!B43</f>
        <v>12851.624</v>
      </c>
      <c r="C43" s="7">
        <f>CEO!C43+CS!C43+CFO!C43+LLA!C43+'C&amp;E'!C43+CES!C43+LLT!C43+GB!C43</f>
        <v>12851.624</v>
      </c>
      <c r="D43" s="7">
        <f>CEO!D43+CS!D43+CFO!D43+LLA!D43+'C&amp;E'!D43+CES!D43+LLT!D43+GB!D43</f>
        <v>12851.624</v>
      </c>
      <c r="E43" s="7">
        <f>CEO!E43+CS!E43+CFO!E43+LLA!E43+'C&amp;E'!E43+CES!E43+LLT!E43+GB!E43</f>
        <v>12851.624</v>
      </c>
      <c r="F43" s="7">
        <f>CEO!F43+CS!F43+CFO!F43+LLA!F43+'C&amp;E'!F43+CES!F43+LLT!F43+GB!F43</f>
        <v>12851.624</v>
      </c>
      <c r="G43" s="7">
        <f>CEO!G43+CS!G43+CFO!G43+LLA!G43+'C&amp;E'!G43+CES!G43+LLT!G43+GB!G43</f>
        <v>12851.624</v>
      </c>
      <c r="H43" s="7">
        <f>CEO!H43+CS!H43+CFO!H43+LLA!H43+'C&amp;E'!H43+CES!H43+LLT!H43+GB!H43</f>
        <v>12851.624</v>
      </c>
      <c r="I43" s="7">
        <f>CEO!I43+CS!I43+CFO!I43+LLA!I43+'C&amp;E'!I43+CES!I43+LLT!I43+GB!I43</f>
        <v>12851.624</v>
      </c>
      <c r="J43" s="7">
        <f>CEO!J43+CS!J43+CFO!J43+LLA!J43+'C&amp;E'!J43+CES!J43+LLT!J43+GB!J43</f>
        <v>12851.624</v>
      </c>
      <c r="K43" s="7">
        <f>CEO!K43+CS!K43+CFO!K43+LLA!K43+'C&amp;E'!K43+CES!K43+LLT!K43+GB!K43</f>
        <v>12851.624</v>
      </c>
      <c r="L43" s="7">
        <f>CEO!L43+CS!L43+CFO!L43+LLA!L43+'C&amp;E'!L43+CES!L43+LLT!L43+GB!L43</f>
        <v>12853.283843360015</v>
      </c>
      <c r="M43" s="13" t="s">
        <v>444</v>
      </c>
      <c r="N43" s="7">
        <f t="shared" si="27"/>
        <v>0</v>
      </c>
      <c r="O43" s="7">
        <f t="shared" si="28"/>
        <v>154221.14784336</v>
      </c>
      <c r="P43" s="7">
        <f t="shared" si="4"/>
        <v>154221.14784336</v>
      </c>
      <c r="Q43" s="7">
        <f>CEO!Q43+CS!Q43+CFO!Q43+LLA!Q43+'C&amp;E'!Q43+CES!Q43+LLT!Q43+GB!Q43</f>
        <v>154221.14784336</v>
      </c>
      <c r="R43" s="7">
        <f t="shared" si="29"/>
        <v>0</v>
      </c>
      <c r="S43" s="7">
        <v>-28298</v>
      </c>
      <c r="T43" s="7">
        <f>CEO!T43+CS!T43+CFO!T43+LLA!T43+'C&amp;E'!T43+CES!T43+LLT!T43+GB!T43</f>
        <v>8135</v>
      </c>
      <c r="U43" s="7">
        <f t="shared" si="7"/>
        <v>134058.14784336</v>
      </c>
      <c r="V43" s="7">
        <f t="shared" si="6"/>
        <v>-20163</v>
      </c>
      <c r="W43" s="7"/>
      <c r="X43" s="159">
        <f t="shared" si="9"/>
        <v>0</v>
      </c>
      <c r="Y43" s="7">
        <f t="shared" si="30"/>
        <v>-154221.14784336</v>
      </c>
      <c r="Z43" s="7">
        <v>154221.14784336</v>
      </c>
      <c r="AA43" s="7">
        <f t="shared" si="31"/>
        <v>161469.54179199791</v>
      </c>
      <c r="AC43" s="295">
        <f t="shared" si="32"/>
        <v>0</v>
      </c>
    </row>
    <row r="44" spans="1:29" x14ac:dyDescent="0.3">
      <c r="A44" s="11">
        <f>CEO!A44+CS!A44+CFO!A44+LLA!A44+'C&amp;E'!A44+CES!A44+LLT!A44+GB!A44</f>
        <v>0</v>
      </c>
      <c r="B44" s="11">
        <f>CEO!B44+CS!B44+CFO!B44+LLA!B44+'C&amp;E'!B44+CES!B44+LLT!B44+GB!B44</f>
        <v>0</v>
      </c>
      <c r="C44" s="11">
        <f>CEO!C44+CS!C44+CFO!C44+LLA!C44+'C&amp;E'!C44+CES!C44+LLT!C44+GB!C44</f>
        <v>0</v>
      </c>
      <c r="D44" s="11">
        <f>CEO!D44+CS!D44+CFO!D44+LLA!D44+'C&amp;E'!D44+CES!D44+LLT!D44+GB!D44</f>
        <v>0</v>
      </c>
      <c r="E44" s="11">
        <f>CEO!E44+CS!E44+CFO!E44+LLA!E44+'C&amp;E'!E44+CES!E44+LLT!E44+GB!E44</f>
        <v>0</v>
      </c>
      <c r="F44" s="11">
        <f>CEO!F44+CS!F44+CFO!F44+LLA!F44+'C&amp;E'!F44+CES!F44+LLT!F44+GB!F44</f>
        <v>0</v>
      </c>
      <c r="G44" s="11">
        <f>CEO!G44+CS!G44+CFO!G44+LLA!G44+'C&amp;E'!G44+CES!G44+LLT!G44+GB!G44</f>
        <v>0</v>
      </c>
      <c r="H44" s="11">
        <f>CEO!H44+CS!H44+CFO!H44+LLA!H44+'C&amp;E'!H44+CES!H44+LLT!H44+GB!H44</f>
        <v>0</v>
      </c>
      <c r="I44" s="11">
        <f>CEO!I44+CS!I44+CFO!I44+LLA!I44+'C&amp;E'!I44+CES!I44+LLT!I44+GB!I44</f>
        <v>0</v>
      </c>
      <c r="J44" s="11">
        <f>CEO!J44+CS!J44+CFO!J44+LLA!J44+'C&amp;E'!J44+CES!J44+LLT!J44+GB!J44</f>
        <v>0</v>
      </c>
      <c r="K44" s="11">
        <f>CEO!K44+CS!K44+CFO!K44+LLA!K44+'C&amp;E'!K44+CES!K44+LLT!K44+GB!K44</f>
        <v>0</v>
      </c>
      <c r="L44" s="11">
        <f>CEO!L44+CS!L44+CFO!L44+LLA!L44+'C&amp;E'!L44+CES!L44+LLT!L44+GB!L44</f>
        <v>0</v>
      </c>
      <c r="M44" s="385" t="s">
        <v>113</v>
      </c>
      <c r="N44" s="11">
        <f t="shared" si="27"/>
        <v>0</v>
      </c>
      <c r="O44" s="11">
        <f t="shared" si="28"/>
        <v>0</v>
      </c>
      <c r="P44" s="11">
        <f t="shared" si="4"/>
        <v>0</v>
      </c>
      <c r="Q44" s="11">
        <f>CEO!Q44+CS!Q44+CFO!Q44+LLA!Q44+'C&amp;E'!Q44+CES!Q44+LLT!Q44+GB!Q44</f>
        <v>0</v>
      </c>
      <c r="R44" s="11">
        <f t="shared" si="29"/>
        <v>0</v>
      </c>
      <c r="S44" s="11">
        <v>0</v>
      </c>
      <c r="T44" s="11">
        <f>CEO!T44+CS!T44+CFO!T44+LLA!T44+'C&amp;E'!T44+CES!T44+LLT!T44+GB!T44</f>
        <v>0</v>
      </c>
      <c r="U44" s="11">
        <f t="shared" si="7"/>
        <v>0</v>
      </c>
      <c r="V44" s="11">
        <f t="shared" si="6"/>
        <v>0</v>
      </c>
      <c r="W44" s="11"/>
      <c r="X44" s="160">
        <f t="shared" si="9"/>
        <v>0</v>
      </c>
      <c r="Y44" s="11">
        <f t="shared" si="30"/>
        <v>0</v>
      </c>
      <c r="Z44" s="11">
        <v>0</v>
      </c>
      <c r="AA44" s="11">
        <f t="shared" si="31"/>
        <v>0</v>
      </c>
      <c r="AC44" s="295">
        <f t="shared" si="32"/>
        <v>0</v>
      </c>
    </row>
    <row r="45" spans="1:29" ht="4.2" customHeight="1" x14ac:dyDescent="0.3">
      <c r="A45" s="86"/>
      <c r="B45" s="86"/>
      <c r="C45" s="86"/>
      <c r="D45" s="85"/>
      <c r="E45" s="83"/>
      <c r="F45" s="83"/>
      <c r="G45" s="83"/>
      <c r="H45" s="83"/>
      <c r="I45" s="83"/>
      <c r="J45" s="83"/>
      <c r="K45" s="83"/>
      <c r="L45" s="83"/>
      <c r="M45" s="13"/>
      <c r="N45" s="83">
        <f t="shared" si="10"/>
        <v>0</v>
      </c>
      <c r="O45" s="83">
        <f t="shared" si="11"/>
        <v>0</v>
      </c>
      <c r="P45" s="83">
        <f t="shared" si="4"/>
        <v>0</v>
      </c>
      <c r="Q45" s="83"/>
      <c r="R45" s="83">
        <f t="shared" si="12"/>
        <v>0</v>
      </c>
      <c r="S45" s="83">
        <v>0</v>
      </c>
      <c r="T45" s="86">
        <f>CEO!T45+CS!T45+CFO!T45+LLA!T45+'C&amp;E'!T45+CES!T45+LLT!T45+GB!T45</f>
        <v>0</v>
      </c>
      <c r="U45" s="86">
        <f t="shared" si="7"/>
        <v>0</v>
      </c>
      <c r="V45" s="86">
        <f t="shared" si="6"/>
        <v>0</v>
      </c>
      <c r="W45" s="86"/>
      <c r="X45" s="205">
        <f t="shared" si="9"/>
        <v>0</v>
      </c>
      <c r="Y45" s="83">
        <f t="shared" si="13"/>
        <v>0</v>
      </c>
      <c r="Z45" s="83"/>
      <c r="AA45" s="83"/>
      <c r="AC45" s="295">
        <f t="shared" si="32"/>
        <v>0</v>
      </c>
    </row>
    <row r="46" spans="1:29" x14ac:dyDescent="0.3">
      <c r="A46" s="4">
        <f>SUM(A30:A44)</f>
        <v>502990.74400000001</v>
      </c>
      <c r="B46" s="4">
        <f>SUM(B30:B44)</f>
        <v>798505.95167999994</v>
      </c>
      <c r="C46" s="4">
        <f>SUM(C30:C44)</f>
        <v>974090.79559999984</v>
      </c>
      <c r="D46" s="4">
        <f t="shared" ref="D46:L46" si="33">SUM(D30:D44)</f>
        <v>1170862.4581600002</v>
      </c>
      <c r="E46" s="4">
        <f t="shared" si="33"/>
        <v>745303.31991999992</v>
      </c>
      <c r="F46" s="4">
        <f t="shared" si="33"/>
        <v>502990.74400000001</v>
      </c>
      <c r="G46" s="4">
        <f t="shared" si="33"/>
        <v>502990.74400000001</v>
      </c>
      <c r="H46" s="4">
        <f t="shared" si="33"/>
        <v>502990.74400000001</v>
      </c>
      <c r="I46" s="4">
        <f t="shared" si="33"/>
        <v>502990.74400000001</v>
      </c>
      <c r="J46" s="4">
        <f t="shared" si="33"/>
        <v>502990.74400000001</v>
      </c>
      <c r="K46" s="4">
        <f t="shared" si="33"/>
        <v>502990.74400000001</v>
      </c>
      <c r="L46" s="4">
        <f t="shared" si="33"/>
        <v>503001.74750390404</v>
      </c>
      <c r="M46" s="13" t="s">
        <v>114</v>
      </c>
      <c r="N46" s="4">
        <f t="shared" ref="N46:O46" si="34">SUM(N30:N44)</f>
        <v>0</v>
      </c>
      <c r="O46" s="4">
        <f t="shared" si="34"/>
        <v>7712699.4808639036</v>
      </c>
      <c r="P46" s="4">
        <f t="shared" ref="P46" si="35">SUM(P30:P44)</f>
        <v>7712699.4808639036</v>
      </c>
      <c r="Q46" s="4">
        <f>SUM(Q30:Q44)</f>
        <v>7712699.4808639036</v>
      </c>
      <c r="R46" s="4">
        <f t="shared" ref="R46:S46" si="36">SUM(R30:R44)</f>
        <v>0</v>
      </c>
      <c r="S46" s="4">
        <f t="shared" si="36"/>
        <v>117015.81000000006</v>
      </c>
      <c r="T46" s="4">
        <f>CEO!T46+CS!T46+CFO!T46+LLA!T46+'C&amp;E'!T46+CES!T46+LLT!T46+GB!T46</f>
        <v>453227.35999999987</v>
      </c>
      <c r="U46" s="4">
        <f t="shared" si="7"/>
        <v>8282942.6508639026</v>
      </c>
      <c r="V46" s="4">
        <f t="shared" si="6"/>
        <v>570243.16999999899</v>
      </c>
      <c r="W46" s="4"/>
      <c r="X46" s="162">
        <f t="shared" si="9"/>
        <v>0</v>
      </c>
      <c r="Y46" s="4">
        <f t="shared" si="13"/>
        <v>7712699.4808639036</v>
      </c>
      <c r="Z46" s="4">
        <f>SUM(Z30:Z44)</f>
        <v>7712699.6549906684</v>
      </c>
      <c r="AA46" s="4">
        <f>SUM(AA30:AA44)</f>
        <v>8075196.5387752308</v>
      </c>
      <c r="AC46" s="295">
        <f t="shared" si="32"/>
        <v>-0.17412676475942135</v>
      </c>
    </row>
    <row r="47" spans="1:29" x14ac:dyDescent="0.3">
      <c r="A47" s="81"/>
      <c r="B47" s="81"/>
      <c r="C47" s="81"/>
      <c r="D47" s="82"/>
      <c r="E47" s="86"/>
      <c r="F47" s="86"/>
      <c r="G47" s="86"/>
      <c r="H47" s="86"/>
      <c r="I47" s="86"/>
      <c r="J47" s="86"/>
      <c r="K47" s="86"/>
      <c r="L47" s="86"/>
      <c r="M47" s="80"/>
      <c r="N47" s="86">
        <f t="shared" si="10"/>
        <v>0</v>
      </c>
      <c r="O47" s="86">
        <f t="shared" si="11"/>
        <v>0</v>
      </c>
      <c r="P47" s="86">
        <f t="shared" si="4"/>
        <v>0</v>
      </c>
      <c r="Q47" s="86"/>
      <c r="R47" s="86">
        <f t="shared" si="12"/>
        <v>0</v>
      </c>
      <c r="S47" s="86">
        <v>0</v>
      </c>
      <c r="T47" s="81">
        <f>CEO!T47+CS!T47+CFO!T47+LLA!T47+'C&amp;E'!T47+CES!T47+LLT!T47+GB!T47</f>
        <v>0</v>
      </c>
      <c r="U47" s="81">
        <f t="shared" si="7"/>
        <v>0</v>
      </c>
      <c r="V47" s="81">
        <f t="shared" si="6"/>
        <v>0</v>
      </c>
      <c r="W47" s="81"/>
      <c r="X47" s="204"/>
      <c r="Y47" s="86">
        <f t="shared" si="13"/>
        <v>0</v>
      </c>
      <c r="Z47" s="86"/>
      <c r="AA47" s="86"/>
    </row>
    <row r="48" spans="1:29" x14ac:dyDescent="0.3">
      <c r="A48" s="8">
        <f>CEO!A48+CS!A48+CFO!A48+LLA!A48+'C&amp;E'!A48+CES!A48+LLT!A48+GB!A48</f>
        <v>0</v>
      </c>
      <c r="B48" s="8">
        <f>CEO!B48+CS!B48+CFO!B48+LLA!B48+'C&amp;E'!B48+CES!B48+LLT!B48+GB!B48</f>
        <v>0</v>
      </c>
      <c r="C48" s="8">
        <f>CEO!C48+CS!C48+CFO!C48+LLA!C48+'C&amp;E'!C48+CES!C48+LLT!C48+GB!C48</f>
        <v>0</v>
      </c>
      <c r="D48" s="8">
        <f>CEO!D48+CS!D48+CFO!D48+LLA!D48+'C&amp;E'!D48+CES!D48+LLT!D48+GB!D48</f>
        <v>0</v>
      </c>
      <c r="E48" s="8">
        <f>CEO!E48+CS!E48+CFO!E48+LLA!E48+'C&amp;E'!E48+CES!E48+LLT!E48+GB!E48</f>
        <v>0</v>
      </c>
      <c r="F48" s="8">
        <f>CEO!F48+CS!F48+CFO!F48+LLA!F48+'C&amp;E'!F48+CES!F48+LLT!F48+GB!F48</f>
        <v>0</v>
      </c>
      <c r="G48" s="8">
        <f>CEO!G48+CS!G48+CFO!G48+LLA!G48+'C&amp;E'!G48+CES!G48+LLT!G48+GB!G48</f>
        <v>0</v>
      </c>
      <c r="H48" s="8">
        <f>CEO!H48+CS!H48+CFO!H48+LLA!H48+'C&amp;E'!H48+CES!H48+LLT!H48+GB!H48</f>
        <v>0</v>
      </c>
      <c r="I48" s="8">
        <f>CEO!I48+CS!I48+CFO!I48+LLA!I48+'C&amp;E'!I48+CES!I48+LLT!I48+GB!I48</f>
        <v>0</v>
      </c>
      <c r="J48" s="8">
        <f>CEO!J48+CS!J48+CFO!J48+LLA!J48+'C&amp;E'!J48+CES!J48+LLT!J48+GB!J48</f>
        <v>0</v>
      </c>
      <c r="K48" s="8">
        <f>CEO!K48+CS!K48+CFO!K48+LLA!K48+'C&amp;E'!K48+CES!K48+LLT!K48+GB!K48</f>
        <v>0</v>
      </c>
      <c r="L48" s="8">
        <f>CEO!L48+CS!L48+CFO!L48+LLA!L48+'C&amp;E'!L48+CES!L48+LLT!L48+GB!L48</f>
        <v>0</v>
      </c>
      <c r="M48" s="385" t="s">
        <v>445</v>
      </c>
      <c r="N48" s="8">
        <f t="shared" ref="N48:N63" si="37">SUM(0)</f>
        <v>0</v>
      </c>
      <c r="O48" s="8">
        <f t="shared" ref="O48:O63" si="38">SUM(A48:L48)</f>
        <v>0</v>
      </c>
      <c r="P48" s="8">
        <f t="shared" si="4"/>
        <v>0</v>
      </c>
      <c r="Q48" s="8">
        <f>CEO!Q48+CS!Q48+CFO!Q48+LLA!Q48+'C&amp;E'!Q48+CES!Q48+LLT!Q48+GB!Q48</f>
        <v>0</v>
      </c>
      <c r="R48" s="8">
        <f t="shared" ref="R48:R63" si="39">Q48-P48</f>
        <v>0</v>
      </c>
      <c r="S48" s="8">
        <v>0</v>
      </c>
      <c r="T48" s="8">
        <f>CEO!T48+CS!T48+CFO!T48+LLA!T48+'C&amp;E'!T48+CES!T48+LLT!T48+GB!T48</f>
        <v>0</v>
      </c>
      <c r="U48" s="8">
        <f t="shared" si="7"/>
        <v>0</v>
      </c>
      <c r="V48" s="8">
        <f t="shared" si="6"/>
        <v>0</v>
      </c>
      <c r="W48" s="8"/>
      <c r="X48" s="158">
        <f t="shared" si="9"/>
        <v>0</v>
      </c>
      <c r="Y48" s="8">
        <f t="shared" ref="Y48:Y63" si="40">X48-Q48</f>
        <v>0</v>
      </c>
      <c r="Z48" s="8">
        <v>0</v>
      </c>
      <c r="AA48" s="8">
        <f t="shared" ref="AA48:AA63" si="41">Z48*(1+AA$3)</f>
        <v>0</v>
      </c>
      <c r="AC48" s="295">
        <f t="shared" si="32"/>
        <v>0</v>
      </c>
    </row>
    <row r="49" spans="1:29" x14ac:dyDescent="0.3">
      <c r="A49" s="7">
        <f>CEO!A49+CS!A49+CFO!A49+LLA!A49+'C&amp;E'!A49+CES!A49+LLT!A49+GB!A49</f>
        <v>2300.36</v>
      </c>
      <c r="B49" s="7">
        <f>CEO!B49+CS!B49+CFO!B49+LLA!B49+'C&amp;E'!B49+CES!B49+LLT!B49+GB!B49</f>
        <v>4277.9359999999997</v>
      </c>
      <c r="C49" s="7">
        <f>CEO!C49+CS!C49+CFO!C49+LLA!C49+'C&amp;E'!C49+CES!C49+LLT!C49+GB!C49</f>
        <v>3348.36</v>
      </c>
      <c r="D49" s="7">
        <f>CEO!D49+CS!D49+CFO!D49+LLA!D49+'C&amp;E'!D49+CES!D49+LLT!D49+GB!D49</f>
        <v>4277.9359999999997</v>
      </c>
      <c r="E49" s="7">
        <f>CEO!E49+CS!E49+CFO!E49+LLA!E49+'C&amp;E'!E49+CES!E49+LLT!E49+GB!E49</f>
        <v>6016.5680000000002</v>
      </c>
      <c r="F49" s="7">
        <f>CEO!F49+CS!F49+CFO!F49+LLA!F49+'C&amp;E'!F49+CES!F49+LLT!F49+GB!F49</f>
        <v>2300.36</v>
      </c>
      <c r="G49" s="7">
        <f>CEO!G49+CS!G49+CFO!G49+LLA!G49+'C&amp;E'!G49+CES!G49+LLT!G49+GB!G49</f>
        <v>5325.9359999999997</v>
      </c>
      <c r="H49" s="7">
        <f>CEO!H49+CS!H49+CFO!H49+LLA!H49+'C&amp;E'!H49+CES!H49+LLT!H49+GB!H49</f>
        <v>4277.9359999999997</v>
      </c>
      <c r="I49" s="7">
        <f>CEO!I49+CS!I49+CFO!I49+LLA!I49+'C&amp;E'!I49+CES!I49+LLT!I49+GB!I49</f>
        <v>2300.36</v>
      </c>
      <c r="J49" s="7">
        <f>CEO!J49+CS!J49+CFO!J49+LLA!J49+'C&amp;E'!J49+CES!J49+LLT!J49+GB!J49</f>
        <v>4277.9359999999997</v>
      </c>
      <c r="K49" s="7">
        <f>CEO!K49+CS!K49+CFO!K49+LLA!K49+'C&amp;E'!K49+CES!K49+LLT!K49+GB!K49</f>
        <v>2300.36</v>
      </c>
      <c r="L49" s="7">
        <f>CEO!L49+CS!L49+CFO!L49+LLA!L49+'C&amp;E'!L49+CES!L49+LLT!L49+GB!L49</f>
        <v>4759.7109833727391</v>
      </c>
      <c r="M49" s="13" t="s">
        <v>446</v>
      </c>
      <c r="N49" s="7">
        <f t="shared" si="37"/>
        <v>0</v>
      </c>
      <c r="O49" s="7">
        <f t="shared" si="38"/>
        <v>45763.75898337274</v>
      </c>
      <c r="P49" s="7">
        <f t="shared" si="4"/>
        <v>45763.75898337274</v>
      </c>
      <c r="Q49" s="7">
        <f>CEO!Q49+CS!Q49+CFO!Q49+LLA!Q49+'C&amp;E'!Q49+CES!Q49+LLT!Q49+GB!Q49</f>
        <v>45763.75898337274</v>
      </c>
      <c r="R49" s="7">
        <f t="shared" si="39"/>
        <v>0</v>
      </c>
      <c r="S49" s="7">
        <v>21118.000000000007</v>
      </c>
      <c r="T49" s="7">
        <f>CEO!T49+CS!T49+CFO!T49+LLA!T49+'C&amp;E'!T49+CES!T49+LLT!T49+GB!T49</f>
        <v>15339.752469999941</v>
      </c>
      <c r="U49" s="7">
        <f t="shared" si="7"/>
        <v>82221.511453372688</v>
      </c>
      <c r="V49" s="7">
        <f t="shared" si="6"/>
        <v>36457.752469999949</v>
      </c>
      <c r="W49" s="7"/>
      <c r="X49" s="159">
        <f t="shared" si="9"/>
        <v>0</v>
      </c>
      <c r="Y49" s="7">
        <f t="shared" si="40"/>
        <v>-45763.75898337274</v>
      </c>
      <c r="Z49" s="7">
        <v>45763.75898337274</v>
      </c>
      <c r="AA49" s="7">
        <f t="shared" si="41"/>
        <v>47914.655655591254</v>
      </c>
      <c r="AC49" s="295">
        <f t="shared" si="32"/>
        <v>0</v>
      </c>
    </row>
    <row r="50" spans="1:29" x14ac:dyDescent="0.3">
      <c r="A50" s="7">
        <f>CEO!A50+CS!A50+CFO!A50+LLA!A50+'C&amp;E'!A50+CES!A50+LLT!A50+GB!A50</f>
        <v>4308.3280000000004</v>
      </c>
      <c r="B50" s="7">
        <f>CEO!B50+CS!B50+CFO!B50+LLA!B50+'C&amp;E'!B50+CES!B50+LLT!B50+GB!B50</f>
        <v>5474.7520000000004</v>
      </c>
      <c r="C50" s="7">
        <f>CEO!C50+CS!C50+CFO!C50+LLA!C50+'C&amp;E'!C50+CES!C50+LLT!C50+GB!C50</f>
        <v>4308.3280000000004</v>
      </c>
      <c r="D50" s="7">
        <f>CEO!D50+CS!D50+CFO!D50+LLA!D50+'C&amp;E'!D50+CES!D50+LLT!D50+GB!D50</f>
        <v>4308.3280000000004</v>
      </c>
      <c r="E50" s="7">
        <f>CEO!E50+CS!E50+CFO!E50+LLA!E50+'C&amp;E'!E50+CES!E50+LLT!E50+GB!E50</f>
        <v>4308.3280000000004</v>
      </c>
      <c r="F50" s="7">
        <f>CEO!F50+CS!F50+CFO!F50+LLA!F50+'C&amp;E'!F50+CES!F50+LLT!F50+GB!F50</f>
        <v>4532.6000000000013</v>
      </c>
      <c r="G50" s="7">
        <f>CEO!G50+CS!G50+CFO!G50+LLA!G50+'C&amp;E'!G50+CES!G50+LLT!G50+GB!G50</f>
        <v>4308.3280000000004</v>
      </c>
      <c r="H50" s="7">
        <f>CEO!H50+CS!H50+CFO!H50+LLA!H50+'C&amp;E'!H50+CES!H50+LLT!H50+GB!H50</f>
        <v>4308.3280000000004</v>
      </c>
      <c r="I50" s="7">
        <f>CEO!I50+CS!I50+CFO!I50+LLA!I50+'C&amp;E'!I50+CES!I50+LLT!I50+GB!I50</f>
        <v>4308.3280000000004</v>
      </c>
      <c r="J50" s="7">
        <f>CEO!J50+CS!J50+CFO!J50+LLA!J50+'C&amp;E'!J50+CES!J50+LLT!J50+GB!J50</f>
        <v>4308.3280000000004</v>
      </c>
      <c r="K50" s="7">
        <f>CEO!K50+CS!K50+CFO!K50+LLA!K50+'C&amp;E'!K50+CES!K50+LLT!K50+GB!K50</f>
        <v>4307.7798619228697</v>
      </c>
      <c r="L50" s="7">
        <f>CEO!L50+CS!L50+CFO!L50+LLA!L50+'C&amp;E'!L50+CES!L50+LLT!L50+GB!L50</f>
        <v>4186.76</v>
      </c>
      <c r="M50" s="13" t="s">
        <v>447</v>
      </c>
      <c r="N50" s="7">
        <f t="shared" si="37"/>
        <v>0</v>
      </c>
      <c r="O50" s="7">
        <f t="shared" si="38"/>
        <v>52968.515861922882</v>
      </c>
      <c r="P50" s="7">
        <f t="shared" si="4"/>
        <v>52968.515861922882</v>
      </c>
      <c r="Q50" s="7">
        <f>CEO!Q50+CS!Q50+CFO!Q50+LLA!Q50+'C&amp;E'!Q50+CES!Q50+LLT!Q50+GB!Q50</f>
        <v>52968.51586192286</v>
      </c>
      <c r="R50" s="7">
        <f t="shared" si="39"/>
        <v>0</v>
      </c>
      <c r="S50" s="7">
        <v>4373.0000000000073</v>
      </c>
      <c r="T50" s="7">
        <f>CEO!T50+CS!T50+CFO!T50+LLA!T50+'C&amp;E'!T50+CES!T50+LLT!T50+GB!T50</f>
        <v>-16542</v>
      </c>
      <c r="U50" s="7">
        <f t="shared" si="7"/>
        <v>40799.515861922868</v>
      </c>
      <c r="V50" s="7">
        <f t="shared" si="6"/>
        <v>-12169.000000000015</v>
      </c>
      <c r="W50" s="7"/>
      <c r="X50" s="159">
        <f t="shared" si="9"/>
        <v>0</v>
      </c>
      <c r="Y50" s="7">
        <f t="shared" si="40"/>
        <v>-52968.51586192286</v>
      </c>
      <c r="Z50" s="7">
        <v>52968.51586192286</v>
      </c>
      <c r="AA50" s="7">
        <f t="shared" si="41"/>
        <v>55458.036107433232</v>
      </c>
      <c r="AC50" s="295">
        <f t="shared" si="32"/>
        <v>0</v>
      </c>
    </row>
    <row r="51" spans="1:29" x14ac:dyDescent="0.3">
      <c r="A51" s="7">
        <f>CEO!A51+CS!A51+CFO!A51+LLA!A51+'C&amp;E'!A51+CES!A51+LLT!A51+GB!A51</f>
        <v>0</v>
      </c>
      <c r="B51" s="7">
        <f>CEO!B51+CS!B51+CFO!B51+LLA!B51+'C&amp;E'!B51+CES!B51+LLT!B51+GB!B51</f>
        <v>0</v>
      </c>
      <c r="C51" s="7">
        <f>CEO!C51+CS!C51+CFO!C51+LLA!C51+'C&amp;E'!C51+CES!C51+LLT!C51+GB!C51</f>
        <v>0</v>
      </c>
      <c r="D51" s="7">
        <f>CEO!D51+CS!D51+CFO!D51+LLA!D51+'C&amp;E'!D51+CES!D51+LLT!D51+GB!D51</f>
        <v>0</v>
      </c>
      <c r="E51" s="7">
        <f>CEO!E51+CS!E51+CFO!E51+LLA!E51+'C&amp;E'!E51+CES!E51+LLT!E51+GB!E51</f>
        <v>0</v>
      </c>
      <c r="F51" s="7">
        <f>CEO!F51+CS!F51+CFO!F51+LLA!F51+'C&amp;E'!F51+CES!F51+LLT!F51+GB!F51</f>
        <v>0</v>
      </c>
      <c r="G51" s="7">
        <f>CEO!G51+CS!G51+CFO!G51+LLA!G51+'C&amp;E'!G51+CES!G51+LLT!G51+GB!G51</f>
        <v>0</v>
      </c>
      <c r="H51" s="7">
        <f>CEO!H51+CS!H51+CFO!H51+LLA!H51+'C&amp;E'!H51+CES!H51+LLT!H51+GB!H51</f>
        <v>0</v>
      </c>
      <c r="I51" s="7">
        <f>CEO!I51+CS!I51+CFO!I51+LLA!I51+'C&amp;E'!I51+CES!I51+LLT!I51+GB!I51</f>
        <v>0</v>
      </c>
      <c r="J51" s="7">
        <f>CEO!J51+CS!J51+CFO!J51+LLA!J51+'C&amp;E'!J51+CES!J51+LLT!J51+GB!J51</f>
        <v>0</v>
      </c>
      <c r="K51" s="7">
        <f>CEO!K51+CS!K51+CFO!K51+LLA!K51+'C&amp;E'!K51+CES!K51+LLT!K51+GB!K51</f>
        <v>0</v>
      </c>
      <c r="L51" s="7">
        <f>CEO!L51+CS!L51+CFO!L51+LLA!L51+'C&amp;E'!L51+CES!L51+LLT!L51+GB!L51</f>
        <v>0</v>
      </c>
      <c r="M51" s="13" t="s">
        <v>448</v>
      </c>
      <c r="N51" s="7">
        <f t="shared" si="37"/>
        <v>0</v>
      </c>
      <c r="O51" s="7">
        <f t="shared" si="38"/>
        <v>0</v>
      </c>
      <c r="P51" s="7">
        <f t="shared" si="4"/>
        <v>0</v>
      </c>
      <c r="Q51" s="7">
        <f>CEO!Q51+CS!Q51+CFO!Q51+LLA!Q51+'C&amp;E'!Q51+CES!Q51+LLT!Q51+GB!Q51</f>
        <v>0</v>
      </c>
      <c r="R51" s="7">
        <f t="shared" si="39"/>
        <v>0</v>
      </c>
      <c r="S51" s="7">
        <v>0</v>
      </c>
      <c r="T51" s="7">
        <f>CEO!T51+CS!T51+CFO!T51+LLA!T51+'C&amp;E'!T51+CES!T51+LLT!T51+GB!T51</f>
        <v>-2000</v>
      </c>
      <c r="U51" s="7">
        <f t="shared" si="7"/>
        <v>-2000</v>
      </c>
      <c r="V51" s="7">
        <f t="shared" si="6"/>
        <v>-2000</v>
      </c>
      <c r="W51" s="7"/>
      <c r="X51" s="159">
        <f t="shared" si="9"/>
        <v>0</v>
      </c>
      <c r="Y51" s="7">
        <f t="shared" si="40"/>
        <v>0</v>
      </c>
      <c r="Z51" s="7">
        <v>0</v>
      </c>
      <c r="AA51" s="7">
        <f t="shared" si="41"/>
        <v>0</v>
      </c>
      <c r="AC51" s="295">
        <f t="shared" si="32"/>
        <v>0</v>
      </c>
    </row>
    <row r="52" spans="1:29" x14ac:dyDescent="0.3">
      <c r="A52" s="7">
        <f>CEO!A52+CS!A52+CFO!A52+LLA!A52+'C&amp;E'!A52+CES!A52+LLT!A52+GB!A52</f>
        <v>1210.4400000000003</v>
      </c>
      <c r="B52" s="7">
        <f>CEO!B52+CS!B52+CFO!B52+LLA!B52+'C&amp;E'!B52+CES!B52+LLT!B52+GB!B52</f>
        <v>1210.4400000000003</v>
      </c>
      <c r="C52" s="7">
        <f>CEO!C52+CS!C52+CFO!C52+LLA!C52+'C&amp;E'!C52+CES!C52+LLT!C52+GB!C52</f>
        <v>1210.4400000000003</v>
      </c>
      <c r="D52" s="7">
        <f>CEO!D52+CS!D52+CFO!D52+LLA!D52+'C&amp;E'!D52+CES!D52+LLT!D52+GB!D52</f>
        <v>1210.4400000000003</v>
      </c>
      <c r="E52" s="7">
        <f>CEO!E52+CS!E52+CFO!E52+LLA!E52+'C&amp;E'!E52+CES!E52+LLT!E52+GB!E52</f>
        <v>1661.0800000000002</v>
      </c>
      <c r="F52" s="7">
        <f>CEO!F52+CS!F52+CFO!F52+LLA!F52+'C&amp;E'!F52+CES!F52+LLT!F52+GB!F52</f>
        <v>1210.4400000000003</v>
      </c>
      <c r="G52" s="7">
        <f>CEO!G52+CS!G52+CFO!G52+LLA!G52+'C&amp;E'!G52+CES!G52+LLT!G52+GB!G52</f>
        <v>1210.4400000000003</v>
      </c>
      <c r="H52" s="7">
        <f>CEO!H52+CS!H52+CFO!H52+LLA!H52+'C&amp;E'!H52+CES!H52+LLT!H52+GB!H52</f>
        <v>1210.4400000000003</v>
      </c>
      <c r="I52" s="7">
        <f>CEO!I52+CS!I52+CFO!I52+LLA!I52+'C&amp;E'!I52+CES!I52+LLT!I52+GB!I52</f>
        <v>1210.4400000000003</v>
      </c>
      <c r="J52" s="7">
        <f>CEO!J52+CS!J52+CFO!J52+LLA!J52+'C&amp;E'!J52+CES!J52+LLT!J52+GB!J52</f>
        <v>1210.4400000000003</v>
      </c>
      <c r="K52" s="7">
        <f>CEO!K52+CS!K52+CFO!K52+LLA!K52+'C&amp;E'!K52+CES!K52+LLT!K52+GB!K52</f>
        <v>1210.4400000000003</v>
      </c>
      <c r="L52" s="7">
        <f>CEO!L52+CS!L52+CFO!L52+LLA!L52+'C&amp;E'!L52+CES!L52+LLT!L52+GB!L52</f>
        <v>981.65768920698383</v>
      </c>
      <c r="M52" s="13" t="s">
        <v>449</v>
      </c>
      <c r="N52" s="7">
        <f t="shared" si="37"/>
        <v>0</v>
      </c>
      <c r="O52" s="7">
        <f t="shared" si="38"/>
        <v>14747.137689206987</v>
      </c>
      <c r="P52" s="7">
        <f t="shared" si="4"/>
        <v>14747.137689206987</v>
      </c>
      <c r="Q52" s="7">
        <f>CEO!Q52+CS!Q52+CFO!Q52+LLA!Q52+'C&amp;E'!Q52+CES!Q52+LLT!Q52+GB!Q52</f>
        <v>14747.137689206982</v>
      </c>
      <c r="R52" s="7">
        <f t="shared" si="39"/>
        <v>0</v>
      </c>
      <c r="S52" s="7">
        <v>10298</v>
      </c>
      <c r="T52" s="7">
        <f>CEO!T52+CS!T52+CFO!T52+LLA!T52+'C&amp;E'!T52+CES!T52+LLT!T52+GB!T52</f>
        <v>-2000</v>
      </c>
      <c r="U52" s="7">
        <f t="shared" si="7"/>
        <v>23045.137689206982</v>
      </c>
      <c r="V52" s="7">
        <f t="shared" si="6"/>
        <v>8297.9999999999945</v>
      </c>
      <c r="W52" s="7"/>
      <c r="X52" s="159">
        <f t="shared" si="9"/>
        <v>0</v>
      </c>
      <c r="Y52" s="7">
        <f t="shared" si="40"/>
        <v>-14747.137689206982</v>
      </c>
      <c r="Z52" s="7">
        <v>14747.137689206982</v>
      </c>
      <c r="AA52" s="7">
        <f t="shared" si="41"/>
        <v>15440.253160599708</v>
      </c>
      <c r="AC52" s="295">
        <f t="shared" si="32"/>
        <v>0</v>
      </c>
    </row>
    <row r="53" spans="1:29" x14ac:dyDescent="0.3">
      <c r="A53" s="7">
        <f>CEO!A53+CS!A53+CFO!A53+LLA!A53+'C&amp;E'!A53+CES!A53+LLT!A53+GB!A53</f>
        <v>8247.6726666666709</v>
      </c>
      <c r="B53" s="7">
        <f>CEO!B53+CS!B53+CFO!B53+LLA!B53+'C&amp;E'!B53+CES!B53+LLT!B53+GB!B53</f>
        <v>10343.672666666671</v>
      </c>
      <c r="C53" s="7">
        <f>CEO!C53+CS!C53+CFO!C53+LLA!C53+'C&amp;E'!C53+CES!C53+LLT!C53+GB!C53</f>
        <v>8247.6726666666709</v>
      </c>
      <c r="D53" s="7">
        <f>CEO!D53+CS!D53+CFO!D53+LLA!D53+'C&amp;E'!D53+CES!D53+LLT!D53+GB!D53</f>
        <v>8247.6726666666709</v>
      </c>
      <c r="E53" s="7">
        <f>CEO!E53+CS!E53+CFO!E53+LLA!E53+'C&amp;E'!E53+CES!E53+LLT!E53+GB!E53</f>
        <v>10343.672666666671</v>
      </c>
      <c r="F53" s="7">
        <f>CEO!F53+CS!F53+CFO!F53+LLA!F53+'C&amp;E'!F53+CES!F53+LLT!F53+GB!F53</f>
        <v>8247.6726666666709</v>
      </c>
      <c r="G53" s="7">
        <f>CEO!G53+CS!G53+CFO!G53+LLA!G53+'C&amp;E'!G53+CES!G53+LLT!G53+GB!G53</f>
        <v>8247.6726666666709</v>
      </c>
      <c r="H53" s="7">
        <f>CEO!H53+CS!H53+CFO!H53+LLA!H53+'C&amp;E'!H53+CES!H53+LLT!H53+GB!H53</f>
        <v>10801.648666666671</v>
      </c>
      <c r="I53" s="7">
        <f>CEO!I53+CS!I53+CFO!I53+LLA!I53+'C&amp;E'!I53+CES!I53+LLT!I53+GB!I53</f>
        <v>8247.6726666666709</v>
      </c>
      <c r="J53" s="7">
        <f>CEO!J53+CS!J53+CFO!J53+LLA!J53+'C&amp;E'!J53+CES!J53+LLT!J53+GB!J53</f>
        <v>8247.6726666666709</v>
      </c>
      <c r="K53" s="7">
        <f>CEO!K53+CS!K53+CFO!K53+LLA!K53+'C&amp;E'!K53+CES!K53+LLT!K53+GB!K53</f>
        <v>8247.6726666666709</v>
      </c>
      <c r="L53" s="7">
        <f>CEO!L53+CS!L53+CFO!L53+LLA!L53+'C&amp;E'!L53+CES!L53+LLT!L53+GB!L53</f>
        <v>8256.6726666666709</v>
      </c>
      <c r="M53" s="13" t="s">
        <v>450</v>
      </c>
      <c r="N53" s="7">
        <f t="shared" si="37"/>
        <v>0</v>
      </c>
      <c r="O53" s="7">
        <f t="shared" si="38"/>
        <v>105727.04800000004</v>
      </c>
      <c r="P53" s="7">
        <f t="shared" si="4"/>
        <v>105727.04800000004</v>
      </c>
      <c r="Q53" s="7">
        <f>CEO!Q53+CS!Q53+CFO!Q53+LLA!Q53+'C&amp;E'!Q53+CES!Q53+LLT!Q53+GB!Q53</f>
        <v>105727.04800000002</v>
      </c>
      <c r="R53" s="7">
        <f t="shared" si="39"/>
        <v>0</v>
      </c>
      <c r="S53" s="7">
        <v>19661</v>
      </c>
      <c r="T53" s="7">
        <f>CEO!T53+CS!T53+CFO!T53+LLA!T53+'C&amp;E'!T53+CES!T53+LLT!T53+GB!T53</f>
        <v>12991.982240000001</v>
      </c>
      <c r="U53" s="7">
        <f t="shared" si="7"/>
        <v>138380.03024000002</v>
      </c>
      <c r="V53" s="7">
        <f t="shared" si="6"/>
        <v>32652.982239999983</v>
      </c>
      <c r="W53" s="7"/>
      <c r="X53" s="159">
        <f t="shared" si="9"/>
        <v>0</v>
      </c>
      <c r="Y53" s="7">
        <f t="shared" si="40"/>
        <v>-105727.04800000002</v>
      </c>
      <c r="Z53" s="7">
        <v>105727.36891740274</v>
      </c>
      <c r="AA53" s="7">
        <f t="shared" si="41"/>
        <v>110696.55525652066</v>
      </c>
      <c r="AC53" s="295">
        <f t="shared" si="32"/>
        <v>-0.32091740271425806</v>
      </c>
    </row>
    <row r="54" spans="1:29" x14ac:dyDescent="0.3">
      <c r="A54" s="7">
        <f>CEO!A54+CS!A54+CFO!A54+LLA!A54+'C&amp;E'!A54+CES!A54+LLT!A54+GB!A54</f>
        <v>0</v>
      </c>
      <c r="B54" s="7">
        <f>CEO!B54+CS!B54+CFO!B54+LLA!B54+'C&amp;E'!B54+CES!B54+LLT!B54+GB!B54</f>
        <v>0</v>
      </c>
      <c r="C54" s="7">
        <f>CEO!C54+CS!C54+CFO!C54+LLA!C54+'C&amp;E'!C54+CES!C54+LLT!C54+GB!C54</f>
        <v>0</v>
      </c>
      <c r="D54" s="7">
        <f>CEO!D54+CS!D54+CFO!D54+LLA!D54+'C&amp;E'!D54+CES!D54+LLT!D54+GB!D54</f>
        <v>0</v>
      </c>
      <c r="E54" s="7">
        <f>CEO!E54+CS!E54+CFO!E54+LLA!E54+'C&amp;E'!E54+CES!E54+LLT!E54+GB!E54</f>
        <v>0</v>
      </c>
      <c r="F54" s="7">
        <f>CEO!F54+CS!F54+CFO!F54+LLA!F54+'C&amp;E'!F54+CES!F54+LLT!F54+GB!F54</f>
        <v>0</v>
      </c>
      <c r="G54" s="7">
        <f>CEO!G54+CS!G54+CFO!G54+LLA!G54+'C&amp;E'!G54+CES!G54+LLT!G54+GB!G54</f>
        <v>0</v>
      </c>
      <c r="H54" s="7">
        <f>CEO!H54+CS!H54+CFO!H54+LLA!H54+'C&amp;E'!H54+CES!H54+LLT!H54+GB!H54</f>
        <v>0</v>
      </c>
      <c r="I54" s="7">
        <f>CEO!I54+CS!I54+CFO!I54+LLA!I54+'C&amp;E'!I54+CES!I54+LLT!I54+GB!I54</f>
        <v>0</v>
      </c>
      <c r="J54" s="7">
        <f>CEO!J54+CS!J54+CFO!J54+LLA!J54+'C&amp;E'!J54+CES!J54+LLT!J54+GB!J54</f>
        <v>0</v>
      </c>
      <c r="K54" s="7">
        <f>CEO!K54+CS!K54+CFO!K54+LLA!K54+'C&amp;E'!K54+CES!K54+LLT!K54+GB!K54</f>
        <v>0</v>
      </c>
      <c r="L54" s="7">
        <f>CEO!L54+CS!L54+CFO!L54+LLA!L54+'C&amp;E'!L54+CES!L54+LLT!L54+GB!L54</f>
        <v>0</v>
      </c>
      <c r="M54" s="13" t="s">
        <v>451</v>
      </c>
      <c r="N54" s="7">
        <f t="shared" si="37"/>
        <v>0</v>
      </c>
      <c r="O54" s="7">
        <f t="shared" si="38"/>
        <v>0</v>
      </c>
      <c r="P54" s="7">
        <f t="shared" si="4"/>
        <v>0</v>
      </c>
      <c r="Q54" s="7">
        <f>CEO!Q54+CS!Q54+CFO!Q54+LLA!Q54+'C&amp;E'!Q54+CES!Q54+LLT!Q54+GB!Q54</f>
        <v>0</v>
      </c>
      <c r="R54" s="7">
        <f t="shared" si="39"/>
        <v>0</v>
      </c>
      <c r="S54" s="7">
        <v>0</v>
      </c>
      <c r="T54" s="7">
        <f>CEO!T54+CS!T54+CFO!T54+LLA!T54+'C&amp;E'!T54+CES!T54+LLT!T54+GB!T54</f>
        <v>0</v>
      </c>
      <c r="U54" s="7">
        <f t="shared" si="7"/>
        <v>0</v>
      </c>
      <c r="V54" s="7">
        <f t="shared" si="6"/>
        <v>0</v>
      </c>
      <c r="W54" s="7"/>
      <c r="X54" s="159">
        <f t="shared" si="9"/>
        <v>0</v>
      </c>
      <c r="Y54" s="7">
        <f t="shared" si="40"/>
        <v>0</v>
      </c>
      <c r="Z54" s="7">
        <v>0</v>
      </c>
      <c r="AA54" s="7">
        <f t="shared" si="41"/>
        <v>0</v>
      </c>
      <c r="AC54" s="295">
        <f t="shared" si="32"/>
        <v>0</v>
      </c>
    </row>
    <row r="55" spans="1:29" x14ac:dyDescent="0.3">
      <c r="A55" s="7">
        <f>CEO!A55+CS!A55+CFO!A55+LLA!A55+'C&amp;E'!A55+CES!A55+LLT!A55+GB!A55</f>
        <v>3265.1194214666671</v>
      </c>
      <c r="B55" s="7">
        <f>CEO!B55+CS!B55+CFO!B55+LLA!B55+'C&amp;E'!B55+CES!B55+LLT!B55+GB!B55</f>
        <v>3265.1194214666671</v>
      </c>
      <c r="C55" s="7">
        <f>CEO!C55+CS!C55+CFO!C55+LLA!C55+'C&amp;E'!C55+CES!C55+LLT!C55+GB!C55</f>
        <v>3265.1194214666671</v>
      </c>
      <c r="D55" s="7">
        <f>CEO!D55+CS!D55+CFO!D55+LLA!D55+'C&amp;E'!D55+CES!D55+LLT!D55+GB!D55</f>
        <v>3265.1194214666671</v>
      </c>
      <c r="E55" s="7">
        <f>CEO!E55+CS!E55+CFO!E55+LLA!E55+'C&amp;E'!E55+CES!E55+LLT!E55+GB!E55</f>
        <v>5361.1194214666666</v>
      </c>
      <c r="F55" s="7">
        <f>CEO!F55+CS!F55+CFO!F55+LLA!F55+'C&amp;E'!F55+CES!F55+LLT!F55+GB!F55</f>
        <v>3265.1194214666671</v>
      </c>
      <c r="G55" s="7">
        <f>CEO!G55+CS!G55+CFO!G55+LLA!G55+'C&amp;E'!G55+CES!G55+LLT!G55+GB!G55</f>
        <v>3265.1194214666671</v>
      </c>
      <c r="H55" s="7">
        <f>CEO!H55+CS!H55+CFO!H55+LLA!H55+'C&amp;E'!H55+CES!H55+LLT!H55+GB!H55</f>
        <v>5554.9994214666676</v>
      </c>
      <c r="I55" s="7">
        <f>CEO!I55+CS!I55+CFO!I55+LLA!I55+'C&amp;E'!I55+CES!I55+LLT!I55+GB!I55</f>
        <v>6529.0629706314776</v>
      </c>
      <c r="J55" s="7">
        <f>CEO!J55+CS!J55+CFO!J55+LLA!J55+'C&amp;E'!J55+CES!J55+LLT!J55+GB!J55</f>
        <v>3265.1194214666671</v>
      </c>
      <c r="K55" s="7">
        <f>CEO!K55+CS!K55+CFO!K55+LLA!K55+'C&amp;E'!K55+CES!K55+LLT!K55+GB!K55</f>
        <v>3265.1194214666671</v>
      </c>
      <c r="L55" s="7">
        <f>CEO!L55+CS!L55+CFO!L55+LLA!L55+'C&amp;E'!L55+CES!L55+LLT!L55+GB!L55</f>
        <v>3265.1194214666671</v>
      </c>
      <c r="M55" s="385" t="s">
        <v>452</v>
      </c>
      <c r="N55" s="7">
        <f t="shared" si="37"/>
        <v>0</v>
      </c>
      <c r="O55" s="7">
        <f t="shared" si="38"/>
        <v>46831.256606764822</v>
      </c>
      <c r="P55" s="7">
        <f t="shared" si="4"/>
        <v>46831.256606764822</v>
      </c>
      <c r="Q55" s="7">
        <f>CEO!Q55+CS!Q55+CFO!Q55+LLA!Q55+'C&amp;E'!Q55+CES!Q55+LLT!Q55+GB!Q55</f>
        <v>46831.511324764804</v>
      </c>
      <c r="R55" s="7">
        <f t="shared" si="39"/>
        <v>0.25471799998194911</v>
      </c>
      <c r="S55" s="7">
        <v>23682</v>
      </c>
      <c r="T55" s="7">
        <f>CEO!T55+CS!T55+CFO!T55+LLA!T55+'C&amp;E'!T55+CES!T55+LLT!T55+GB!T55</f>
        <v>-30829.002</v>
      </c>
      <c r="U55" s="7">
        <f t="shared" si="7"/>
        <v>39684.509324764811</v>
      </c>
      <c r="V55" s="7">
        <f t="shared" si="6"/>
        <v>-7146.7472820000112</v>
      </c>
      <c r="W55" s="7"/>
      <c r="X55" s="159">
        <f t="shared" si="9"/>
        <v>0</v>
      </c>
      <c r="Y55" s="7">
        <f t="shared" si="40"/>
        <v>-46831.511324764804</v>
      </c>
      <c r="Z55" s="7">
        <v>46831.511324764804</v>
      </c>
      <c r="AA55" s="7">
        <f t="shared" si="41"/>
        <v>49032.592357028749</v>
      </c>
      <c r="AC55" s="295">
        <f t="shared" si="32"/>
        <v>0</v>
      </c>
    </row>
    <row r="56" spans="1:29" x14ac:dyDescent="0.3">
      <c r="A56" s="7">
        <f>CEO!A56+CS!A56+CFO!A56+LLA!A56+'C&amp;E'!A56+CES!A56+LLT!A56+GB!A56</f>
        <v>8.0111324981165429E-14</v>
      </c>
      <c r="B56" s="7">
        <f>CEO!B56+CS!B56+CFO!B56+LLA!B56+'C&amp;E'!B56+CES!B56+LLT!B56+GB!B56</f>
        <v>8.0111324981165429E-14</v>
      </c>
      <c r="C56" s="7">
        <f>CEO!C56+CS!C56+CFO!C56+LLA!C56+'C&amp;E'!C56+CES!C56+LLT!C56+GB!C56</f>
        <v>8.0111324981165429E-14</v>
      </c>
      <c r="D56" s="7">
        <f>CEO!D56+CS!D56+CFO!D56+LLA!D56+'C&amp;E'!D56+CES!D56+LLT!D56+GB!D56</f>
        <v>8.0111324981165429E-14</v>
      </c>
      <c r="E56" s="7">
        <f>CEO!E56+CS!E56+CFO!E56+LLA!E56+'C&amp;E'!E56+CES!E56+LLT!E56+GB!E56</f>
        <v>8.0111324981165429E-14</v>
      </c>
      <c r="F56" s="7">
        <f>CEO!F56+CS!F56+CFO!F56+LLA!F56+'C&amp;E'!F56+CES!F56+LLT!F56+GB!F56</f>
        <v>8.0111324981165429E-14</v>
      </c>
      <c r="G56" s="7">
        <f>CEO!G56+CS!G56+CFO!G56+LLA!G56+'C&amp;E'!G56+CES!G56+LLT!G56+GB!G56</f>
        <v>8.0111324981165429E-14</v>
      </c>
      <c r="H56" s="7">
        <f>CEO!H56+CS!H56+CFO!H56+LLA!H56+'C&amp;E'!H56+CES!H56+LLT!H56+GB!H56</f>
        <v>8.0111324981165429E-14</v>
      </c>
      <c r="I56" s="7">
        <f>CEO!I56+CS!I56+CFO!I56+LLA!I56+'C&amp;E'!I56+CES!I56+LLT!I56+GB!I56</f>
        <v>8.0111324981165429E-14</v>
      </c>
      <c r="J56" s="7">
        <f>CEO!J56+CS!J56+CFO!J56+LLA!J56+'C&amp;E'!J56+CES!J56+LLT!J56+GB!J56</f>
        <v>8.0111324981165429E-14</v>
      </c>
      <c r="K56" s="7">
        <f>CEO!K56+CS!K56+CFO!K56+LLA!K56+'C&amp;E'!K56+CES!K56+LLT!K56+GB!K56</f>
        <v>8.0111324981165429E-14</v>
      </c>
      <c r="L56" s="7">
        <f>CEO!L56+CS!L56+CFO!L56+LLA!L56+'C&amp;E'!L56+CES!L56+LLT!L56+GB!L56</f>
        <v>8.0111324981165429E-14</v>
      </c>
      <c r="M56" s="13" t="s">
        <v>453</v>
      </c>
      <c r="N56" s="7">
        <f t="shared" si="37"/>
        <v>0</v>
      </c>
      <c r="O56" s="7">
        <f t="shared" si="38"/>
        <v>9.6133589977398489E-13</v>
      </c>
      <c r="P56" s="7">
        <f t="shared" si="4"/>
        <v>9.6133589977398489E-13</v>
      </c>
      <c r="Q56" s="7">
        <f>CEO!Q56+CS!Q56+CFO!Q56+LLA!Q56+'C&amp;E'!Q56+CES!Q56+LLT!Q56+GB!Q56</f>
        <v>9.6133589977398509E-13</v>
      </c>
      <c r="R56" s="7">
        <f t="shared" si="39"/>
        <v>0</v>
      </c>
      <c r="S56" s="7">
        <v>0</v>
      </c>
      <c r="T56" s="7">
        <f>CEO!T56+CS!T56+CFO!T56+LLA!T56+'C&amp;E'!T56+CES!T56+LLT!T56+GB!T56</f>
        <v>0</v>
      </c>
      <c r="U56" s="7">
        <f t="shared" si="7"/>
        <v>9.6133589977398509E-13</v>
      </c>
      <c r="V56" s="7">
        <f t="shared" si="6"/>
        <v>0</v>
      </c>
      <c r="W56" s="7"/>
      <c r="X56" s="159">
        <f t="shared" si="9"/>
        <v>0</v>
      </c>
      <c r="Y56" s="7">
        <f t="shared" si="40"/>
        <v>-9.6133589977398509E-13</v>
      </c>
      <c r="Z56" s="7">
        <v>1.0074800229631365E-12</v>
      </c>
      <c r="AA56" s="7">
        <f t="shared" si="41"/>
        <v>1.0548315840424038E-12</v>
      </c>
      <c r="AC56" s="295">
        <f t="shared" si="32"/>
        <v>-4.6144123189151391E-14</v>
      </c>
    </row>
    <row r="57" spans="1:29" x14ac:dyDescent="0.3">
      <c r="A57" s="7">
        <f>CEO!A57+CS!A57+CFO!A57+LLA!A57+'C&amp;E'!A57+CES!A57+LLT!A57+GB!A57</f>
        <v>8663.8160000000007</v>
      </c>
      <c r="B57" s="7">
        <f>CEO!B57+CS!B57+CFO!B57+LLA!B57+'C&amp;E'!B57+CES!B57+LLT!B57+GB!B57</f>
        <v>8663.8160000000007</v>
      </c>
      <c r="C57" s="7">
        <f>CEO!C57+CS!C57+CFO!C57+LLA!C57+'C&amp;E'!C57+CES!C57+LLT!C57+GB!C57</f>
        <v>8663.8160000000007</v>
      </c>
      <c r="D57" s="7">
        <f>CEO!D57+CS!D57+CFO!D57+LLA!D57+'C&amp;E'!D57+CES!D57+LLT!D57+GB!D57</f>
        <v>8663.8160000000007</v>
      </c>
      <c r="E57" s="7">
        <f>CEO!E57+CS!E57+CFO!E57+LLA!E57+'C&amp;E'!E57+CES!E57+LLT!E57+GB!E57</f>
        <v>8663.8160000000007</v>
      </c>
      <c r="F57" s="7">
        <f>CEO!F57+CS!F57+CFO!F57+LLA!F57+'C&amp;E'!F57+CES!F57+LLT!F57+GB!F57</f>
        <v>8663.8160000000007</v>
      </c>
      <c r="G57" s="7">
        <f>CEO!G57+CS!G57+CFO!G57+LLA!G57+'C&amp;E'!G57+CES!G57+LLT!G57+GB!G57</f>
        <v>8663.8160000000007</v>
      </c>
      <c r="H57" s="7">
        <f>CEO!H57+CS!H57+CFO!H57+LLA!H57+'C&amp;E'!H57+CES!H57+LLT!H57+GB!H57</f>
        <v>8663.8160000000007</v>
      </c>
      <c r="I57" s="7">
        <f>CEO!I57+CS!I57+CFO!I57+LLA!I57+'C&amp;E'!I57+CES!I57+LLT!I57+GB!I57</f>
        <v>8663.8160000000007</v>
      </c>
      <c r="J57" s="7">
        <f>CEO!J57+CS!J57+CFO!J57+LLA!J57+'C&amp;E'!J57+CES!J57+LLT!J57+GB!J57</f>
        <v>8663.8160000000007</v>
      </c>
      <c r="K57" s="7">
        <f>CEO!K57+CS!K57+CFO!K57+LLA!K57+'C&amp;E'!K57+CES!K57+LLT!K57+GB!K57</f>
        <v>8663.8160000000007</v>
      </c>
      <c r="L57" s="7">
        <f>CEO!L57+CS!L57+CFO!L57+LLA!L57+'C&amp;E'!L57+CES!L57+LLT!L57+GB!L57</f>
        <v>8659.8160000000007</v>
      </c>
      <c r="M57" s="13" t="s">
        <v>454</v>
      </c>
      <c r="N57" s="7">
        <f t="shared" si="37"/>
        <v>0</v>
      </c>
      <c r="O57" s="7">
        <f t="shared" si="38"/>
        <v>103961.79200000003</v>
      </c>
      <c r="P57" s="7">
        <f t="shared" si="4"/>
        <v>103961.79200000003</v>
      </c>
      <c r="Q57" s="7">
        <f>CEO!Q57+CS!Q57+CFO!Q57+LLA!Q57+'C&amp;E'!Q57+CES!Q57+LLT!Q57+GB!Q57</f>
        <v>103961.79200000003</v>
      </c>
      <c r="R57" s="7">
        <f t="shared" si="39"/>
        <v>0</v>
      </c>
      <c r="S57" s="7">
        <v>0</v>
      </c>
      <c r="T57" s="7">
        <f>CEO!T57+CS!T57+CFO!T57+LLA!T57+'C&amp;E'!T57+CES!T57+LLT!T57+GB!T57</f>
        <v>129200</v>
      </c>
      <c r="U57" s="7">
        <f t="shared" si="7"/>
        <v>233161.79200000002</v>
      </c>
      <c r="V57" s="7">
        <f t="shared" si="6"/>
        <v>129199.99999999999</v>
      </c>
      <c r="W57" s="7"/>
      <c r="X57" s="159">
        <f t="shared" si="9"/>
        <v>0</v>
      </c>
      <c r="Y57" s="7">
        <f t="shared" si="40"/>
        <v>-103961.79200000003</v>
      </c>
      <c r="Z57" s="7">
        <v>103961.60000000001</v>
      </c>
      <c r="AA57" s="7">
        <f t="shared" si="41"/>
        <v>108847.79519999999</v>
      </c>
      <c r="AC57" s="295">
        <f t="shared" si="32"/>
        <v>0.19200000002456363</v>
      </c>
    </row>
    <row r="58" spans="1:29" x14ac:dyDescent="0.3">
      <c r="A58" s="7">
        <f>CEO!A58+CS!A58+CFO!A58+LLA!A58+'C&amp;E'!A58+CES!A58+LLT!A58+GB!A58</f>
        <v>12692.153333333334</v>
      </c>
      <c r="B58" s="7">
        <f>CEO!B58+CS!B58+CFO!B58+LLA!B58+'C&amp;E'!B58+CES!B58+LLT!B58+GB!B58</f>
        <v>12697.393333333333</v>
      </c>
      <c r="C58" s="7">
        <f>CEO!C58+CS!C58+CFO!C58+LLA!C58+'C&amp;E'!C58+CES!C58+LLT!C58+GB!C58</f>
        <v>12697.393333333333</v>
      </c>
      <c r="D58" s="7">
        <f>CEO!D58+CS!D58+CFO!D58+LLA!D58+'C&amp;E'!D58+CES!D58+LLT!D58+GB!D58</f>
        <v>12697.393333333333</v>
      </c>
      <c r="E58" s="7">
        <f>CEO!E58+CS!E58+CFO!E58+LLA!E58+'C&amp;E'!E58+CES!E58+LLT!E58+GB!E58</f>
        <v>12697.393333333333</v>
      </c>
      <c r="F58" s="7">
        <f>CEO!F58+CS!F58+CFO!F58+LLA!F58+'C&amp;E'!F58+CES!F58+LLT!F58+GB!F58</f>
        <v>12697.393333333333</v>
      </c>
      <c r="G58" s="7">
        <f>CEO!G58+CS!G58+CFO!G58+LLA!G58+'C&amp;E'!G58+CES!G58+LLT!G58+GB!G58</f>
        <v>12697.393333333333</v>
      </c>
      <c r="H58" s="7">
        <f>CEO!H58+CS!H58+CFO!H58+LLA!H58+'C&amp;E'!H58+CES!H58+LLT!H58+GB!H58</f>
        <v>14697.393333333333</v>
      </c>
      <c r="I58" s="7">
        <f>CEO!I58+CS!I58+CFO!I58+LLA!I58+'C&amp;E'!I58+CES!I58+LLT!I58+GB!I58</f>
        <v>12697.393333333333</v>
      </c>
      <c r="J58" s="7">
        <f>CEO!J58+CS!J58+CFO!J58+LLA!J58+'C&amp;E'!J58+CES!J58+LLT!J58+GB!J58</f>
        <v>12697.393333333333</v>
      </c>
      <c r="K58" s="7">
        <f>CEO!K58+CS!K58+CFO!K58+LLA!K58+'C&amp;E'!K58+CES!K58+LLT!K58+GB!K58</f>
        <v>12697.393333333333</v>
      </c>
      <c r="L58" s="7">
        <f>CEO!L58+CS!L58+CFO!L58+LLA!L58+'C&amp;E'!L58+CES!L58+LLT!L58+GB!L58</f>
        <v>12793.393333333333</v>
      </c>
      <c r="M58" s="13" t="s">
        <v>455</v>
      </c>
      <c r="N58" s="7">
        <f t="shared" si="37"/>
        <v>0</v>
      </c>
      <c r="O58" s="7">
        <f t="shared" si="38"/>
        <v>154459.48000000004</v>
      </c>
      <c r="P58" s="7">
        <f t="shared" si="4"/>
        <v>154459.48000000004</v>
      </c>
      <c r="Q58" s="7">
        <f>CEO!Q58+CS!Q58+CFO!Q58+LLA!Q58+'C&amp;E'!Q58+CES!Q58+LLT!Q58+GB!Q58</f>
        <v>154459.47999999998</v>
      </c>
      <c r="R58" s="7">
        <f t="shared" si="39"/>
        <v>0</v>
      </c>
      <c r="S58" s="7">
        <v>4612</v>
      </c>
      <c r="T58" s="7">
        <f>CEO!T58+CS!T58+CFO!T58+LLA!T58+'C&amp;E'!T58+CES!T58+LLT!T58+GB!T58</f>
        <v>41405.626695324601</v>
      </c>
      <c r="U58" s="7">
        <f t="shared" si="7"/>
        <v>200477.10669532459</v>
      </c>
      <c r="V58" s="7">
        <f t="shared" si="6"/>
        <v>46017.62669532455</v>
      </c>
      <c r="W58" s="7"/>
      <c r="X58" s="159">
        <f t="shared" si="9"/>
        <v>0</v>
      </c>
      <c r="Y58" s="7">
        <f t="shared" si="40"/>
        <v>-154459.47999999998</v>
      </c>
      <c r="Z58" s="7">
        <v>154459.97320104929</v>
      </c>
      <c r="AA58" s="7">
        <f t="shared" si="41"/>
        <v>161719.5919414986</v>
      </c>
      <c r="AC58" s="295">
        <f>Q58-Z58</f>
        <v>-0.49320104930666275</v>
      </c>
    </row>
    <row r="59" spans="1:29" x14ac:dyDescent="0.3">
      <c r="A59" s="7">
        <f>CEO!A59+CS!A59+CFO!A59+LLA!A59+'C&amp;E'!A59+CES!A59+LLT!A59+GB!A59</f>
        <v>0</v>
      </c>
      <c r="B59" s="7">
        <f>CEO!B59+CS!B59+CFO!B59+LLA!B59+'C&amp;E'!B59+CES!B59+LLT!B59+GB!B59</f>
        <v>0</v>
      </c>
      <c r="C59" s="7">
        <f>CEO!C59+CS!C59+CFO!C59+LLA!C59+'C&amp;E'!C59+CES!C59+LLT!C59+GB!C59</f>
        <v>0</v>
      </c>
      <c r="D59" s="7">
        <f>CEO!D59+CS!D59+CFO!D59+LLA!D59+'C&amp;E'!D59+CES!D59+LLT!D59+GB!D59</f>
        <v>0</v>
      </c>
      <c r="E59" s="7">
        <f>CEO!E59+CS!E59+CFO!E59+LLA!E59+'C&amp;E'!E59+CES!E59+LLT!E59+GB!E59</f>
        <v>0</v>
      </c>
      <c r="F59" s="7">
        <f>CEO!F59+CS!F59+CFO!F59+LLA!F59+'C&amp;E'!F59+CES!F59+LLT!F59+GB!F59</f>
        <v>0</v>
      </c>
      <c r="G59" s="7">
        <f>CEO!G59+CS!G59+CFO!G59+LLA!G59+'C&amp;E'!G59+CES!G59+LLT!G59+GB!G59</f>
        <v>0</v>
      </c>
      <c r="H59" s="7">
        <f>CEO!H59+CS!H59+CFO!H59+LLA!H59+'C&amp;E'!H59+CES!H59+LLT!H59+GB!H59</f>
        <v>0</v>
      </c>
      <c r="I59" s="7">
        <f>CEO!I59+CS!I59+CFO!I59+LLA!I59+'C&amp;E'!I59+CES!I59+LLT!I59+GB!I59</f>
        <v>0</v>
      </c>
      <c r="J59" s="7">
        <f>CEO!J59+CS!J59+CFO!J59+LLA!J59+'C&amp;E'!J59+CES!J59+LLT!J59+GB!J59</f>
        <v>0</v>
      </c>
      <c r="K59" s="7">
        <f>CEO!K59+CS!K59+CFO!K59+LLA!K59+'C&amp;E'!K59+CES!K59+LLT!K59+GB!K59</f>
        <v>0</v>
      </c>
      <c r="L59" s="7">
        <f>CEO!L59+CS!L59+CFO!L59+LLA!L59+'C&amp;E'!L59+CES!L59+LLT!L59+GB!L59</f>
        <v>0</v>
      </c>
      <c r="M59" s="13" t="s">
        <v>456</v>
      </c>
      <c r="N59" s="7">
        <f t="shared" si="37"/>
        <v>0</v>
      </c>
      <c r="O59" s="7">
        <f t="shared" si="38"/>
        <v>0</v>
      </c>
      <c r="P59" s="7">
        <f t="shared" si="4"/>
        <v>0</v>
      </c>
      <c r="Q59" s="7">
        <f>CEO!Q59+CS!Q59+CFO!Q59+LLA!Q59+'C&amp;E'!Q59+CES!Q59+LLT!Q59+GB!Q59</f>
        <v>0</v>
      </c>
      <c r="R59" s="7">
        <f t="shared" si="39"/>
        <v>0</v>
      </c>
      <c r="S59" s="7">
        <v>0</v>
      </c>
      <c r="T59" s="7">
        <f>CEO!T59+CS!T59+CFO!T59+LLA!T59+'C&amp;E'!T59+CES!T59+LLT!T59+GB!T59</f>
        <v>2727.395</v>
      </c>
      <c r="U59" s="7">
        <f t="shared" si="7"/>
        <v>2727.395</v>
      </c>
      <c r="V59" s="7">
        <f t="shared" si="6"/>
        <v>2727.395</v>
      </c>
      <c r="W59" s="7"/>
      <c r="X59" s="159">
        <f t="shared" si="9"/>
        <v>0</v>
      </c>
      <c r="Y59" s="7">
        <f t="shared" si="40"/>
        <v>0</v>
      </c>
      <c r="Z59" s="7">
        <v>0</v>
      </c>
      <c r="AA59" s="7">
        <f t="shared" si="41"/>
        <v>0</v>
      </c>
      <c r="AC59" s="295">
        <f t="shared" si="32"/>
        <v>0</v>
      </c>
    </row>
    <row r="60" spans="1:29" x14ac:dyDescent="0.3">
      <c r="A60" s="7">
        <f>CEO!A60+CS!A60+CFO!A60+LLA!A60+'C&amp;E'!A60+CES!A60+LLT!A60+GB!A60</f>
        <v>3406</v>
      </c>
      <c r="B60" s="7">
        <f>CEO!B60+CS!B60+CFO!B60+LLA!B60+'C&amp;E'!B60+CES!B60+LLT!B60+GB!B60</f>
        <v>3406</v>
      </c>
      <c r="C60" s="7">
        <f>CEO!C60+CS!C60+CFO!C60+LLA!C60+'C&amp;E'!C60+CES!C60+LLT!C60+GB!C60</f>
        <v>3406</v>
      </c>
      <c r="D60" s="7">
        <f>CEO!D60+CS!D60+CFO!D60+LLA!D60+'C&amp;E'!D60+CES!D60+LLT!D60+GB!D60</f>
        <v>3406</v>
      </c>
      <c r="E60" s="7">
        <f>CEO!E60+CS!E60+CFO!E60+LLA!E60+'C&amp;E'!E60+CES!E60+LLT!E60+GB!E60</f>
        <v>3406</v>
      </c>
      <c r="F60" s="7">
        <f>CEO!F60+CS!F60+CFO!F60+LLA!F60+'C&amp;E'!F60+CES!F60+LLT!F60+GB!F60</f>
        <v>3406</v>
      </c>
      <c r="G60" s="7">
        <f>CEO!G60+CS!G60+CFO!G60+LLA!G60+'C&amp;E'!G60+CES!G60+LLT!G60+GB!G60</f>
        <v>3406</v>
      </c>
      <c r="H60" s="7">
        <f>CEO!H60+CS!H60+CFO!H60+LLA!H60+'C&amp;E'!H60+CES!H60+LLT!H60+GB!H60</f>
        <v>3406</v>
      </c>
      <c r="I60" s="7">
        <f>CEO!I60+CS!I60+CFO!I60+LLA!I60+'C&amp;E'!I60+CES!I60+LLT!I60+GB!I60</f>
        <v>3406</v>
      </c>
      <c r="J60" s="7">
        <f>CEO!J60+CS!J60+CFO!J60+LLA!J60+'C&amp;E'!J60+CES!J60+LLT!J60+GB!J60</f>
        <v>3406</v>
      </c>
      <c r="K60" s="7">
        <f>CEO!K60+CS!K60+CFO!K60+LLA!K60+'C&amp;E'!K60+CES!K60+LLT!K60+GB!K60</f>
        <v>3406</v>
      </c>
      <c r="L60" s="7">
        <f>CEO!L60+CS!L60+CFO!L60+LLA!L60+'C&amp;E'!L60+CES!L60+LLT!L60+GB!L60</f>
        <v>3406</v>
      </c>
      <c r="M60" s="13" t="s">
        <v>457</v>
      </c>
      <c r="N60" s="7">
        <f t="shared" si="37"/>
        <v>0</v>
      </c>
      <c r="O60" s="7">
        <f t="shared" si="38"/>
        <v>40872</v>
      </c>
      <c r="P60" s="7">
        <f t="shared" si="4"/>
        <v>40872</v>
      </c>
      <c r="Q60" s="7">
        <f>CEO!Q60+CS!Q60+CFO!Q60+LLA!Q60+'C&amp;E'!Q60+CES!Q60+LLT!Q60+GB!Q60</f>
        <v>40872</v>
      </c>
      <c r="R60" s="7">
        <f t="shared" si="39"/>
        <v>0</v>
      </c>
      <c r="S60" s="7">
        <v>0</v>
      </c>
      <c r="T60" s="7">
        <f>CEO!T60+CS!T60+CFO!T60+LLA!T60+'C&amp;E'!T60+CES!T60+LLT!T60+GB!T60</f>
        <v>0</v>
      </c>
      <c r="U60" s="7">
        <f t="shared" si="7"/>
        <v>40872</v>
      </c>
      <c r="V60" s="7">
        <f t="shared" si="6"/>
        <v>0</v>
      </c>
      <c r="W60" s="7"/>
      <c r="X60" s="159">
        <f t="shared" si="9"/>
        <v>0</v>
      </c>
      <c r="Y60" s="7">
        <f t="shared" si="40"/>
        <v>-40872</v>
      </c>
      <c r="Z60" s="7">
        <v>40872</v>
      </c>
      <c r="AA60" s="7">
        <f t="shared" si="41"/>
        <v>42792.983999999997</v>
      </c>
      <c r="AC60" s="295">
        <f t="shared" si="32"/>
        <v>0</v>
      </c>
    </row>
    <row r="61" spans="1:29" x14ac:dyDescent="0.3">
      <c r="A61" s="7">
        <f>CEO!A61+CS!A61+CFO!A61+LLA!A61+'C&amp;E'!A61+CES!A61+LLT!A61+GB!A61</f>
        <v>9720.2000000000007</v>
      </c>
      <c r="B61" s="7">
        <f>CEO!B61+CS!B61+CFO!B61+LLA!B61+'C&amp;E'!B61+CES!B61+LLT!B61+GB!B61</f>
        <v>9720.2000000000007</v>
      </c>
      <c r="C61" s="7">
        <f>CEO!C61+CS!C61+CFO!C61+LLA!C61+'C&amp;E'!C61+CES!C61+LLT!C61+GB!C61</f>
        <v>9720.2000000000007</v>
      </c>
      <c r="D61" s="7">
        <f>CEO!D61+CS!D61+CFO!D61+LLA!D61+'C&amp;E'!D61+CES!D61+LLT!D61+GB!D61</f>
        <v>9720.2000000000007</v>
      </c>
      <c r="E61" s="7">
        <f>CEO!E61+CS!E61+CFO!E61+LLA!E61+'C&amp;E'!E61+CES!E61+LLT!E61+GB!E61</f>
        <v>9720.2000000000007</v>
      </c>
      <c r="F61" s="7">
        <f>CEO!F61+CS!F61+CFO!F61+LLA!F61+'C&amp;E'!F61+CES!F61+LLT!F61+GB!F61</f>
        <v>9720.2000000000007</v>
      </c>
      <c r="G61" s="7">
        <f>CEO!G61+CS!G61+CFO!G61+LLA!G61+'C&amp;E'!G61+CES!G61+LLT!G61+GB!G61</f>
        <v>9720.2000000000007</v>
      </c>
      <c r="H61" s="7">
        <f>CEO!H61+CS!H61+CFO!H61+LLA!H61+'C&amp;E'!H61+CES!H61+LLT!H61+GB!H61</f>
        <v>9720.2000000000007</v>
      </c>
      <c r="I61" s="7">
        <f>CEO!I61+CS!I61+CFO!I61+LLA!I61+'C&amp;E'!I61+CES!I61+LLT!I61+GB!I61</f>
        <v>9720.2000000000007</v>
      </c>
      <c r="J61" s="7">
        <f>CEO!J61+CS!J61+CFO!J61+LLA!J61+'C&amp;E'!J61+CES!J61+LLT!J61+GB!J61</f>
        <v>9720.2000000000007</v>
      </c>
      <c r="K61" s="7">
        <f>CEO!K61+CS!K61+CFO!K61+LLA!K61+'C&amp;E'!K61+CES!K61+LLT!K61+GB!K61</f>
        <v>9720.2000000000007</v>
      </c>
      <c r="L61" s="7">
        <f>CEO!L61+CS!L61+CFO!L61+LLA!L61+'C&amp;E'!L61+CES!L61+LLT!L61+GB!L61</f>
        <v>9722.2000000000007</v>
      </c>
      <c r="M61" s="13" t="s">
        <v>458</v>
      </c>
      <c r="N61" s="7">
        <f t="shared" si="37"/>
        <v>0</v>
      </c>
      <c r="O61" s="7">
        <f t="shared" si="38"/>
        <v>116644.39999999998</v>
      </c>
      <c r="P61" s="7">
        <f t="shared" si="4"/>
        <v>116644.39999999998</v>
      </c>
      <c r="Q61" s="7">
        <f>CEO!Q61+CS!Q61+CFO!Q61+LLA!Q61+'C&amp;E'!Q61+CES!Q61+LLT!Q61+GB!Q61</f>
        <v>116644.39999999998</v>
      </c>
      <c r="R61" s="7">
        <f t="shared" si="39"/>
        <v>0</v>
      </c>
      <c r="S61" s="7">
        <v>0</v>
      </c>
      <c r="T61" s="7">
        <f>CEO!T61+CS!T61+CFO!T61+LLA!T61+'C&amp;E'!T61+CES!T61+LLT!T61+GB!T61</f>
        <v>0</v>
      </c>
      <c r="U61" s="7">
        <f t="shared" si="7"/>
        <v>116644.39999999998</v>
      </c>
      <c r="V61" s="7">
        <f t="shared" si="6"/>
        <v>0</v>
      </c>
      <c r="W61" s="7"/>
      <c r="X61" s="159">
        <f t="shared" si="9"/>
        <v>0</v>
      </c>
      <c r="Y61" s="7">
        <f t="shared" si="40"/>
        <v>-116644.39999999998</v>
      </c>
      <c r="Z61" s="7">
        <v>116644.6008</v>
      </c>
      <c r="AA61" s="7">
        <f t="shared" si="41"/>
        <v>122126.89703759999</v>
      </c>
      <c r="AC61" s="295">
        <f t="shared" si="32"/>
        <v>-0.20080000002053566</v>
      </c>
    </row>
    <row r="62" spans="1:29" x14ac:dyDescent="0.3">
      <c r="A62" s="7">
        <f>CEO!A62+CS!A62+CFO!A62+LLA!A62+'C&amp;E'!A62+CES!A62+LLT!A62+GB!A62</f>
        <v>5335.4204</v>
      </c>
      <c r="B62" s="7">
        <f>CEO!B62+CS!B62+CFO!B62+LLA!B62+'C&amp;E'!B62+CES!B62+LLT!B62+GB!B62</f>
        <v>5335.4204</v>
      </c>
      <c r="C62" s="7">
        <f>CEO!C62+CS!C62+CFO!C62+LLA!C62+'C&amp;E'!C62+CES!C62+LLT!C62+GB!C62</f>
        <v>5335.4204</v>
      </c>
      <c r="D62" s="7">
        <f>CEO!D62+CS!D62+CFO!D62+LLA!D62+'C&amp;E'!D62+CES!D62+LLT!D62+GB!D62</f>
        <v>5335.4204</v>
      </c>
      <c r="E62" s="7">
        <f>CEO!E62+CS!E62+CFO!E62+LLA!E62+'C&amp;E'!E62+CES!E62+LLT!E62+GB!E62</f>
        <v>5335.4204</v>
      </c>
      <c r="F62" s="7">
        <f>CEO!F62+CS!F62+CFO!F62+LLA!F62+'C&amp;E'!F62+CES!F62+LLT!F62+GB!F62</f>
        <v>5335.4204</v>
      </c>
      <c r="G62" s="7">
        <f>CEO!G62+CS!G62+CFO!G62+LLA!G62+'C&amp;E'!G62+CES!G62+LLT!G62+GB!G62</f>
        <v>5335.4204</v>
      </c>
      <c r="H62" s="7">
        <f>CEO!H62+CS!H62+CFO!H62+LLA!H62+'C&amp;E'!H62+CES!H62+LLT!H62+GB!H62</f>
        <v>5335.4204</v>
      </c>
      <c r="I62" s="7">
        <f>CEO!I62+CS!I62+CFO!I62+LLA!I62+'C&amp;E'!I62+CES!I62+LLT!I62+GB!I62</f>
        <v>50609.727895368</v>
      </c>
      <c r="J62" s="7">
        <f>CEO!J62+CS!J62+CFO!J62+LLA!J62+'C&amp;E'!J62+CES!J62+LLT!J62+GB!J62</f>
        <v>5335.4204</v>
      </c>
      <c r="K62" s="7">
        <f>CEO!K62+CS!K62+CFO!K62+LLA!K62+'C&amp;E'!K62+CES!K62+LLT!K62+GB!K62</f>
        <v>5335.4204</v>
      </c>
      <c r="L62" s="7">
        <f>CEO!L62+CS!L62+CFO!L62+LLA!L62+'C&amp;E'!L62+CES!L62+LLT!L62+GB!L62</f>
        <v>5335.4204</v>
      </c>
      <c r="M62" s="385" t="s">
        <v>459</v>
      </c>
      <c r="N62" s="7">
        <f t="shared" si="37"/>
        <v>0</v>
      </c>
      <c r="O62" s="7">
        <f t="shared" si="38"/>
        <v>109299.35229536801</v>
      </c>
      <c r="P62" s="7">
        <f t="shared" si="4"/>
        <v>109299.35229536801</v>
      </c>
      <c r="Q62" s="7">
        <f>CEO!Q62+CS!Q62+CFO!Q62+LLA!Q62+'C&amp;E'!Q62+CES!Q62+LLT!Q62+GB!Q62</f>
        <v>109299.35229536801</v>
      </c>
      <c r="R62" s="7">
        <f t="shared" si="39"/>
        <v>0</v>
      </c>
      <c r="S62" s="7">
        <v>0</v>
      </c>
      <c r="T62" s="7">
        <f>CEO!T62+CS!T62+CFO!T62+LLA!T62+'C&amp;E'!T62+CES!T62+LLT!T62+GB!T62</f>
        <v>73200.989999999991</v>
      </c>
      <c r="U62" s="7">
        <f t="shared" si="7"/>
        <v>182500.342295368</v>
      </c>
      <c r="V62" s="7">
        <f t="shared" si="6"/>
        <v>73200.989999999991</v>
      </c>
      <c r="W62" s="7"/>
      <c r="X62" s="159">
        <f t="shared" si="9"/>
        <v>0</v>
      </c>
      <c r="Y62" s="7">
        <f t="shared" si="40"/>
        <v>-109299.35229536801</v>
      </c>
      <c r="Z62" s="7">
        <v>109299.35229536801</v>
      </c>
      <c r="AA62" s="7">
        <f t="shared" si="41"/>
        <v>114436.4218532503</v>
      </c>
      <c r="AC62" s="295">
        <f t="shared" si="32"/>
        <v>0</v>
      </c>
    </row>
    <row r="63" spans="1:29" x14ac:dyDescent="0.3">
      <c r="A63" s="11">
        <f>CEO!A63+CS!A63+CFO!A63+LLA!A63+'C&amp;E'!A63+CES!A63+LLT!A63+GB!A63</f>
        <v>13189.08</v>
      </c>
      <c r="B63" s="11">
        <f>CEO!B63+CS!B63+CFO!B63+LLA!B63+'C&amp;E'!B63+CES!B63+LLT!B63+GB!B63</f>
        <v>13189.08</v>
      </c>
      <c r="C63" s="11">
        <f>CEO!C63+CS!C63+CFO!C63+LLA!C63+'C&amp;E'!C63+CES!C63+LLT!C63+GB!C63</f>
        <v>13189.08</v>
      </c>
      <c r="D63" s="11">
        <f>CEO!D63+CS!D63+CFO!D63+LLA!D63+'C&amp;E'!D63+CES!D63+LLT!D63+GB!D63</f>
        <v>13189.08</v>
      </c>
      <c r="E63" s="11">
        <f>CEO!E63+CS!E63+CFO!E63+LLA!E63+'C&amp;E'!E63+CES!E63+LLT!E63+GB!E63</f>
        <v>13189.08</v>
      </c>
      <c r="F63" s="11">
        <f>CEO!F63+CS!F63+CFO!F63+LLA!F63+'C&amp;E'!F63+CES!F63+LLT!F63+GB!F63</f>
        <v>13189.08</v>
      </c>
      <c r="G63" s="11">
        <f>CEO!G63+CS!G63+CFO!G63+LLA!G63+'C&amp;E'!G63+CES!G63+LLT!G63+GB!G63</f>
        <v>13189.08</v>
      </c>
      <c r="H63" s="11">
        <f>CEO!H63+CS!H63+CFO!H63+LLA!H63+'C&amp;E'!H63+CES!H63+LLT!H63+GB!H63</f>
        <v>13189.08</v>
      </c>
      <c r="I63" s="11">
        <f>CEO!I63+CS!I63+CFO!I63+LLA!I63+'C&amp;E'!I63+CES!I63+LLT!I63+GB!I63</f>
        <v>13189.08</v>
      </c>
      <c r="J63" s="11">
        <f>CEO!J63+CS!J63+CFO!J63+LLA!J63+'C&amp;E'!J63+CES!J63+LLT!J63+GB!J63</f>
        <v>13189.08</v>
      </c>
      <c r="K63" s="11">
        <f>CEO!K63+CS!K63+CFO!K63+LLA!K63+'C&amp;E'!K63+CES!K63+LLT!K63+GB!K63</f>
        <v>13189.08</v>
      </c>
      <c r="L63" s="11">
        <f>CEO!L63+CS!L63+CFO!L63+LLA!L63+'C&amp;E'!L63+CES!L63+LLT!L63+GB!L63</f>
        <v>13193.08</v>
      </c>
      <c r="M63" s="385" t="s">
        <v>460</v>
      </c>
      <c r="N63" s="11">
        <f t="shared" si="37"/>
        <v>0</v>
      </c>
      <c r="O63" s="11">
        <f t="shared" si="38"/>
        <v>158272.95999999996</v>
      </c>
      <c r="P63" s="11">
        <f t="shared" si="4"/>
        <v>158272.95999999996</v>
      </c>
      <c r="Q63" s="11">
        <f>CEO!Q63+CS!Q63+CFO!Q63+LLA!Q63+'C&amp;E'!Q63+CES!Q63+LLT!Q63+GB!Q63</f>
        <v>158272.95999999996</v>
      </c>
      <c r="R63" s="11">
        <f t="shared" si="39"/>
        <v>0</v>
      </c>
      <c r="S63" s="11">
        <v>0</v>
      </c>
      <c r="T63" s="11">
        <f>CEO!T63+CS!T63+CFO!T63+LLA!T63+'C&amp;E'!T63+CES!T63+LLT!T63+GB!T63</f>
        <v>166728</v>
      </c>
      <c r="U63" s="11">
        <f t="shared" si="7"/>
        <v>325000.95999999996</v>
      </c>
      <c r="V63" s="11">
        <f t="shared" si="6"/>
        <v>166728</v>
      </c>
      <c r="W63" s="11"/>
      <c r="X63" s="160">
        <f t="shared" si="9"/>
        <v>0</v>
      </c>
      <c r="Y63" s="11">
        <f t="shared" si="40"/>
        <v>-158272.95999999996</v>
      </c>
      <c r="Z63" s="11">
        <v>158272.73513704003</v>
      </c>
      <c r="AA63" s="11">
        <f t="shared" si="41"/>
        <v>165711.5536884809</v>
      </c>
      <c r="AC63" s="295">
        <f t="shared" si="32"/>
        <v>0.22486295993439853</v>
      </c>
    </row>
    <row r="64" spans="1:29" ht="4.95" customHeight="1" thickBot="1" x14ac:dyDescent="0.35">
      <c r="A64" s="89"/>
      <c r="B64" s="89"/>
      <c r="C64" s="89"/>
      <c r="D64" s="90"/>
      <c r="E64" s="91"/>
      <c r="F64" s="91"/>
      <c r="G64" s="91"/>
      <c r="H64" s="91"/>
      <c r="I64" s="91"/>
      <c r="J64" s="91"/>
      <c r="K64" s="91"/>
      <c r="L64" s="91"/>
      <c r="M64" s="13"/>
      <c r="N64" s="91">
        <f t="shared" si="10"/>
        <v>0</v>
      </c>
      <c r="O64" s="91">
        <f t="shared" si="11"/>
        <v>0</v>
      </c>
      <c r="P64" s="91">
        <f t="shared" si="4"/>
        <v>0</v>
      </c>
      <c r="Q64" s="91"/>
      <c r="R64" s="91">
        <f t="shared" si="12"/>
        <v>0</v>
      </c>
      <c r="S64" s="91">
        <v>0</v>
      </c>
      <c r="T64" s="89">
        <f>CEO!T64+CS!T64+CFO!T64+LLA!T64+'C&amp;E'!T64+CES!T64+LLT!T64+GB!T64</f>
        <v>0</v>
      </c>
      <c r="U64" s="89">
        <f t="shared" si="7"/>
        <v>0</v>
      </c>
      <c r="V64" s="89">
        <f t="shared" si="6"/>
        <v>0</v>
      </c>
      <c r="W64" s="89"/>
      <c r="X64" s="207">
        <f t="shared" si="9"/>
        <v>0</v>
      </c>
      <c r="Y64" s="91">
        <f t="shared" si="13"/>
        <v>0</v>
      </c>
      <c r="Z64" s="91"/>
      <c r="AA64" s="91"/>
      <c r="AC64" s="295">
        <f t="shared" si="32"/>
        <v>0</v>
      </c>
    </row>
    <row r="65" spans="1:29" x14ac:dyDescent="0.3">
      <c r="A65" s="4">
        <f>SUM(A48:A63)</f>
        <v>72338.589821466681</v>
      </c>
      <c r="B65" s="4">
        <f>SUM(B48:B63)</f>
        <v>77583.829821466672</v>
      </c>
      <c r="C65" s="4">
        <f t="shared" ref="C65:L65" si="42">SUM(C48:C63)</f>
        <v>73391.829821466672</v>
      </c>
      <c r="D65" s="4">
        <f t="shared" si="42"/>
        <v>74321.405821466673</v>
      </c>
      <c r="E65" s="4">
        <f t="shared" si="42"/>
        <v>80702.67782146667</v>
      </c>
      <c r="F65" s="4">
        <f t="shared" si="42"/>
        <v>72568.101821466684</v>
      </c>
      <c r="G65" s="4">
        <f t="shared" si="42"/>
        <v>75369.405821466673</v>
      </c>
      <c r="H65" s="4">
        <f t="shared" si="42"/>
        <v>81165.261821466673</v>
      </c>
      <c r="I65" s="4">
        <f t="shared" si="42"/>
        <v>120882.08086599949</v>
      </c>
      <c r="J65" s="4">
        <f t="shared" si="42"/>
        <v>74321.405821466673</v>
      </c>
      <c r="K65" s="4">
        <f t="shared" si="42"/>
        <v>72343.281683389549</v>
      </c>
      <c r="L65" s="4">
        <f t="shared" si="42"/>
        <v>74559.8304940464</v>
      </c>
      <c r="M65" s="13" t="s">
        <v>132</v>
      </c>
      <c r="N65" s="4">
        <f t="shared" ref="N65:O65" si="43">SUM(N48:N63)</f>
        <v>0</v>
      </c>
      <c r="O65" s="4">
        <f t="shared" si="43"/>
        <v>949547.70143663546</v>
      </c>
      <c r="P65" s="4">
        <f t="shared" ref="P65" si="44">SUM(P48:P63)</f>
        <v>949547.70143663546</v>
      </c>
      <c r="Q65" s="4">
        <f>SUM(Q48:Q63)</f>
        <v>949547.95615463529</v>
      </c>
      <c r="R65" s="4">
        <f t="shared" ref="R65:S65" si="45">SUM(R48:R63)</f>
        <v>0.25471799998194911</v>
      </c>
      <c r="S65" s="4">
        <f t="shared" si="45"/>
        <v>83744.000000000015</v>
      </c>
      <c r="T65" s="4">
        <f>CEO!T65+CS!T65+CFO!T65+LLA!T65+'C&amp;E'!T65+CES!T65+LLT!T65+GB!T65</f>
        <v>390222.74440532457</v>
      </c>
      <c r="U65" s="4">
        <f t="shared" si="7"/>
        <v>1423514.7005599597</v>
      </c>
      <c r="V65" s="4">
        <f t="shared" si="6"/>
        <v>473966.99912332429</v>
      </c>
      <c r="W65" s="4"/>
      <c r="X65" s="162">
        <f t="shared" si="9"/>
        <v>0</v>
      </c>
      <c r="Y65" s="4">
        <f t="shared" si="13"/>
        <v>949547.95615463529</v>
      </c>
      <c r="Z65" s="4">
        <f>SUM(Z48:Z63)</f>
        <v>949548.55421012745</v>
      </c>
      <c r="AA65" s="4">
        <f>SUM(AA48:AA63)</f>
        <v>994177.33625800337</v>
      </c>
      <c r="AC65" s="295">
        <f t="shared" si="32"/>
        <v>-0.59805549215525389</v>
      </c>
    </row>
    <row r="66" spans="1:29" x14ac:dyDescent="0.3">
      <c r="A66" s="81"/>
      <c r="B66" s="81"/>
      <c r="C66" s="81"/>
      <c r="D66" s="82"/>
      <c r="E66" s="86"/>
      <c r="F66" s="86"/>
      <c r="G66" s="86"/>
      <c r="H66" s="86"/>
      <c r="I66" s="86"/>
      <c r="J66" s="86"/>
      <c r="K66" s="86"/>
      <c r="L66" s="86"/>
      <c r="M66" s="80"/>
      <c r="N66" s="86">
        <f t="shared" si="10"/>
        <v>0</v>
      </c>
      <c r="O66" s="86">
        <f t="shared" si="11"/>
        <v>0</v>
      </c>
      <c r="P66" s="86">
        <f t="shared" si="4"/>
        <v>0</v>
      </c>
      <c r="Q66" s="86"/>
      <c r="R66" s="86">
        <f t="shared" si="12"/>
        <v>0</v>
      </c>
      <c r="S66" s="86">
        <v>0</v>
      </c>
      <c r="T66" s="81">
        <f>CEO!T66+CS!T66+CFO!T66+LLA!T66+'C&amp;E'!T66+CES!T66+LLT!T66+GB!T66</f>
        <v>0</v>
      </c>
      <c r="U66" s="81">
        <f t="shared" si="7"/>
        <v>0</v>
      </c>
      <c r="V66" s="81">
        <f t="shared" si="6"/>
        <v>0</v>
      </c>
      <c r="W66" s="81"/>
      <c r="X66" s="204"/>
      <c r="Y66" s="86">
        <f t="shared" si="13"/>
        <v>0</v>
      </c>
      <c r="Z66" s="86"/>
      <c r="AA66" s="86"/>
    </row>
    <row r="67" spans="1:29" x14ac:dyDescent="0.3">
      <c r="A67" s="8">
        <f>CEO!A67+CS!A67+CFO!A67+LLA!A67+'C&amp;E'!A67+CES!A67+LLT!A67+GB!A67</f>
        <v>0</v>
      </c>
      <c r="B67" s="8">
        <f>CEO!B67+CS!B67+CFO!B67+LLA!B67+'C&amp;E'!B67+CES!B67+LLT!B67+GB!B67</f>
        <v>0</v>
      </c>
      <c r="C67" s="8">
        <f>CEO!C67+CS!C67+CFO!C67+LLA!C67+'C&amp;E'!C67+CES!C67+LLT!C67+GB!C67</f>
        <v>57005.96</v>
      </c>
      <c r="D67" s="8">
        <f>CEO!D67+CS!D67+CFO!D67+LLA!D67+'C&amp;E'!D67+CES!D67+LLT!D67+GB!D67</f>
        <v>0</v>
      </c>
      <c r="E67" s="8">
        <f>CEO!E67+CS!E67+CFO!E67+LLA!E67+'C&amp;E'!E67+CES!E67+LLT!E67+GB!E67</f>
        <v>0</v>
      </c>
      <c r="F67" s="8">
        <f>CEO!F67+CS!F67+CFO!F67+LLA!F67+'C&amp;E'!F67+CES!F67+LLT!F67+GB!F67</f>
        <v>152594.04</v>
      </c>
      <c r="G67" s="8">
        <f>CEO!G67+CS!G67+CFO!G67+LLA!G67+'C&amp;E'!G67+CES!G67+LLT!G67+GB!G67</f>
        <v>0</v>
      </c>
      <c r="H67" s="8">
        <f>CEO!H67+CS!H67+CFO!H67+LLA!H67+'C&amp;E'!H67+CES!H67+LLT!H67+GB!H67</f>
        <v>0</v>
      </c>
      <c r="I67" s="8">
        <f>CEO!I67+CS!I67+CFO!I67+LLA!I67+'C&amp;E'!I67+CES!I67+LLT!I67+GB!I67</f>
        <v>0</v>
      </c>
      <c r="J67" s="8">
        <f>CEO!J67+CS!J67+CFO!J67+LLA!J67+'C&amp;E'!J67+CES!J67+LLT!J67+GB!J67</f>
        <v>0</v>
      </c>
      <c r="K67" s="8">
        <f>CEO!K67+CS!K67+CFO!K67+LLA!K67+'C&amp;E'!K67+CES!K67+LLT!K67+GB!K67</f>
        <v>0</v>
      </c>
      <c r="L67" s="8">
        <f>CEO!L67+CS!L67+CFO!L67+LLA!L67+'C&amp;E'!L67+CES!L67+LLT!L67+GB!L67</f>
        <v>0</v>
      </c>
      <c r="M67" s="385" t="s">
        <v>461</v>
      </c>
      <c r="N67" s="8">
        <f t="shared" ref="N67:N89" si="46">SUM(0)</f>
        <v>0</v>
      </c>
      <c r="O67" s="8">
        <f t="shared" ref="O67:O89" si="47">SUM(A67:L67)</f>
        <v>209600</v>
      </c>
      <c r="P67" s="8">
        <f t="shared" si="4"/>
        <v>209600</v>
      </c>
      <c r="Q67" s="8">
        <f>CEO!Q67+CS!Q67+CFO!Q67+LLA!Q67+'C&amp;E'!Q67+CES!Q67+LLT!Q67+GB!Q67</f>
        <v>209600</v>
      </c>
      <c r="R67" s="8">
        <f t="shared" ref="R67:R89" si="48">Q67-P67</f>
        <v>0</v>
      </c>
      <c r="S67" s="8">
        <v>0</v>
      </c>
      <c r="T67" s="8">
        <f>CEO!T67+CS!T67+CFO!T67+LLA!T67+'C&amp;E'!T67+CES!T67+LLT!T67+GB!T67</f>
        <v>0</v>
      </c>
      <c r="U67" s="8">
        <f t="shared" si="7"/>
        <v>209600</v>
      </c>
      <c r="V67" s="8">
        <f t="shared" si="6"/>
        <v>0</v>
      </c>
      <c r="W67" s="8"/>
      <c r="X67" s="158">
        <f t="shared" si="9"/>
        <v>0</v>
      </c>
      <c r="Y67" s="8">
        <f t="shared" ref="Y67:Y89" si="49">X67-Q67</f>
        <v>-209600</v>
      </c>
      <c r="Z67" s="8">
        <v>209600</v>
      </c>
      <c r="AA67" s="8">
        <f t="shared" ref="AA67:AA89" si="50">Z67*(1+AA$3)</f>
        <v>219451.19999999998</v>
      </c>
      <c r="AC67" s="295">
        <f t="shared" si="32"/>
        <v>0</v>
      </c>
    </row>
    <row r="68" spans="1:29" x14ac:dyDescent="0.3">
      <c r="A68" s="7">
        <f>CEO!A68+CS!A68+CFO!A68+LLA!A68+'C&amp;E'!A68+CES!A68+LLT!A68+GB!A68</f>
        <v>20954.6897796333</v>
      </c>
      <c r="B68" s="7">
        <f>CEO!B68+CS!B68+CFO!B68+LLA!B68+'C&amp;E'!B68+CES!B68+LLT!B68+GB!B68</f>
        <v>20954.6897796333</v>
      </c>
      <c r="C68" s="7">
        <f>CEO!C68+CS!C68+CFO!C68+LLA!C68+'C&amp;E'!C68+CES!C68+LLT!C68+GB!C68</f>
        <v>20954.6897796333</v>
      </c>
      <c r="D68" s="7">
        <f>CEO!D68+CS!D68+CFO!D68+LLA!D68+'C&amp;E'!D68+CES!D68+LLT!D68+GB!D68</f>
        <v>20954.6897796333</v>
      </c>
      <c r="E68" s="7">
        <f>CEO!E68+CS!E68+CFO!E68+LLA!E68+'C&amp;E'!E68+CES!E68+LLT!E68+GB!E68</f>
        <v>20954.6897796333</v>
      </c>
      <c r="F68" s="7">
        <f>CEO!F68+CS!F68+CFO!F68+LLA!F68+'C&amp;E'!F68+CES!F68+LLT!F68+GB!F68</f>
        <v>20954.6897796333</v>
      </c>
      <c r="G68" s="7">
        <f>CEO!G68+CS!G68+CFO!G68+LLA!G68+'C&amp;E'!G68+CES!G68+LLT!G68+GB!G68</f>
        <v>20954.6897796333</v>
      </c>
      <c r="H68" s="7">
        <f>CEO!H68+CS!H68+CFO!H68+LLA!H68+'C&amp;E'!H68+CES!H68+LLT!H68+GB!H68</f>
        <v>20954.6897796333</v>
      </c>
      <c r="I68" s="7">
        <f>CEO!I68+CS!I68+CFO!I68+LLA!I68+'C&amp;E'!I68+CES!I68+LLT!I68+GB!I68</f>
        <v>20954.6897796333</v>
      </c>
      <c r="J68" s="7">
        <f>CEO!J68+CS!J68+CFO!J68+LLA!J68+'C&amp;E'!J68+CES!J68+LLT!J68+GB!J68</f>
        <v>20954.6897796333</v>
      </c>
      <c r="K68" s="7">
        <f>CEO!K68+CS!K68+CFO!K68+LLA!K68+'C&amp;E'!K68+CES!K68+LLT!K68+GB!K68</f>
        <v>20954.6897796333</v>
      </c>
      <c r="L68" s="7">
        <f>CEO!L68+CS!L68+CFO!L68+LLA!L68+'C&amp;E'!L68+CES!L68+LLT!L68+GB!L68</f>
        <v>20954.6897796333</v>
      </c>
      <c r="M68" s="13" t="s">
        <v>462</v>
      </c>
      <c r="N68" s="7">
        <f t="shared" si="46"/>
        <v>0</v>
      </c>
      <c r="O68" s="7">
        <f t="shared" si="47"/>
        <v>251456.27735559965</v>
      </c>
      <c r="P68" s="7">
        <f t="shared" si="4"/>
        <v>251456.27735559965</v>
      </c>
      <c r="Q68" s="7">
        <f>CEO!Q68+CS!Q68+CFO!Q68+LLA!Q68+'C&amp;E'!Q68+CES!Q68+LLT!Q68+GB!Q68</f>
        <v>251456.27735559965</v>
      </c>
      <c r="R68" s="7">
        <f t="shared" si="48"/>
        <v>0</v>
      </c>
      <c r="S68" s="7">
        <v>-30941</v>
      </c>
      <c r="T68" s="7">
        <f>CEO!T68+CS!T68+CFO!T68+LLA!T68+'C&amp;E'!T68+CES!T68+LLT!T68+GB!T68</f>
        <v>0</v>
      </c>
      <c r="U68" s="7">
        <f t="shared" si="7"/>
        <v>220515.27735559965</v>
      </c>
      <c r="V68" s="7">
        <f t="shared" si="6"/>
        <v>-30941</v>
      </c>
      <c r="W68" s="7"/>
      <c r="X68" s="159">
        <f t="shared" si="9"/>
        <v>0</v>
      </c>
      <c r="Y68" s="7">
        <f t="shared" si="49"/>
        <v>-251456.27735559965</v>
      </c>
      <c r="Z68" s="7">
        <v>251456.27735559997</v>
      </c>
      <c r="AA68" s="7">
        <f t="shared" si="50"/>
        <v>263274.72239131317</v>
      </c>
      <c r="AC68" s="295">
        <f t="shared" si="32"/>
        <v>-3.2014213502407074E-10</v>
      </c>
    </row>
    <row r="69" spans="1:29" x14ac:dyDescent="0.3">
      <c r="A69" s="7">
        <f>CEO!A69+CS!A69+CFO!A69+LLA!A69+'C&amp;E'!A69+CES!A69+LLT!A69+GB!A69</f>
        <v>3492.9839999999999</v>
      </c>
      <c r="B69" s="7">
        <f>CEO!B69+CS!B69+CFO!B69+LLA!B69+'C&amp;E'!B69+CES!B69+LLT!B69+GB!B69</f>
        <v>3492.9839999999999</v>
      </c>
      <c r="C69" s="7">
        <f>CEO!C69+CS!C69+CFO!C69+LLA!C69+'C&amp;E'!C69+CES!C69+LLT!C69+GB!C69</f>
        <v>3492.9839999999999</v>
      </c>
      <c r="D69" s="7">
        <f>CEO!D69+CS!D69+CFO!D69+LLA!D69+'C&amp;E'!D69+CES!D69+LLT!D69+GB!D69</f>
        <v>3492.9839999999999</v>
      </c>
      <c r="E69" s="7">
        <f>CEO!E69+CS!E69+CFO!E69+LLA!E69+'C&amp;E'!E69+CES!E69+LLT!E69+GB!E69</f>
        <v>3492.9839999999999</v>
      </c>
      <c r="F69" s="7">
        <f>CEO!F69+CS!F69+CFO!F69+LLA!F69+'C&amp;E'!F69+CES!F69+LLT!F69+GB!F69</f>
        <v>213096.984</v>
      </c>
      <c r="G69" s="7">
        <f>CEO!G69+CS!G69+CFO!G69+LLA!G69+'C&amp;E'!G69+CES!G69+LLT!G69+GB!G69</f>
        <v>3492.9839999999999</v>
      </c>
      <c r="H69" s="7">
        <f>CEO!H69+CS!H69+CFO!H69+LLA!H69+'C&amp;E'!H69+CES!H69+LLT!H69+GB!H69</f>
        <v>3492.9839999999999</v>
      </c>
      <c r="I69" s="7">
        <f>CEO!I69+CS!I69+CFO!I69+LLA!I69+'C&amp;E'!I69+CES!I69+LLT!I69+GB!I69</f>
        <v>3492.9839999999999</v>
      </c>
      <c r="J69" s="7">
        <f>CEO!J69+CS!J69+CFO!J69+LLA!J69+'C&amp;E'!J69+CES!J69+LLT!J69+GB!J69</f>
        <v>3492.9839999999999</v>
      </c>
      <c r="K69" s="7">
        <f>CEO!K69+CS!K69+CFO!K69+LLA!K69+'C&amp;E'!K69+CES!K69+LLT!K69+GB!K69</f>
        <v>3492.9839999999999</v>
      </c>
      <c r="L69" s="7">
        <f>CEO!L69+CS!L69+CFO!L69+LLA!L69+'C&amp;E'!L69+CES!L69+LLT!L69+GB!L69</f>
        <v>3492.9839999999999</v>
      </c>
      <c r="M69" s="13" t="s">
        <v>463</v>
      </c>
      <c r="N69" s="7">
        <f t="shared" si="46"/>
        <v>0</v>
      </c>
      <c r="O69" s="7">
        <f t="shared" si="47"/>
        <v>251519.80799999996</v>
      </c>
      <c r="P69" s="7">
        <f t="shared" si="4"/>
        <v>251519.80799999996</v>
      </c>
      <c r="Q69" s="7">
        <f>CEO!Q69+CS!Q69+CFO!Q69+LLA!Q69+'C&amp;E'!Q69+CES!Q69+LLT!Q69+GB!Q69</f>
        <v>251519.80799999999</v>
      </c>
      <c r="R69" s="7">
        <f t="shared" si="48"/>
        <v>0</v>
      </c>
      <c r="S69" s="7">
        <v>0</v>
      </c>
      <c r="T69" s="7">
        <f>CEO!T69+CS!T69+CFO!T69+LLA!T69+'C&amp;E'!T69+CES!T69+LLT!T69+GB!T69</f>
        <v>0</v>
      </c>
      <c r="U69" s="7">
        <f t="shared" si="7"/>
        <v>251519.80799999999</v>
      </c>
      <c r="V69" s="7">
        <f t="shared" si="6"/>
        <v>0</v>
      </c>
      <c r="W69" s="7"/>
      <c r="X69" s="159">
        <f t="shared" si="9"/>
        <v>0</v>
      </c>
      <c r="Y69" s="7">
        <f t="shared" si="49"/>
        <v>-251519.80799999999</v>
      </c>
      <c r="Z69" s="7">
        <v>251520</v>
      </c>
      <c r="AA69" s="7">
        <f t="shared" si="50"/>
        <v>263341.44</v>
      </c>
      <c r="AC69" s="295">
        <f t="shared" si="32"/>
        <v>-0.19200000001001172</v>
      </c>
    </row>
    <row r="70" spans="1:29" x14ac:dyDescent="0.3">
      <c r="A70" s="7">
        <f>CEO!A70+CS!A70+CFO!A70+LLA!A70+'C&amp;E'!A70+CES!A70+LLT!A70+GB!A70</f>
        <v>0</v>
      </c>
      <c r="B70" s="7">
        <f>CEO!B70+CS!B70+CFO!B70+LLA!B70+'C&amp;E'!B70+CES!B70+LLT!B70+GB!B70</f>
        <v>0</v>
      </c>
      <c r="C70" s="7">
        <f>CEO!C70+CS!C70+CFO!C70+LLA!C70+'C&amp;E'!C70+CES!C70+LLT!C70+GB!C70</f>
        <v>0</v>
      </c>
      <c r="D70" s="7">
        <f>CEO!D70+CS!D70+CFO!D70+LLA!D70+'C&amp;E'!D70+CES!D70+LLT!D70+GB!D70</f>
        <v>0</v>
      </c>
      <c r="E70" s="7">
        <f>CEO!E70+CS!E70+CFO!E70+LLA!E70+'C&amp;E'!E70+CES!E70+LLT!E70+GB!E70</f>
        <v>0</v>
      </c>
      <c r="F70" s="7">
        <f>CEO!F70+CS!F70+CFO!F70+LLA!F70+'C&amp;E'!F70+CES!F70+LLT!F70+GB!F70</f>
        <v>0</v>
      </c>
      <c r="G70" s="7">
        <f>CEO!G70+CS!G70+CFO!G70+LLA!G70+'C&amp;E'!G70+CES!G70+LLT!G70+GB!G70</f>
        <v>0</v>
      </c>
      <c r="H70" s="7">
        <f>CEO!H70+CS!H70+CFO!H70+LLA!H70+'C&amp;E'!H70+CES!H70+LLT!H70+GB!H70</f>
        <v>0</v>
      </c>
      <c r="I70" s="7">
        <f>CEO!I70+CS!I70+CFO!I70+LLA!I70+'C&amp;E'!I70+CES!I70+LLT!I70+GB!I70</f>
        <v>0</v>
      </c>
      <c r="J70" s="7">
        <f>CEO!J70+CS!J70+CFO!J70+LLA!J70+'C&amp;E'!J70+CES!J70+LLT!J70+GB!J70</f>
        <v>0</v>
      </c>
      <c r="K70" s="7">
        <f>CEO!K70+CS!K70+CFO!K70+LLA!K70+'C&amp;E'!K70+CES!K70+LLT!K70+GB!K70</f>
        <v>0</v>
      </c>
      <c r="L70" s="7">
        <f>CEO!L70+CS!L70+CFO!L70+LLA!L70+'C&amp;E'!L70+CES!L70+LLT!L70+GB!L70</f>
        <v>0</v>
      </c>
      <c r="M70" s="13" t="s">
        <v>464</v>
      </c>
      <c r="N70" s="7">
        <f t="shared" si="46"/>
        <v>0</v>
      </c>
      <c r="O70" s="7">
        <f t="shared" si="47"/>
        <v>0</v>
      </c>
      <c r="P70" s="7">
        <f t="shared" si="4"/>
        <v>0</v>
      </c>
      <c r="Q70" s="7">
        <f>CEO!Q70+CS!Q70+CFO!Q70+LLA!Q70+'C&amp;E'!Q70+CES!Q70+LLT!Q70+GB!Q70</f>
        <v>0</v>
      </c>
      <c r="R70" s="7">
        <f t="shared" si="48"/>
        <v>0</v>
      </c>
      <c r="S70" s="7">
        <v>0</v>
      </c>
      <c r="T70" s="7">
        <f>CEO!T70+CS!T70+CFO!T70+LLA!T70+'C&amp;E'!T70+CES!T70+LLT!T70+GB!T70</f>
        <v>0</v>
      </c>
      <c r="U70" s="7">
        <f t="shared" si="7"/>
        <v>0</v>
      </c>
      <c r="V70" s="7">
        <f t="shared" si="6"/>
        <v>0</v>
      </c>
      <c r="W70" s="7"/>
      <c r="X70" s="159">
        <f t="shared" si="9"/>
        <v>0</v>
      </c>
      <c r="Y70" s="7">
        <f t="shared" si="49"/>
        <v>0</v>
      </c>
      <c r="Z70" s="7">
        <v>0</v>
      </c>
      <c r="AA70" s="7">
        <f t="shared" si="50"/>
        <v>0</v>
      </c>
      <c r="AC70" s="295">
        <f t="shared" si="32"/>
        <v>0</v>
      </c>
    </row>
    <row r="71" spans="1:29" x14ac:dyDescent="0.3">
      <c r="A71" s="7">
        <f>CEO!A71+CS!A71+CFO!A71+LLA!A71+'C&amp;E'!A71+CES!A71+LLT!A71+GB!A71</f>
        <v>108537.92466666667</v>
      </c>
      <c r="B71" s="7">
        <f>CEO!B71+CS!B71+CFO!B71+LLA!B71+'C&amp;E'!B71+CES!B71+LLT!B71+GB!B71</f>
        <v>108537.92466666667</v>
      </c>
      <c r="C71" s="7">
        <f>CEO!C71+CS!C71+CFO!C71+LLA!C71+'C&amp;E'!C71+CES!C71+LLT!C71+GB!C71</f>
        <v>108537.92466666667</v>
      </c>
      <c r="D71" s="7">
        <f>CEO!D71+CS!D71+CFO!D71+LLA!D71+'C&amp;E'!D71+CES!D71+LLT!D71+GB!D71</f>
        <v>108537.92466666667</v>
      </c>
      <c r="E71" s="7">
        <f>CEO!E71+CS!E71+CFO!E71+LLA!E71+'C&amp;E'!E71+CES!E71+LLT!E71+GB!E71</f>
        <v>108537.92466666667</v>
      </c>
      <c r="F71" s="7">
        <f>CEO!F71+CS!F71+CFO!F71+LLA!F71+'C&amp;E'!F71+CES!F71+LLT!F71+GB!F71</f>
        <v>108537.92466666667</v>
      </c>
      <c r="G71" s="7">
        <f>CEO!G71+CS!G71+CFO!G71+LLA!G71+'C&amp;E'!G71+CES!G71+LLT!G71+GB!G71</f>
        <v>108537.92466666667</v>
      </c>
      <c r="H71" s="7">
        <f>CEO!H71+CS!H71+CFO!H71+LLA!H71+'C&amp;E'!H71+CES!H71+LLT!H71+GB!H71</f>
        <v>108537.92466666667</v>
      </c>
      <c r="I71" s="7">
        <f>CEO!I71+CS!I71+CFO!I71+LLA!I71+'C&amp;E'!I71+CES!I71+LLT!I71+GB!I71</f>
        <v>108537.92466666667</v>
      </c>
      <c r="J71" s="7">
        <f>CEO!J71+CS!J71+CFO!J71+LLA!J71+'C&amp;E'!J71+CES!J71+LLT!J71+GB!J71</f>
        <v>108537.92466666667</v>
      </c>
      <c r="K71" s="7">
        <f>CEO!K71+CS!K71+CFO!K71+LLA!K71+'C&amp;E'!K71+CES!K71+LLT!K71+GB!K71</f>
        <v>108537.92466666667</v>
      </c>
      <c r="L71" s="7">
        <f>CEO!L71+CS!L71+CFO!L71+LLA!L71+'C&amp;E'!L71+CES!L71+LLT!L71+GB!L71</f>
        <v>108566.92466666667</v>
      </c>
      <c r="M71" s="13" t="s">
        <v>465</v>
      </c>
      <c r="N71" s="7">
        <f t="shared" si="46"/>
        <v>0</v>
      </c>
      <c r="O71" s="7">
        <f t="shared" si="47"/>
        <v>1302484.0960000001</v>
      </c>
      <c r="P71" s="7">
        <f t="shared" si="4"/>
        <v>1302484.0960000001</v>
      </c>
      <c r="Q71" s="7">
        <f>CEO!Q71+CS!Q71+CFO!Q71+LLA!Q71+'C&amp;E'!Q71+CES!Q71+LLT!Q71+GB!Q71</f>
        <v>1302484.0959999999</v>
      </c>
      <c r="R71" s="7">
        <f t="shared" si="48"/>
        <v>0</v>
      </c>
      <c r="S71" s="7">
        <v>-4653</v>
      </c>
      <c r="T71" s="7">
        <f>CEO!T71+CS!T71+CFO!T71+LLA!T71+'C&amp;E'!T71+CES!T71+LLT!T71+GB!T71</f>
        <v>169523</v>
      </c>
      <c r="U71" s="7">
        <f t="shared" si="7"/>
        <v>1467354.0959999999</v>
      </c>
      <c r="V71" s="7">
        <f t="shared" si="6"/>
        <v>164869.99999999977</v>
      </c>
      <c r="W71" s="7"/>
      <c r="X71" s="159">
        <f t="shared" si="9"/>
        <v>0</v>
      </c>
      <c r="Y71" s="7">
        <f t="shared" si="49"/>
        <v>-1302484.0959999999</v>
      </c>
      <c r="Z71" s="7">
        <v>1302484.5455764241</v>
      </c>
      <c r="AA71" s="7">
        <f t="shared" si="50"/>
        <v>1363701.3192185159</v>
      </c>
      <c r="AC71" s="295">
        <f t="shared" si="32"/>
        <v>-0.44957642420195043</v>
      </c>
    </row>
    <row r="72" spans="1:29" x14ac:dyDescent="0.3">
      <c r="A72" s="7">
        <f>CEO!A72+CS!A72+CFO!A72+LLA!A72+'C&amp;E'!A72+CES!A72+LLT!A72+GB!A72</f>
        <v>2380.0080000000003</v>
      </c>
      <c r="B72" s="7">
        <f>CEO!B72+CS!B72+CFO!B72+LLA!B72+'C&amp;E'!B72+CES!B72+LLT!B72+GB!B72</f>
        <v>2380.0080000000003</v>
      </c>
      <c r="C72" s="7">
        <f>CEO!C72+CS!C72+CFO!C72+LLA!C72+'C&amp;E'!C72+CES!C72+LLT!C72+GB!C72</f>
        <v>2380.0080000000003</v>
      </c>
      <c r="D72" s="7">
        <f>CEO!D72+CS!D72+CFO!D72+LLA!D72+'C&amp;E'!D72+CES!D72+LLT!D72+GB!D72</f>
        <v>2380.0080000000003</v>
      </c>
      <c r="E72" s="7">
        <f>CEO!E72+CS!E72+CFO!E72+LLA!E72+'C&amp;E'!E72+CES!E72+LLT!E72+GB!E72</f>
        <v>2380.0080000000003</v>
      </c>
      <c r="F72" s="7">
        <f>CEO!F72+CS!F72+CFO!F72+LLA!F72+'C&amp;E'!F72+CES!F72+LLT!F72+GB!F72</f>
        <v>2380.0080000000003</v>
      </c>
      <c r="G72" s="7">
        <f>CEO!G72+CS!G72+CFO!G72+LLA!G72+'C&amp;E'!G72+CES!G72+LLT!G72+GB!G72</f>
        <v>2380.0080000000003</v>
      </c>
      <c r="H72" s="7">
        <f>CEO!H72+CS!H72+CFO!H72+LLA!H72+'C&amp;E'!H72+CES!H72+LLT!H72+GB!H72</f>
        <v>2380.0080000000003</v>
      </c>
      <c r="I72" s="7">
        <f>CEO!I72+CS!I72+CFO!I72+LLA!I72+'C&amp;E'!I72+CES!I72+LLT!I72+GB!I72</f>
        <v>2380.0080000000003</v>
      </c>
      <c r="J72" s="7">
        <f>CEO!J72+CS!J72+CFO!J72+LLA!J72+'C&amp;E'!J72+CES!J72+LLT!J72+GB!J72</f>
        <v>2380.0080000000003</v>
      </c>
      <c r="K72" s="7">
        <f>CEO!K72+CS!K72+CFO!K72+LLA!K72+'C&amp;E'!K72+CES!K72+LLT!K72+GB!K72</f>
        <v>2380.0080000000003</v>
      </c>
      <c r="L72" s="7">
        <f>CEO!L72+CS!L72+CFO!L72+LLA!L72+'C&amp;E'!L72+CES!L72+LLT!L72+GB!L72</f>
        <v>2379.0080000000003</v>
      </c>
      <c r="M72" s="13" t="s">
        <v>466</v>
      </c>
      <c r="N72" s="7">
        <f t="shared" si="46"/>
        <v>0</v>
      </c>
      <c r="O72" s="7">
        <f t="shared" si="47"/>
        <v>28559.096000000009</v>
      </c>
      <c r="P72" s="7">
        <f t="shared" ref="P72:P135" si="51">SUM(N72:O72)</f>
        <v>28559.096000000009</v>
      </c>
      <c r="Q72" s="7">
        <f>CEO!Q72+CS!Q72+CFO!Q72+LLA!Q72+'C&amp;E'!Q72+CES!Q72+LLT!Q72+GB!Q72</f>
        <v>28559.096000000009</v>
      </c>
      <c r="R72" s="7">
        <f t="shared" si="48"/>
        <v>0</v>
      </c>
      <c r="S72" s="7">
        <v>27251</v>
      </c>
      <c r="T72" s="7">
        <f>CEO!T72+CS!T72+CFO!T72+LLA!T72+'C&amp;E'!T72+CES!T72+LLT!T72+GB!T72</f>
        <v>0</v>
      </c>
      <c r="U72" s="7">
        <f t="shared" si="7"/>
        <v>55810.096000000005</v>
      </c>
      <c r="V72" s="7">
        <f t="shared" ref="V72:V135" si="52">U72-P72</f>
        <v>27250.999999999996</v>
      </c>
      <c r="W72" s="7"/>
      <c r="X72" s="159">
        <f t="shared" si="9"/>
        <v>0</v>
      </c>
      <c r="Y72" s="7">
        <f t="shared" si="49"/>
        <v>-28559.096000000009</v>
      </c>
      <c r="Z72" s="7">
        <v>28559.048000000003</v>
      </c>
      <c r="AA72" s="7">
        <f t="shared" si="50"/>
        <v>29901.323256</v>
      </c>
      <c r="AC72" s="295">
        <f t="shared" si="32"/>
        <v>4.8000000006140908E-2</v>
      </c>
    </row>
    <row r="73" spans="1:29" x14ac:dyDescent="0.3">
      <c r="A73" s="7">
        <f>CEO!A73+CS!A73+CFO!A73+LLA!A73+'C&amp;E'!A73+CES!A73+LLT!A73+GB!A73</f>
        <v>0</v>
      </c>
      <c r="B73" s="7">
        <f>CEO!B73+CS!B73+CFO!B73+LLA!B73+'C&amp;E'!B73+CES!B73+LLT!B73+GB!B73</f>
        <v>0</v>
      </c>
      <c r="C73" s="7">
        <f>CEO!C73+CS!C73+CFO!C73+LLA!C73+'C&amp;E'!C73+CES!C73+LLT!C73+GB!C73</f>
        <v>0</v>
      </c>
      <c r="D73" s="7">
        <f>CEO!D73+CS!D73+CFO!D73+LLA!D73+'C&amp;E'!D73+CES!D73+LLT!D73+GB!D73</f>
        <v>0</v>
      </c>
      <c r="E73" s="7">
        <f>CEO!E73+CS!E73+CFO!E73+LLA!E73+'C&amp;E'!E73+CES!E73+LLT!E73+GB!E73</f>
        <v>0</v>
      </c>
      <c r="F73" s="7">
        <f>CEO!F73+CS!F73+CFO!F73+LLA!F73+'C&amp;E'!F73+CES!F73+LLT!F73+GB!F73</f>
        <v>0</v>
      </c>
      <c r="G73" s="7">
        <f>CEO!G73+CS!G73+CFO!G73+LLA!G73+'C&amp;E'!G73+CES!G73+LLT!G73+GB!G73</f>
        <v>0</v>
      </c>
      <c r="H73" s="7">
        <f>CEO!H73+CS!H73+CFO!H73+LLA!H73+'C&amp;E'!H73+CES!H73+LLT!H73+GB!H73</f>
        <v>0</v>
      </c>
      <c r="I73" s="7">
        <f>CEO!I73+CS!I73+CFO!I73+LLA!I73+'C&amp;E'!I73+CES!I73+LLT!I73+GB!I73</f>
        <v>0</v>
      </c>
      <c r="J73" s="7">
        <f>CEO!J73+CS!J73+CFO!J73+LLA!J73+'C&amp;E'!J73+CES!J73+LLT!J73+GB!J73</f>
        <v>0</v>
      </c>
      <c r="K73" s="7">
        <f>CEO!K73+CS!K73+CFO!K73+LLA!K73+'C&amp;E'!K73+CES!K73+LLT!K73+GB!K73</f>
        <v>0</v>
      </c>
      <c r="L73" s="7">
        <f>CEO!L73+CS!L73+CFO!L73+LLA!L73+'C&amp;E'!L73+CES!L73+LLT!L73+GB!L73</f>
        <v>0</v>
      </c>
      <c r="M73" s="13" t="s">
        <v>453</v>
      </c>
      <c r="N73" s="7">
        <f t="shared" si="46"/>
        <v>0</v>
      </c>
      <c r="O73" s="7">
        <f t="shared" si="47"/>
        <v>0</v>
      </c>
      <c r="P73" s="7">
        <f t="shared" si="51"/>
        <v>0</v>
      </c>
      <c r="Q73" s="7">
        <f>CEO!Q73+CS!Q73+CFO!Q73+LLA!Q73+'C&amp;E'!Q73+CES!Q73+LLT!Q73+GB!Q73</f>
        <v>0</v>
      </c>
      <c r="R73" s="7">
        <f t="shared" si="48"/>
        <v>0</v>
      </c>
      <c r="S73" s="7">
        <v>0</v>
      </c>
      <c r="T73" s="7">
        <f>CEO!T73+CS!T73+CFO!T73+LLA!T73+'C&amp;E'!T73+CES!T73+LLT!T73+GB!T73</f>
        <v>0</v>
      </c>
      <c r="U73" s="7">
        <f t="shared" ref="U73:U128" si="53">S73+Q73+T73</f>
        <v>0</v>
      </c>
      <c r="V73" s="7">
        <f t="shared" si="52"/>
        <v>0</v>
      </c>
      <c r="W73" s="7"/>
      <c r="X73" s="159">
        <f t="shared" si="9"/>
        <v>0</v>
      </c>
      <c r="Y73" s="7">
        <f t="shared" si="49"/>
        <v>0</v>
      </c>
      <c r="Z73" s="7">
        <v>0</v>
      </c>
      <c r="AA73" s="7">
        <f t="shared" si="50"/>
        <v>0</v>
      </c>
      <c r="AC73" s="295">
        <f t="shared" si="32"/>
        <v>0</v>
      </c>
    </row>
    <row r="74" spans="1:29" x14ac:dyDescent="0.3">
      <c r="A74" s="7">
        <f>CEO!A74+CS!A74+CFO!A74+LLA!A74+'C&amp;E'!A74+CES!A74+LLT!A74+GB!A74</f>
        <v>293473.53600000002</v>
      </c>
      <c r="B74" s="7">
        <f>CEO!B74+CS!B74+CFO!B74+LLA!B74+'C&amp;E'!B74+CES!B74+LLT!B74+GB!B74</f>
        <v>293473.53600000002</v>
      </c>
      <c r="C74" s="7">
        <f>CEO!C74+CS!C74+CFO!C74+LLA!C74+'C&amp;E'!C74+CES!C74+LLT!C74+GB!C74</f>
        <v>293473.53600000002</v>
      </c>
      <c r="D74" s="7">
        <f>CEO!D74+CS!D74+CFO!D74+LLA!D74+'C&amp;E'!D74+CES!D74+LLT!D74+GB!D74</f>
        <v>293473.53600000002</v>
      </c>
      <c r="E74" s="7">
        <f>CEO!E74+CS!E74+CFO!E74+LLA!E74+'C&amp;E'!E74+CES!E74+LLT!E74+GB!E74</f>
        <v>293473.53600000002</v>
      </c>
      <c r="F74" s="7">
        <f>CEO!F74+CS!F74+CFO!F74+LLA!F74+'C&amp;E'!F74+CES!F74+LLT!F74+GB!F74</f>
        <v>293473.53600000002</v>
      </c>
      <c r="G74" s="7">
        <f>CEO!G74+CS!G74+CFO!G74+LLA!G74+'C&amp;E'!G74+CES!G74+LLT!G74+GB!G74</f>
        <v>293473.53600000002</v>
      </c>
      <c r="H74" s="7">
        <f>CEO!H74+CS!H74+CFO!H74+LLA!H74+'C&amp;E'!H74+CES!H74+LLT!H74+GB!H74</f>
        <v>293473.53600000002</v>
      </c>
      <c r="I74" s="7">
        <f>CEO!I74+CS!I74+CFO!I74+LLA!I74+'C&amp;E'!I74+CES!I74+LLT!I74+GB!I74</f>
        <v>293473.53600000002</v>
      </c>
      <c r="J74" s="7">
        <f>CEO!J74+CS!J74+CFO!J74+LLA!J74+'C&amp;E'!J74+CES!J74+LLT!J74+GB!J74</f>
        <v>293473.53600000002</v>
      </c>
      <c r="K74" s="7">
        <f>CEO!K74+CS!K74+CFO!K74+LLA!K74+'C&amp;E'!K74+CES!K74+LLT!K74+GB!K74</f>
        <v>293473.53600000002</v>
      </c>
      <c r="L74" s="7">
        <f>CEO!L74+CS!L74+CFO!L74+LLA!L74+'C&amp;E'!L74+CES!L74+LLT!L74+GB!L74</f>
        <v>293479.53600000002</v>
      </c>
      <c r="M74" s="385" t="s">
        <v>467</v>
      </c>
      <c r="N74" s="7">
        <f t="shared" si="46"/>
        <v>0</v>
      </c>
      <c r="O74" s="7">
        <f t="shared" si="47"/>
        <v>3521688.4319999996</v>
      </c>
      <c r="P74" s="7">
        <f t="shared" si="51"/>
        <v>3521688.4319999996</v>
      </c>
      <c r="Q74" s="7">
        <f>CEO!Q74+CS!Q74+CFO!Q74+LLA!Q74+'C&amp;E'!Q74+CES!Q74+LLT!Q74+GB!Q74</f>
        <v>3521688.4319999996</v>
      </c>
      <c r="R74" s="7">
        <f t="shared" si="48"/>
        <v>0</v>
      </c>
      <c r="S74" s="7">
        <v>0</v>
      </c>
      <c r="T74" s="7">
        <f>CEO!T74+CS!T74+CFO!T74+LLA!T74+'C&amp;E'!T74+CES!T74+LLT!T74+GB!T74</f>
        <v>0</v>
      </c>
      <c r="U74" s="7">
        <f t="shared" si="53"/>
        <v>3521688.4319999996</v>
      </c>
      <c r="V74" s="7">
        <f t="shared" si="52"/>
        <v>0</v>
      </c>
      <c r="W74" s="7"/>
      <c r="X74" s="159">
        <f t="shared" ref="X74:X137" si="54">IFERROR(N74/Q74,0)</f>
        <v>0</v>
      </c>
      <c r="Y74" s="7">
        <f t="shared" si="49"/>
        <v>-3521688.4319999996</v>
      </c>
      <c r="Z74" s="7">
        <v>3521688.1540800007</v>
      </c>
      <c r="AA74" s="7">
        <f t="shared" si="50"/>
        <v>3687207.4973217603</v>
      </c>
      <c r="AC74" s="295">
        <f t="shared" si="32"/>
        <v>0.27791999885812402</v>
      </c>
    </row>
    <row r="75" spans="1:29" x14ac:dyDescent="0.3">
      <c r="A75" s="7">
        <f>CEO!A75+CS!A75+CFO!A75+LLA!A75+'C&amp;E'!A75+CES!A75+LLT!A75+GB!A75</f>
        <v>12241.688</v>
      </c>
      <c r="B75" s="7">
        <f>CEO!B75+CS!B75+CFO!B75+LLA!B75+'C&amp;E'!B75+CES!B75+LLT!B75+GB!B75</f>
        <v>12241.688</v>
      </c>
      <c r="C75" s="7">
        <f>CEO!C75+CS!C75+CFO!C75+LLA!C75+'C&amp;E'!C75+CES!C75+LLT!C75+GB!C75</f>
        <v>12241.688</v>
      </c>
      <c r="D75" s="7">
        <f>CEO!D75+CS!D75+CFO!D75+LLA!D75+'C&amp;E'!D75+CES!D75+LLT!D75+GB!D75</f>
        <v>12241.688</v>
      </c>
      <c r="E75" s="7">
        <f>CEO!E75+CS!E75+CFO!E75+LLA!E75+'C&amp;E'!E75+CES!E75+LLT!E75+GB!E75</f>
        <v>12241.688</v>
      </c>
      <c r="F75" s="7">
        <f>CEO!F75+CS!F75+CFO!F75+LLA!F75+'C&amp;E'!F75+CES!F75+LLT!F75+GB!F75</f>
        <v>12241.688</v>
      </c>
      <c r="G75" s="7">
        <f>CEO!G75+CS!G75+CFO!G75+LLA!G75+'C&amp;E'!G75+CES!G75+LLT!G75+GB!G75</f>
        <v>12241.688</v>
      </c>
      <c r="H75" s="7">
        <f>CEO!H75+CS!H75+CFO!H75+LLA!H75+'C&amp;E'!H75+CES!H75+LLT!H75+GB!H75</f>
        <v>12241.688</v>
      </c>
      <c r="I75" s="7">
        <f>CEO!I75+CS!I75+CFO!I75+LLA!I75+'C&amp;E'!I75+CES!I75+LLT!I75+GB!I75</f>
        <v>12241.688</v>
      </c>
      <c r="J75" s="7">
        <f>CEO!J75+CS!J75+CFO!J75+LLA!J75+'C&amp;E'!J75+CES!J75+LLT!J75+GB!J75</f>
        <v>12241.688</v>
      </c>
      <c r="K75" s="7">
        <f>CEO!K75+CS!K75+CFO!K75+LLA!K75+'C&amp;E'!K75+CES!K75+LLT!K75+GB!K75</f>
        <v>12241.688</v>
      </c>
      <c r="L75" s="7">
        <f>CEO!L75+CS!L75+CFO!L75+LLA!L75+'C&amp;E'!L75+CES!L75+LLT!L75+GB!L75</f>
        <v>12244.688</v>
      </c>
      <c r="M75" s="13" t="s">
        <v>468</v>
      </c>
      <c r="N75" s="7">
        <f t="shared" si="46"/>
        <v>0</v>
      </c>
      <c r="O75" s="7">
        <f t="shared" si="47"/>
        <v>146903.25599999996</v>
      </c>
      <c r="P75" s="7">
        <f t="shared" si="51"/>
        <v>146903.25599999996</v>
      </c>
      <c r="Q75" s="7">
        <f>CEO!Q75+CS!Q75+CFO!Q75+LLA!Q75+'C&amp;E'!Q75+CES!Q75+LLT!Q75+GB!Q75</f>
        <v>146903.25599999996</v>
      </c>
      <c r="R75" s="7">
        <f t="shared" si="48"/>
        <v>0</v>
      </c>
      <c r="S75" s="7">
        <v>-34087</v>
      </c>
      <c r="T75" s="7">
        <f>CEO!T75+CS!T75+CFO!T75+LLA!T75+'C&amp;E'!T75+CES!T75+LLT!T75+GB!T75</f>
        <v>-9320.1090000000004</v>
      </c>
      <c r="U75" s="7">
        <f t="shared" si="53"/>
        <v>103496.14699999997</v>
      </c>
      <c r="V75" s="7">
        <f t="shared" si="52"/>
        <v>-43407.108999999997</v>
      </c>
      <c r="W75" s="7"/>
      <c r="X75" s="159">
        <f t="shared" si="54"/>
        <v>0</v>
      </c>
      <c r="Y75" s="7">
        <f t="shared" si="49"/>
        <v>-146903.25599999996</v>
      </c>
      <c r="Z75" s="7">
        <v>146902.87600000002</v>
      </c>
      <c r="AA75" s="7">
        <f t="shared" si="50"/>
        <v>153807.31117200002</v>
      </c>
      <c r="AC75" s="295">
        <f t="shared" si="32"/>
        <v>0.37999999994644895</v>
      </c>
    </row>
    <row r="76" spans="1:29" x14ac:dyDescent="0.3">
      <c r="A76" s="7">
        <f>CEO!A76+CS!A76+CFO!A76+LLA!A76+'C&amp;E'!A76+CES!A76+LLT!A76+GB!A76</f>
        <v>2356.9520000000002</v>
      </c>
      <c r="B76" s="7">
        <f>CEO!B76+CS!B76+CFO!B76+LLA!B76+'C&amp;E'!B76+CES!B76+LLT!B76+GB!B76</f>
        <v>2356.9520000000002</v>
      </c>
      <c r="C76" s="7">
        <f>CEO!C76+CS!C76+CFO!C76+LLA!C76+'C&amp;E'!C76+CES!C76+LLT!C76+GB!C76</f>
        <v>2356.9520000000002</v>
      </c>
      <c r="D76" s="7">
        <f>CEO!D76+CS!D76+CFO!D76+LLA!D76+'C&amp;E'!D76+CES!D76+LLT!D76+GB!D76</f>
        <v>2356.9520000000002</v>
      </c>
      <c r="E76" s="7">
        <f>CEO!E76+CS!E76+CFO!E76+LLA!E76+'C&amp;E'!E76+CES!E76+LLT!E76+GB!E76</f>
        <v>2356.9520000000002</v>
      </c>
      <c r="F76" s="7">
        <f>CEO!F76+CS!F76+CFO!F76+LLA!F76+'C&amp;E'!F76+CES!F76+LLT!F76+GB!F76</f>
        <v>2356.9520000000002</v>
      </c>
      <c r="G76" s="7">
        <f>CEO!G76+CS!G76+CFO!G76+LLA!G76+'C&amp;E'!G76+CES!G76+LLT!G76+GB!G76</f>
        <v>2356.9520000000002</v>
      </c>
      <c r="H76" s="7">
        <f>CEO!H76+CS!H76+CFO!H76+LLA!H76+'C&amp;E'!H76+CES!H76+LLT!H76+GB!H76</f>
        <v>2356.9520000000002</v>
      </c>
      <c r="I76" s="7">
        <f>CEO!I76+CS!I76+CFO!I76+LLA!I76+'C&amp;E'!I76+CES!I76+LLT!I76+GB!I76</f>
        <v>2356.9520000000002</v>
      </c>
      <c r="J76" s="7">
        <f>CEO!J76+CS!J76+CFO!J76+LLA!J76+'C&amp;E'!J76+CES!J76+LLT!J76+GB!J76</f>
        <v>2356.9520000000002</v>
      </c>
      <c r="K76" s="7">
        <f>CEO!K76+CS!K76+CFO!K76+LLA!K76+'C&amp;E'!K76+CES!K76+LLT!K76+GB!K76</f>
        <v>2356.9520000000002</v>
      </c>
      <c r="L76" s="7">
        <f>CEO!L76+CS!L76+CFO!L76+LLA!L76+'C&amp;E'!L76+CES!L76+LLT!L76+GB!L76</f>
        <v>2352.9520000000002</v>
      </c>
      <c r="M76" s="13" t="s">
        <v>469</v>
      </c>
      <c r="N76" s="7">
        <f t="shared" si="46"/>
        <v>0</v>
      </c>
      <c r="O76" s="7">
        <f t="shared" si="47"/>
        <v>28279.42400000001</v>
      </c>
      <c r="P76" s="7">
        <f t="shared" si="51"/>
        <v>28279.42400000001</v>
      </c>
      <c r="Q76" s="7">
        <f>CEO!Q76+CS!Q76+CFO!Q76+LLA!Q76+'C&amp;E'!Q76+CES!Q76+LLT!Q76+GB!Q76</f>
        <v>28279.42400000001</v>
      </c>
      <c r="R76" s="7">
        <f t="shared" si="48"/>
        <v>0</v>
      </c>
      <c r="S76" s="7">
        <v>4399</v>
      </c>
      <c r="T76" s="7">
        <f>CEO!T76+CS!T76+CFO!T76+LLA!T76+'C&amp;E'!T76+CES!T76+LLT!T76+GB!T76</f>
        <v>9320.1089999999967</v>
      </c>
      <c r="U76" s="7">
        <f t="shared" si="53"/>
        <v>41998.53300000001</v>
      </c>
      <c r="V76" s="7">
        <f t="shared" si="52"/>
        <v>13719.109</v>
      </c>
      <c r="W76" s="7"/>
      <c r="X76" s="159">
        <f t="shared" si="54"/>
        <v>0</v>
      </c>
      <c r="Y76" s="7">
        <f t="shared" si="49"/>
        <v>-28279.42400000001</v>
      </c>
      <c r="Z76" s="7">
        <v>28278.969999999998</v>
      </c>
      <c r="AA76" s="7">
        <f t="shared" si="50"/>
        <v>29608.081589999994</v>
      </c>
      <c r="AC76" s="295">
        <f t="shared" si="32"/>
        <v>0.45400000001245644</v>
      </c>
    </row>
    <row r="77" spans="1:29" x14ac:dyDescent="0.3">
      <c r="A77" s="7">
        <f>CEO!A77+CS!A77+CFO!A77+LLA!A77+'C&amp;E'!A77+CES!A77+LLT!A77+GB!A77</f>
        <v>0</v>
      </c>
      <c r="B77" s="7">
        <f>CEO!B77+CS!B77+CFO!B77+LLA!B77+'C&amp;E'!B77+CES!B77+LLT!B77+GB!B77</f>
        <v>0</v>
      </c>
      <c r="C77" s="7">
        <f>CEO!C77+CS!C77+CFO!C77+LLA!C77+'C&amp;E'!C77+CES!C77+LLT!C77+GB!C77</f>
        <v>0</v>
      </c>
      <c r="D77" s="7">
        <f>CEO!D77+CS!D77+CFO!D77+LLA!D77+'C&amp;E'!D77+CES!D77+LLT!D77+GB!D77</f>
        <v>0</v>
      </c>
      <c r="E77" s="7">
        <f>CEO!E77+CS!E77+CFO!E77+LLA!E77+'C&amp;E'!E77+CES!E77+LLT!E77+GB!E77</f>
        <v>0</v>
      </c>
      <c r="F77" s="7">
        <f>CEO!F77+CS!F77+CFO!F77+LLA!F77+'C&amp;E'!F77+CES!F77+LLT!F77+GB!F77</f>
        <v>0</v>
      </c>
      <c r="G77" s="7">
        <f>CEO!G77+CS!G77+CFO!G77+LLA!G77+'C&amp;E'!G77+CES!G77+LLT!G77+GB!G77</f>
        <v>0</v>
      </c>
      <c r="H77" s="7">
        <f>CEO!H77+CS!H77+CFO!H77+LLA!H77+'C&amp;E'!H77+CES!H77+LLT!H77+GB!H77</f>
        <v>0</v>
      </c>
      <c r="I77" s="7">
        <f>CEO!I77+CS!I77+CFO!I77+LLA!I77+'C&amp;E'!I77+CES!I77+LLT!I77+GB!I77</f>
        <v>0</v>
      </c>
      <c r="J77" s="7">
        <f>CEO!J77+CS!J77+CFO!J77+LLA!J77+'C&amp;E'!J77+CES!J77+LLT!J77+GB!J77</f>
        <v>0</v>
      </c>
      <c r="K77" s="7">
        <f>CEO!K77+CS!K77+CFO!K77+LLA!K77+'C&amp;E'!K77+CES!K77+LLT!K77+GB!K77</f>
        <v>0</v>
      </c>
      <c r="L77" s="7">
        <f>CEO!L77+CS!L77+CFO!L77+LLA!L77+'C&amp;E'!L77+CES!L77+LLT!L77+GB!L77</f>
        <v>0</v>
      </c>
      <c r="M77" s="13" t="s">
        <v>470</v>
      </c>
      <c r="N77" s="7">
        <f t="shared" si="46"/>
        <v>0</v>
      </c>
      <c r="O77" s="7">
        <f t="shared" si="47"/>
        <v>0</v>
      </c>
      <c r="P77" s="7">
        <f t="shared" si="51"/>
        <v>0</v>
      </c>
      <c r="Q77" s="7">
        <f>CEO!Q77+CS!Q77+CFO!Q77+LLA!Q77+'C&amp;E'!Q77+CES!Q77+LLT!Q77+GB!Q77</f>
        <v>0</v>
      </c>
      <c r="R77" s="7">
        <f t="shared" si="48"/>
        <v>0</v>
      </c>
      <c r="S77" s="7">
        <v>0</v>
      </c>
      <c r="T77" s="7">
        <f>CEO!T77+CS!T77+CFO!T77+LLA!T77+'C&amp;E'!T77+CES!T77+LLT!T77+GB!T77</f>
        <v>0</v>
      </c>
      <c r="U77" s="7">
        <f t="shared" si="53"/>
        <v>0</v>
      </c>
      <c r="V77" s="7">
        <f t="shared" si="52"/>
        <v>0</v>
      </c>
      <c r="W77" s="7"/>
      <c r="X77" s="159">
        <f t="shared" si="54"/>
        <v>0</v>
      </c>
      <c r="Y77" s="7">
        <f t="shared" si="49"/>
        <v>0</v>
      </c>
      <c r="Z77" s="7">
        <v>0</v>
      </c>
      <c r="AA77" s="7">
        <f t="shared" si="50"/>
        <v>0</v>
      </c>
      <c r="AC77" s="295">
        <f t="shared" si="32"/>
        <v>0</v>
      </c>
    </row>
    <row r="78" spans="1:29" x14ac:dyDescent="0.3">
      <c r="A78" s="7">
        <f>CEO!A78+CS!A78+CFO!A78+LLA!A78+'C&amp;E'!A78+CES!A78+LLT!A78+GB!A78</f>
        <v>0</v>
      </c>
      <c r="B78" s="7">
        <f>CEO!B78+CS!B78+CFO!B78+LLA!B78+'C&amp;E'!B78+CES!B78+LLT!B78+GB!B78</f>
        <v>0</v>
      </c>
      <c r="C78" s="7">
        <f>CEO!C78+CS!C78+CFO!C78+LLA!C78+'C&amp;E'!C78+CES!C78+LLT!C78+GB!C78</f>
        <v>0</v>
      </c>
      <c r="D78" s="7">
        <f>CEO!D78+CS!D78+CFO!D78+LLA!D78+'C&amp;E'!D78+CES!D78+LLT!D78+GB!D78</f>
        <v>0</v>
      </c>
      <c r="E78" s="7">
        <f>CEO!E78+CS!E78+CFO!E78+LLA!E78+'C&amp;E'!E78+CES!E78+LLT!E78+GB!E78</f>
        <v>0</v>
      </c>
      <c r="F78" s="7">
        <f>CEO!F78+CS!F78+CFO!F78+LLA!F78+'C&amp;E'!F78+CES!F78+LLT!F78+GB!F78</f>
        <v>0</v>
      </c>
      <c r="G78" s="7">
        <f>CEO!G78+CS!G78+CFO!G78+LLA!G78+'C&amp;E'!G78+CES!G78+LLT!G78+GB!G78</f>
        <v>0</v>
      </c>
      <c r="H78" s="7">
        <f>CEO!H78+CS!H78+CFO!H78+LLA!H78+'C&amp;E'!H78+CES!H78+LLT!H78+GB!H78</f>
        <v>0</v>
      </c>
      <c r="I78" s="7">
        <f>CEO!I78+CS!I78+CFO!I78+LLA!I78+'C&amp;E'!I78+CES!I78+LLT!I78+GB!I78</f>
        <v>0</v>
      </c>
      <c r="J78" s="7">
        <f>CEO!J78+CS!J78+CFO!J78+LLA!J78+'C&amp;E'!J78+CES!J78+LLT!J78+GB!J78</f>
        <v>0</v>
      </c>
      <c r="K78" s="7">
        <f>CEO!K78+CS!K78+CFO!K78+LLA!K78+'C&amp;E'!K78+CES!K78+LLT!K78+GB!K78</f>
        <v>0</v>
      </c>
      <c r="L78" s="7">
        <f>CEO!L78+CS!L78+CFO!L78+LLA!L78+'C&amp;E'!L78+CES!L78+LLT!L78+GB!L78</f>
        <v>0</v>
      </c>
      <c r="M78" s="13" t="s">
        <v>471</v>
      </c>
      <c r="N78" s="7">
        <f t="shared" si="46"/>
        <v>0</v>
      </c>
      <c r="O78" s="7">
        <f t="shared" si="47"/>
        <v>0</v>
      </c>
      <c r="P78" s="7">
        <f t="shared" si="51"/>
        <v>0</v>
      </c>
      <c r="Q78" s="7">
        <f>CEO!Q78+CS!Q78+CFO!Q78+LLA!Q78+'C&amp;E'!Q78+CES!Q78+LLT!Q78+GB!Q78</f>
        <v>0</v>
      </c>
      <c r="R78" s="7">
        <f t="shared" si="48"/>
        <v>0</v>
      </c>
      <c r="S78" s="7">
        <v>0</v>
      </c>
      <c r="T78" s="7">
        <f>CEO!T78+CS!T78+CFO!T78+LLA!T78+'C&amp;E'!T78+CES!T78+LLT!T78+GB!T78</f>
        <v>0</v>
      </c>
      <c r="U78" s="7">
        <f t="shared" si="53"/>
        <v>0</v>
      </c>
      <c r="V78" s="7">
        <f t="shared" si="52"/>
        <v>0</v>
      </c>
      <c r="W78" s="7"/>
      <c r="X78" s="159">
        <f t="shared" si="54"/>
        <v>0</v>
      </c>
      <c r="Y78" s="7">
        <f t="shared" si="49"/>
        <v>0</v>
      </c>
      <c r="Z78" s="7">
        <v>0</v>
      </c>
      <c r="AA78" s="7">
        <f t="shared" si="50"/>
        <v>0</v>
      </c>
      <c r="AC78" s="295">
        <f t="shared" si="32"/>
        <v>0</v>
      </c>
    </row>
    <row r="79" spans="1:29" x14ac:dyDescent="0.3">
      <c r="A79" s="7">
        <f>CEO!A79+CS!A79+CFO!A79+LLA!A79+'C&amp;E'!A79+CES!A79+LLT!A79+GB!A79</f>
        <v>8732.9840000000004</v>
      </c>
      <c r="B79" s="7">
        <f>CEO!B79+CS!B79+CFO!B79+LLA!B79+'C&amp;E'!B79+CES!B79+LLT!B79+GB!B79</f>
        <v>8732.9840000000004</v>
      </c>
      <c r="C79" s="7">
        <f>CEO!C79+CS!C79+CFO!C79+LLA!C79+'C&amp;E'!C79+CES!C79+LLT!C79+GB!C79</f>
        <v>8732.9840000000004</v>
      </c>
      <c r="D79" s="7">
        <f>CEO!D79+CS!D79+CFO!D79+LLA!D79+'C&amp;E'!D79+CES!D79+LLT!D79+GB!D79</f>
        <v>8732.9840000000004</v>
      </c>
      <c r="E79" s="7">
        <f>CEO!E79+CS!E79+CFO!E79+LLA!E79+'C&amp;E'!E79+CES!E79+LLT!E79+GB!E79</f>
        <v>8732.9840000000004</v>
      </c>
      <c r="F79" s="7">
        <f>CEO!F79+CS!F79+CFO!F79+LLA!F79+'C&amp;E'!F79+CES!F79+LLT!F79+GB!F79</f>
        <v>8732.9840000000004</v>
      </c>
      <c r="G79" s="7">
        <f>CEO!G79+CS!G79+CFO!G79+LLA!G79+'C&amp;E'!G79+CES!G79+LLT!G79+GB!G79</f>
        <v>8732.9840000000004</v>
      </c>
      <c r="H79" s="7">
        <f>CEO!H79+CS!H79+CFO!H79+LLA!H79+'C&amp;E'!H79+CES!H79+LLT!H79+GB!H79</f>
        <v>8732.9840000000004</v>
      </c>
      <c r="I79" s="7">
        <f>CEO!I79+CS!I79+CFO!I79+LLA!I79+'C&amp;E'!I79+CES!I79+LLT!I79+GB!I79</f>
        <v>8732.9840000000004</v>
      </c>
      <c r="J79" s="7">
        <f>CEO!J79+CS!J79+CFO!J79+LLA!J79+'C&amp;E'!J79+CES!J79+LLT!J79+GB!J79</f>
        <v>8732.9840000000004</v>
      </c>
      <c r="K79" s="7">
        <f>CEO!K79+CS!K79+CFO!K79+LLA!K79+'C&amp;E'!K79+CES!K79+LLT!K79+GB!K79</f>
        <v>8732.9840000000004</v>
      </c>
      <c r="L79" s="7">
        <f>CEO!L79+CS!L79+CFO!L79+LLA!L79+'C&amp;E'!L79+CES!L79+LLT!L79+GB!L79</f>
        <v>8736.9840000000004</v>
      </c>
      <c r="M79" s="13" t="s">
        <v>472</v>
      </c>
      <c r="N79" s="7">
        <f t="shared" si="46"/>
        <v>0</v>
      </c>
      <c r="O79" s="7">
        <f t="shared" si="47"/>
        <v>104799.80799999998</v>
      </c>
      <c r="P79" s="7">
        <f t="shared" si="51"/>
        <v>104799.80799999998</v>
      </c>
      <c r="Q79" s="7">
        <f>CEO!Q79+CS!Q79+CFO!Q79+LLA!Q79+'C&amp;E'!Q79+CES!Q79+LLT!Q79+GB!Q79</f>
        <v>104799.80799999998</v>
      </c>
      <c r="R79" s="7">
        <f t="shared" si="48"/>
        <v>0</v>
      </c>
      <c r="S79" s="7">
        <v>0</v>
      </c>
      <c r="T79" s="7">
        <f>CEO!T79+CS!T79+CFO!T79+LLA!T79+'C&amp;E'!T79+CES!T79+LLT!T79+GB!T79</f>
        <v>0</v>
      </c>
      <c r="U79" s="7">
        <f t="shared" si="53"/>
        <v>104799.80799999998</v>
      </c>
      <c r="V79" s="7">
        <f t="shared" si="52"/>
        <v>0</v>
      </c>
      <c r="W79" s="7"/>
      <c r="X79" s="159">
        <f t="shared" si="54"/>
        <v>0</v>
      </c>
      <c r="Y79" s="7">
        <f t="shared" si="49"/>
        <v>-104799.80799999998</v>
      </c>
      <c r="Z79" s="7">
        <v>104800</v>
      </c>
      <c r="AA79" s="7">
        <f t="shared" si="50"/>
        <v>109725.59999999999</v>
      </c>
      <c r="AC79" s="295">
        <f t="shared" si="32"/>
        <v>-0.19200000002456363</v>
      </c>
    </row>
    <row r="80" spans="1:29" x14ac:dyDescent="0.3">
      <c r="A80" s="7">
        <f>CEO!A80+CS!A80+CFO!A80+LLA!A80+'C&amp;E'!A80+CES!A80+LLT!A80+GB!A80</f>
        <v>0</v>
      </c>
      <c r="B80" s="7">
        <f>CEO!B80+CS!B80+CFO!B80+LLA!B80+'C&amp;E'!B80+CES!B80+LLT!B80+GB!B80</f>
        <v>0</v>
      </c>
      <c r="C80" s="7">
        <f>CEO!C80+CS!C80+CFO!C80+LLA!C80+'C&amp;E'!C80+CES!C80+LLT!C80+GB!C80</f>
        <v>0</v>
      </c>
      <c r="D80" s="7">
        <f>CEO!D80+CS!D80+CFO!D80+LLA!D80+'C&amp;E'!D80+CES!D80+LLT!D80+GB!D80</f>
        <v>0</v>
      </c>
      <c r="E80" s="7">
        <f>CEO!E80+CS!E80+CFO!E80+LLA!E80+'C&amp;E'!E80+CES!E80+LLT!E80+GB!E80</f>
        <v>0</v>
      </c>
      <c r="F80" s="7">
        <f>CEO!F80+CS!F80+CFO!F80+LLA!F80+'C&amp;E'!F80+CES!F80+LLT!F80+GB!F80</f>
        <v>0</v>
      </c>
      <c r="G80" s="7">
        <f>CEO!G80+CS!G80+CFO!G80+LLA!G80+'C&amp;E'!G80+CES!G80+LLT!G80+GB!G80</f>
        <v>0</v>
      </c>
      <c r="H80" s="7">
        <f>CEO!H80+CS!H80+CFO!H80+LLA!H80+'C&amp;E'!H80+CES!H80+LLT!H80+GB!H80</f>
        <v>0</v>
      </c>
      <c r="I80" s="7">
        <f>CEO!I80+CS!I80+CFO!I80+LLA!I80+'C&amp;E'!I80+CES!I80+LLT!I80+GB!I80</f>
        <v>0</v>
      </c>
      <c r="J80" s="7">
        <f>CEO!J80+CS!J80+CFO!J80+LLA!J80+'C&amp;E'!J80+CES!J80+LLT!J80+GB!J80</f>
        <v>0</v>
      </c>
      <c r="K80" s="7">
        <f>CEO!K80+CS!K80+CFO!K80+LLA!K80+'C&amp;E'!K80+CES!K80+LLT!K80+GB!K80</f>
        <v>0</v>
      </c>
      <c r="L80" s="7">
        <f>CEO!L80+CS!L80+CFO!L80+LLA!L80+'C&amp;E'!L80+CES!L80+LLT!L80+GB!L80</f>
        <v>0</v>
      </c>
      <c r="M80" s="13" t="s">
        <v>145</v>
      </c>
      <c r="N80" s="7">
        <f t="shared" si="46"/>
        <v>0</v>
      </c>
      <c r="O80" s="7">
        <f t="shared" si="47"/>
        <v>0</v>
      </c>
      <c r="P80" s="7">
        <f t="shared" si="51"/>
        <v>0</v>
      </c>
      <c r="Q80" s="7">
        <f>CEO!Q80+CS!Q80+CFO!Q80+LLA!Q80+'C&amp;E'!Q80+CES!Q80+LLT!Q80+GB!Q80</f>
        <v>0</v>
      </c>
      <c r="R80" s="7">
        <f t="shared" si="48"/>
        <v>0</v>
      </c>
      <c r="S80" s="7">
        <v>0</v>
      </c>
      <c r="T80" s="7">
        <f>CEO!T80+CS!T80+CFO!T80+LLA!T80+'C&amp;E'!T80+CES!T80+LLT!T80+GB!T80</f>
        <v>0</v>
      </c>
      <c r="U80" s="7">
        <f t="shared" si="53"/>
        <v>0</v>
      </c>
      <c r="V80" s="7">
        <f t="shared" si="52"/>
        <v>0</v>
      </c>
      <c r="W80" s="7"/>
      <c r="X80" s="159">
        <f t="shared" si="54"/>
        <v>0</v>
      </c>
      <c r="Y80" s="7">
        <f t="shared" si="49"/>
        <v>0</v>
      </c>
      <c r="Z80" s="7">
        <v>0</v>
      </c>
      <c r="AA80" s="7">
        <f t="shared" si="50"/>
        <v>0</v>
      </c>
      <c r="AC80" s="295">
        <f t="shared" si="32"/>
        <v>0</v>
      </c>
    </row>
    <row r="81" spans="1:29" x14ac:dyDescent="0.3">
      <c r="A81" s="7">
        <f>CEO!A81+CS!A81+CFO!A81+LLA!A81+'C&amp;E'!A81+CES!A81+LLT!A81+GB!A81</f>
        <v>0</v>
      </c>
      <c r="B81" s="7">
        <f>CEO!B81+CS!B81+CFO!B81+LLA!B81+'C&amp;E'!B81+CES!B81+LLT!B81+GB!B81</f>
        <v>0</v>
      </c>
      <c r="C81" s="7">
        <f>CEO!C81+CS!C81+CFO!C81+LLA!C81+'C&amp;E'!C81+CES!C81+LLT!C81+GB!C81</f>
        <v>0</v>
      </c>
      <c r="D81" s="7">
        <f>CEO!D81+CS!D81+CFO!D81+LLA!D81+'C&amp;E'!D81+CES!D81+LLT!D81+GB!D81</f>
        <v>0</v>
      </c>
      <c r="E81" s="7">
        <f>CEO!E81+CS!E81+CFO!E81+LLA!E81+'C&amp;E'!E81+CES!E81+LLT!E81+GB!E81</f>
        <v>13355.712</v>
      </c>
      <c r="F81" s="7">
        <f>CEO!F81+CS!F81+CFO!F81+LLA!F81+'C&amp;E'!F81+CES!F81+LLT!F81+GB!F81</f>
        <v>0</v>
      </c>
      <c r="G81" s="7">
        <f>CEO!G81+CS!G81+CFO!G81+LLA!G81+'C&amp;E'!G81+CES!G81+LLT!G81+GB!G81</f>
        <v>62198.75808</v>
      </c>
      <c r="H81" s="7">
        <f>CEO!H81+CS!H81+CFO!H81+LLA!H81+'C&amp;E'!H81+CES!H81+LLT!H81+GB!H81</f>
        <v>0</v>
      </c>
      <c r="I81" s="7">
        <f>CEO!I81+CS!I81+CFO!I81+LLA!I81+'C&amp;E'!I81+CES!I81+LLT!I81+GB!I81</f>
        <v>0</v>
      </c>
      <c r="J81" s="7">
        <f>CEO!J81+CS!J81+CFO!J81+LLA!J81+'C&amp;E'!J81+CES!J81+LLT!J81+GB!J81</f>
        <v>0</v>
      </c>
      <c r="K81" s="7">
        <f>CEO!K81+CS!K81+CFO!K81+LLA!K81+'C&amp;E'!K81+CES!K81+LLT!K81+GB!K81</f>
        <v>32121.200000000001</v>
      </c>
      <c r="L81" s="7">
        <f>CEO!L81+CS!L81+CFO!L81+LLA!L81+'C&amp;E'!L81+CES!L81+LLT!L81+GB!L81</f>
        <v>18366.2</v>
      </c>
      <c r="M81" s="385" t="s">
        <v>473</v>
      </c>
      <c r="N81" s="7">
        <f t="shared" si="46"/>
        <v>0</v>
      </c>
      <c r="O81" s="7">
        <f t="shared" si="47"/>
        <v>126041.87007999999</v>
      </c>
      <c r="P81" s="7">
        <f t="shared" si="51"/>
        <v>126041.87007999999</v>
      </c>
      <c r="Q81" s="7">
        <f>CEO!Q81+CS!Q81+CFO!Q81+LLA!Q81+'C&amp;E'!Q81+CES!Q81+LLT!Q81+GB!Q81</f>
        <v>126041.87007999999</v>
      </c>
      <c r="R81" s="7">
        <f t="shared" si="48"/>
        <v>0</v>
      </c>
      <c r="S81" s="7">
        <v>-4646</v>
      </c>
      <c r="T81" s="7">
        <f>CEO!T81+CS!T81+CFO!T81+LLA!T81+'C&amp;E'!T81+CES!T81+LLT!T81+GB!T81</f>
        <v>-48974.99</v>
      </c>
      <c r="U81" s="7">
        <f t="shared" si="53"/>
        <v>72420.880080000003</v>
      </c>
      <c r="V81" s="7">
        <f t="shared" si="52"/>
        <v>-53620.989999999991</v>
      </c>
      <c r="W81" s="7"/>
      <c r="X81" s="159">
        <f t="shared" si="54"/>
        <v>0</v>
      </c>
      <c r="Y81" s="7">
        <f t="shared" si="49"/>
        <v>-126041.87007999999</v>
      </c>
      <c r="Z81" s="7">
        <v>126041.47184000009</v>
      </c>
      <c r="AA81" s="7">
        <f t="shared" si="50"/>
        <v>131965.42101648008</v>
      </c>
      <c r="AC81" s="295">
        <f t="shared" si="32"/>
        <v>0.39823999990767334</v>
      </c>
    </row>
    <row r="82" spans="1:29" x14ac:dyDescent="0.3">
      <c r="A82" s="7">
        <f>CEO!A82+CS!A82+CFO!A82+LLA!A82+'C&amp;E'!A82+CES!A82+LLT!A82+GB!A82</f>
        <v>126291.33600000001</v>
      </c>
      <c r="B82" s="7">
        <f>CEO!B82+CS!B82+CFO!B82+LLA!B82+'C&amp;E'!B82+CES!B82+LLT!B82+GB!B82</f>
        <v>126291.33600000001</v>
      </c>
      <c r="C82" s="7">
        <f>CEO!C82+CS!C82+CFO!C82+LLA!C82+'C&amp;E'!C82+CES!C82+LLT!C82+GB!C82</f>
        <v>126291.33600000001</v>
      </c>
      <c r="D82" s="7">
        <f>CEO!D82+CS!D82+CFO!D82+LLA!D82+'C&amp;E'!D82+CES!D82+LLT!D82+GB!D82</f>
        <v>126291.33600000001</v>
      </c>
      <c r="E82" s="7">
        <f>CEO!E82+CS!E82+CFO!E82+LLA!E82+'C&amp;E'!E82+CES!E82+LLT!E82+GB!E82</f>
        <v>126291.33600000001</v>
      </c>
      <c r="F82" s="7">
        <f>CEO!F82+CS!F82+CFO!F82+LLA!F82+'C&amp;E'!F82+CES!F82+LLT!F82+GB!F82</f>
        <v>126291.33600000001</v>
      </c>
      <c r="G82" s="7">
        <f>CEO!G82+CS!G82+CFO!G82+LLA!G82+'C&amp;E'!G82+CES!G82+LLT!G82+GB!G82</f>
        <v>126291.33600000001</v>
      </c>
      <c r="H82" s="7">
        <f>CEO!H82+CS!H82+CFO!H82+LLA!H82+'C&amp;E'!H82+CES!H82+LLT!H82+GB!H82</f>
        <v>126291.33600000001</v>
      </c>
      <c r="I82" s="7">
        <f>CEO!I82+CS!I82+CFO!I82+LLA!I82+'C&amp;E'!I82+CES!I82+LLT!I82+GB!I82</f>
        <v>126291.33600000001</v>
      </c>
      <c r="J82" s="7">
        <f>CEO!J82+CS!J82+CFO!J82+LLA!J82+'C&amp;E'!J82+CES!J82+LLT!J82+GB!J82</f>
        <v>126291.33600000001</v>
      </c>
      <c r="K82" s="7">
        <f>CEO!K82+CS!K82+CFO!K82+LLA!K82+'C&amp;E'!K82+CES!K82+LLT!K82+GB!K82</f>
        <v>126291.33600000001</v>
      </c>
      <c r="L82" s="7">
        <f>CEO!L82+CS!L82+CFO!L82+LLA!L82+'C&amp;E'!L82+CES!L82+LLT!L82+GB!L82</f>
        <v>126291.33600000001</v>
      </c>
      <c r="M82" s="385" t="s">
        <v>474</v>
      </c>
      <c r="N82" s="7">
        <f t="shared" si="46"/>
        <v>0</v>
      </c>
      <c r="O82" s="7">
        <f t="shared" si="47"/>
        <v>1515496.0320000006</v>
      </c>
      <c r="P82" s="7">
        <f t="shared" si="51"/>
        <v>1515496.0320000006</v>
      </c>
      <c r="Q82" s="7">
        <f>CEO!Q82+CS!Q82+CFO!Q82+LLA!Q82+'C&amp;E'!Q82+CES!Q82+LLT!Q82+GB!Q82</f>
        <v>1515496.0320000006</v>
      </c>
      <c r="R82" s="7">
        <f t="shared" si="48"/>
        <v>0</v>
      </c>
      <c r="S82" s="7">
        <v>141340.00000000003</v>
      </c>
      <c r="T82" s="7">
        <f>CEO!T82+CS!T82+CFO!T82+LLA!T82+'C&amp;E'!T82+CES!T82+LLT!T82+GB!T82</f>
        <v>281269</v>
      </c>
      <c r="U82" s="7">
        <f t="shared" si="53"/>
        <v>1938105.0320000006</v>
      </c>
      <c r="V82" s="7">
        <f t="shared" si="52"/>
        <v>422609</v>
      </c>
      <c r="W82" s="7"/>
      <c r="X82" s="159">
        <f t="shared" si="54"/>
        <v>0</v>
      </c>
      <c r="Y82" s="7">
        <f t="shared" si="49"/>
        <v>-1515496.0320000006</v>
      </c>
      <c r="Z82" s="7">
        <v>1515495.8264473763</v>
      </c>
      <c r="AA82" s="7">
        <f t="shared" si="50"/>
        <v>1586724.1302904028</v>
      </c>
      <c r="AC82" s="295">
        <f t="shared" si="32"/>
        <v>0.2055526243057102</v>
      </c>
    </row>
    <row r="83" spans="1:29" x14ac:dyDescent="0.3">
      <c r="A83" s="7">
        <f>CEO!A83+CS!A83+CFO!A83+LLA!A83+'C&amp;E'!A83+CES!A83+LLT!A83+GB!A83</f>
        <v>0</v>
      </c>
      <c r="B83" s="7">
        <f>CEO!B83+CS!B83+CFO!B83+LLA!B83+'C&amp;E'!B83+CES!B83+LLT!B83+GB!B83</f>
        <v>0</v>
      </c>
      <c r="C83" s="7">
        <f>CEO!C83+CS!C83+CFO!C83+LLA!C83+'C&amp;E'!C83+CES!C83+LLT!C83+GB!C83</f>
        <v>0</v>
      </c>
      <c r="D83" s="7">
        <f>CEO!D83+CS!D83+CFO!D83+LLA!D83+'C&amp;E'!D83+CES!D83+LLT!D83+GB!D83</f>
        <v>0</v>
      </c>
      <c r="E83" s="7">
        <f>CEO!E83+CS!E83+CFO!E83+LLA!E83+'C&amp;E'!E83+CES!E83+LLT!E83+GB!E83</f>
        <v>0</v>
      </c>
      <c r="F83" s="7">
        <f>CEO!F83+CS!F83+CFO!F83+LLA!F83+'C&amp;E'!F83+CES!F83+LLT!F83+GB!F83</f>
        <v>0</v>
      </c>
      <c r="G83" s="7">
        <f>CEO!G83+CS!G83+CFO!G83+LLA!G83+'C&amp;E'!G83+CES!G83+LLT!G83+GB!G83</f>
        <v>0</v>
      </c>
      <c r="H83" s="7">
        <f>CEO!H83+CS!H83+CFO!H83+LLA!H83+'C&amp;E'!H83+CES!H83+LLT!H83+GB!H83</f>
        <v>0</v>
      </c>
      <c r="I83" s="7">
        <f>CEO!I83+CS!I83+CFO!I83+LLA!I83+'C&amp;E'!I83+CES!I83+LLT!I83+GB!I83</f>
        <v>0</v>
      </c>
      <c r="J83" s="7">
        <f>CEO!J83+CS!J83+CFO!J83+LLA!J83+'C&amp;E'!J83+CES!J83+LLT!J83+GB!J83</f>
        <v>0</v>
      </c>
      <c r="K83" s="7">
        <f>CEO!K83+CS!K83+CFO!K83+LLA!K83+'C&amp;E'!K83+CES!K83+LLT!K83+GB!K83</f>
        <v>0</v>
      </c>
      <c r="L83" s="7">
        <f>CEO!L83+CS!L83+CFO!L83+LLA!L83+'C&amp;E'!L83+CES!L83+LLT!L83+GB!L83</f>
        <v>0</v>
      </c>
      <c r="M83" s="385" t="s">
        <v>148</v>
      </c>
      <c r="N83" s="7">
        <f t="shared" si="46"/>
        <v>0</v>
      </c>
      <c r="O83" s="7">
        <f t="shared" si="47"/>
        <v>0</v>
      </c>
      <c r="P83" s="7">
        <f t="shared" si="51"/>
        <v>0</v>
      </c>
      <c r="Q83" s="7">
        <f>CEO!Q83+CS!Q83+CFO!Q83+LLA!Q83+'C&amp;E'!Q83+CES!Q83+LLT!Q83+GB!Q83</f>
        <v>0</v>
      </c>
      <c r="R83" s="7">
        <f t="shared" si="48"/>
        <v>0</v>
      </c>
      <c r="S83" s="7">
        <v>0</v>
      </c>
      <c r="T83" s="7">
        <f>CEO!T83+CS!T83+CFO!T83+LLA!T83+'C&amp;E'!T83+CES!T83+LLT!T83+GB!T83</f>
        <v>0</v>
      </c>
      <c r="U83" s="7">
        <f t="shared" si="53"/>
        <v>0</v>
      </c>
      <c r="V83" s="7">
        <f t="shared" si="52"/>
        <v>0</v>
      </c>
      <c r="W83" s="7"/>
      <c r="X83" s="159">
        <f t="shared" si="54"/>
        <v>0</v>
      </c>
      <c r="Y83" s="7">
        <f t="shared" si="49"/>
        <v>0</v>
      </c>
      <c r="Z83" s="7">
        <v>0</v>
      </c>
      <c r="AA83" s="7">
        <f t="shared" si="50"/>
        <v>0</v>
      </c>
      <c r="AC83" s="295">
        <f t="shared" si="32"/>
        <v>0</v>
      </c>
    </row>
    <row r="84" spans="1:29" x14ac:dyDescent="0.3">
      <c r="A84" s="7">
        <f>CEO!A84+CS!A84+CFO!A84+LLA!A84+'C&amp;E'!A84+CES!A84+LLT!A84+GB!A84</f>
        <v>0</v>
      </c>
      <c r="B84" s="7">
        <f>CEO!B84+CS!B84+CFO!B84+LLA!B84+'C&amp;E'!B84+CES!B84+LLT!B84+GB!B84</f>
        <v>0</v>
      </c>
      <c r="C84" s="7">
        <f>CEO!C84+CS!C84+CFO!C84+LLA!C84+'C&amp;E'!C84+CES!C84+LLT!C84+GB!C84</f>
        <v>0</v>
      </c>
      <c r="D84" s="7">
        <f>CEO!D84+CS!D84+CFO!D84+LLA!D84+'C&amp;E'!D84+CES!D84+LLT!D84+GB!D84</f>
        <v>0</v>
      </c>
      <c r="E84" s="7">
        <f>CEO!E84+CS!E84+CFO!E84+LLA!E84+'C&amp;E'!E84+CES!E84+LLT!E84+GB!E84</f>
        <v>0</v>
      </c>
      <c r="F84" s="7">
        <f>CEO!F84+CS!F84+CFO!F84+LLA!F84+'C&amp;E'!F84+CES!F84+LLT!F84+GB!F84</f>
        <v>0</v>
      </c>
      <c r="G84" s="7">
        <f>CEO!G84+CS!G84+CFO!G84+LLA!G84+'C&amp;E'!G84+CES!G84+LLT!G84+GB!G84</f>
        <v>0</v>
      </c>
      <c r="H84" s="7">
        <f>CEO!H84+CS!H84+CFO!H84+LLA!H84+'C&amp;E'!H84+CES!H84+LLT!H84+GB!H84</f>
        <v>0</v>
      </c>
      <c r="I84" s="7">
        <f>CEO!I84+CS!I84+CFO!I84+LLA!I84+'C&amp;E'!I84+CES!I84+LLT!I84+GB!I84</f>
        <v>0</v>
      </c>
      <c r="J84" s="7">
        <f>CEO!J84+CS!J84+CFO!J84+LLA!J84+'C&amp;E'!J84+CES!J84+LLT!J84+GB!J84</f>
        <v>0</v>
      </c>
      <c r="K84" s="7">
        <f>CEO!K84+CS!K84+CFO!K84+LLA!K84+'C&amp;E'!K84+CES!K84+LLT!K84+GB!K84</f>
        <v>0</v>
      </c>
      <c r="L84" s="7">
        <f>CEO!L84+CS!L84+CFO!L84+LLA!L84+'C&amp;E'!L84+CES!L84+LLT!L84+GB!L84</f>
        <v>0</v>
      </c>
      <c r="M84" s="13" t="s">
        <v>475</v>
      </c>
      <c r="N84" s="7">
        <f t="shared" si="46"/>
        <v>0</v>
      </c>
      <c r="O84" s="7">
        <f t="shared" si="47"/>
        <v>0</v>
      </c>
      <c r="P84" s="7">
        <f t="shared" si="51"/>
        <v>0</v>
      </c>
      <c r="Q84" s="7">
        <f>CEO!Q84+CS!Q84+CFO!Q84+LLA!Q84+'C&amp;E'!Q84+CES!Q84+LLT!Q84+GB!Q84</f>
        <v>0</v>
      </c>
      <c r="R84" s="7">
        <f t="shared" si="48"/>
        <v>0</v>
      </c>
      <c r="S84" s="7">
        <v>0</v>
      </c>
      <c r="T84" s="7">
        <f>CEO!T84+CS!T84+CFO!T84+LLA!T84+'C&amp;E'!T84+CES!T84+LLT!T84+GB!T84</f>
        <v>0</v>
      </c>
      <c r="U84" s="7">
        <f t="shared" si="53"/>
        <v>0</v>
      </c>
      <c r="V84" s="7">
        <f t="shared" si="52"/>
        <v>0</v>
      </c>
      <c r="W84" s="7"/>
      <c r="X84" s="159">
        <f t="shared" si="54"/>
        <v>0</v>
      </c>
      <c r="Y84" s="7">
        <f t="shared" si="49"/>
        <v>0</v>
      </c>
      <c r="Z84" s="7">
        <v>0</v>
      </c>
      <c r="AA84" s="7">
        <f t="shared" si="50"/>
        <v>0</v>
      </c>
      <c r="AC84" s="295">
        <f t="shared" si="32"/>
        <v>0</v>
      </c>
    </row>
    <row r="85" spans="1:29" x14ac:dyDescent="0.3">
      <c r="A85" s="7">
        <f>CEO!A85+CS!A85+CFO!A85+LLA!A85+'C&amp;E'!A85+CES!A85+LLT!A85+GB!A85</f>
        <v>0</v>
      </c>
      <c r="B85" s="7">
        <f>CEO!B85+CS!B85+CFO!B85+LLA!B85+'C&amp;E'!B85+CES!B85+LLT!B85+GB!B85</f>
        <v>0</v>
      </c>
      <c r="C85" s="7">
        <f>CEO!C85+CS!C85+CFO!C85+LLA!C85+'C&amp;E'!C85+CES!C85+LLT!C85+GB!C85</f>
        <v>0</v>
      </c>
      <c r="D85" s="7">
        <f>CEO!D85+CS!D85+CFO!D85+LLA!D85+'C&amp;E'!D85+CES!D85+LLT!D85+GB!D85</f>
        <v>0</v>
      </c>
      <c r="E85" s="7">
        <f>CEO!E85+CS!E85+CFO!E85+LLA!E85+'C&amp;E'!E85+CES!E85+LLT!E85+GB!E85</f>
        <v>0</v>
      </c>
      <c r="F85" s="7">
        <f>CEO!F85+CS!F85+CFO!F85+LLA!F85+'C&amp;E'!F85+CES!F85+LLT!F85+GB!F85</f>
        <v>0</v>
      </c>
      <c r="G85" s="7">
        <f>CEO!G85+CS!G85+CFO!G85+LLA!G85+'C&amp;E'!G85+CES!G85+LLT!G85+GB!G85</f>
        <v>0</v>
      </c>
      <c r="H85" s="7">
        <f>CEO!H85+CS!H85+CFO!H85+LLA!H85+'C&amp;E'!H85+CES!H85+LLT!H85+GB!H85</f>
        <v>0</v>
      </c>
      <c r="I85" s="7">
        <f>CEO!I85+CS!I85+CFO!I85+LLA!I85+'C&amp;E'!I85+CES!I85+LLT!I85+GB!I85</f>
        <v>0</v>
      </c>
      <c r="J85" s="7">
        <f>CEO!J85+CS!J85+CFO!J85+LLA!J85+'C&amp;E'!J85+CES!J85+LLT!J85+GB!J85</f>
        <v>0</v>
      </c>
      <c r="K85" s="7">
        <f>CEO!K85+CS!K85+CFO!K85+LLA!K85+'C&amp;E'!K85+CES!K85+LLT!K85+GB!K85</f>
        <v>0</v>
      </c>
      <c r="L85" s="7">
        <f>CEO!L85+CS!L85+CFO!L85+LLA!L85+'C&amp;E'!L85+CES!L85+LLT!L85+GB!L85</f>
        <v>0</v>
      </c>
      <c r="M85" s="13" t="s">
        <v>476</v>
      </c>
      <c r="N85" s="7">
        <f t="shared" si="46"/>
        <v>0</v>
      </c>
      <c r="O85" s="7">
        <f t="shared" si="47"/>
        <v>0</v>
      </c>
      <c r="P85" s="7">
        <f t="shared" si="51"/>
        <v>0</v>
      </c>
      <c r="Q85" s="7">
        <f>CEO!Q85+CS!Q85+CFO!Q85+LLA!Q85+'C&amp;E'!Q85+CES!Q85+LLT!Q85+GB!Q85</f>
        <v>0</v>
      </c>
      <c r="R85" s="7">
        <f t="shared" si="48"/>
        <v>0</v>
      </c>
      <c r="S85" s="7">
        <v>16103.362572296999</v>
      </c>
      <c r="T85" s="7">
        <f>CEO!T85+CS!T85+CFO!T85+LLA!T85+'C&amp;E'!T85+CES!T85+LLT!T85+GB!T85</f>
        <v>0</v>
      </c>
      <c r="U85" s="7">
        <f t="shared" si="53"/>
        <v>16103.362572296999</v>
      </c>
      <c r="V85" s="7">
        <f t="shared" si="52"/>
        <v>16103.362572296999</v>
      </c>
      <c r="W85" s="7"/>
      <c r="X85" s="159">
        <f t="shared" si="54"/>
        <v>0</v>
      </c>
      <c r="Y85" s="7">
        <f t="shared" si="49"/>
        <v>0</v>
      </c>
      <c r="Z85" s="7">
        <v>0</v>
      </c>
      <c r="AA85" s="7">
        <f t="shared" si="50"/>
        <v>0</v>
      </c>
      <c r="AC85" s="295">
        <f t="shared" si="32"/>
        <v>0</v>
      </c>
    </row>
    <row r="86" spans="1:29" x14ac:dyDescent="0.3">
      <c r="A86" s="7">
        <f>CEO!A86+CS!A86+CFO!A86+LLA!A86+'C&amp;E'!A86+CES!A86+LLT!A86+GB!A86</f>
        <v>0</v>
      </c>
      <c r="B86" s="7">
        <f>CEO!B86+CS!B86+CFO!B86+LLA!B86+'C&amp;E'!B86+CES!B86+LLT!B86+GB!B86</f>
        <v>0</v>
      </c>
      <c r="C86" s="7">
        <f>CEO!C86+CS!C86+CFO!C86+LLA!C86+'C&amp;E'!C86+CES!C86+LLT!C86+GB!C86</f>
        <v>0</v>
      </c>
      <c r="D86" s="7">
        <f>CEO!D86+CS!D86+CFO!D86+LLA!D86+'C&amp;E'!D86+CES!D86+LLT!D86+GB!D86</f>
        <v>0</v>
      </c>
      <c r="E86" s="7">
        <f>CEO!E86+CS!E86+CFO!E86+LLA!E86+'C&amp;E'!E86+CES!E86+LLT!E86+GB!E86</f>
        <v>0</v>
      </c>
      <c r="F86" s="7">
        <f>CEO!F86+CS!F86+CFO!F86+LLA!F86+'C&amp;E'!F86+CES!F86+LLT!F86+GB!F86</f>
        <v>0</v>
      </c>
      <c r="G86" s="7">
        <f>CEO!G86+CS!G86+CFO!G86+LLA!G86+'C&amp;E'!G86+CES!G86+LLT!G86+GB!G86</f>
        <v>0</v>
      </c>
      <c r="H86" s="7">
        <f>CEO!H86+CS!H86+CFO!H86+LLA!H86+'C&amp;E'!H86+CES!H86+LLT!H86+GB!H86</f>
        <v>0</v>
      </c>
      <c r="I86" s="7">
        <f>CEO!I86+CS!I86+CFO!I86+LLA!I86+'C&amp;E'!I86+CES!I86+LLT!I86+GB!I86</f>
        <v>0</v>
      </c>
      <c r="J86" s="7">
        <f>CEO!J86+CS!J86+CFO!J86+LLA!J86+'C&amp;E'!J86+CES!J86+LLT!J86+GB!J86</f>
        <v>0</v>
      </c>
      <c r="K86" s="7">
        <f>CEO!K86+CS!K86+CFO!K86+LLA!K86+'C&amp;E'!K86+CES!K86+LLT!K86+GB!K86</f>
        <v>0</v>
      </c>
      <c r="L86" s="7">
        <f>CEO!L86+CS!L86+CFO!L86+LLA!L86+'C&amp;E'!L86+CES!L86+LLT!L86+GB!L86</f>
        <v>0</v>
      </c>
      <c r="M86" s="13" t="s">
        <v>151</v>
      </c>
      <c r="N86" s="7">
        <f t="shared" si="46"/>
        <v>0</v>
      </c>
      <c r="O86" s="7">
        <f t="shared" si="47"/>
        <v>0</v>
      </c>
      <c r="P86" s="7">
        <f t="shared" si="51"/>
        <v>0</v>
      </c>
      <c r="Q86" s="7">
        <f>CEO!Q86+CS!Q86+CFO!Q86+LLA!Q86+'C&amp;E'!Q86+CES!Q86+LLT!Q86+GB!Q86</f>
        <v>0</v>
      </c>
      <c r="R86" s="7">
        <f t="shared" si="48"/>
        <v>0</v>
      </c>
      <c r="S86" s="7">
        <v>0</v>
      </c>
      <c r="T86" s="7">
        <f>CEO!T86+CS!T86+CFO!T86+LLA!T86+'C&amp;E'!T86+CES!T86+LLT!T86+GB!T86</f>
        <v>0</v>
      </c>
      <c r="U86" s="7">
        <f t="shared" si="53"/>
        <v>0</v>
      </c>
      <c r="V86" s="7">
        <f t="shared" si="52"/>
        <v>0</v>
      </c>
      <c r="W86" s="7"/>
      <c r="X86" s="159">
        <f t="shared" si="54"/>
        <v>0</v>
      </c>
      <c r="Y86" s="7">
        <f t="shared" si="49"/>
        <v>0</v>
      </c>
      <c r="Z86" s="7">
        <v>0</v>
      </c>
      <c r="AA86" s="7">
        <f t="shared" si="50"/>
        <v>0</v>
      </c>
      <c r="AC86" s="295">
        <f t="shared" si="32"/>
        <v>0</v>
      </c>
    </row>
    <row r="87" spans="1:29" x14ac:dyDescent="0.3">
      <c r="A87" s="7">
        <f>CEO!A87+CS!A87+CFO!A87+LLA!A87+'C&amp;E'!A87+CES!A87+LLT!A87+GB!A87</f>
        <v>4318.808</v>
      </c>
      <c r="B87" s="7">
        <f>CEO!B87+CS!B87+CFO!B87+LLA!B87+'C&amp;E'!B87+CES!B87+LLT!B87+GB!B87</f>
        <v>4318.808</v>
      </c>
      <c r="C87" s="7">
        <f>CEO!C87+CS!C87+CFO!C87+LLA!C87+'C&amp;E'!C87+CES!C87+LLT!C87+GB!C87</f>
        <v>4318.808</v>
      </c>
      <c r="D87" s="7">
        <f>CEO!D87+CS!D87+CFO!D87+LLA!D87+'C&amp;E'!D87+CES!D87+LLT!D87+GB!D87</f>
        <v>4318.808</v>
      </c>
      <c r="E87" s="7">
        <f>CEO!E87+CS!E87+CFO!E87+LLA!E87+'C&amp;E'!E87+CES!E87+LLT!E87+GB!E87</f>
        <v>4318.808</v>
      </c>
      <c r="F87" s="7">
        <f>CEO!F87+CS!F87+CFO!F87+LLA!F87+'C&amp;E'!F87+CES!F87+LLT!F87+GB!F87</f>
        <v>4318.808</v>
      </c>
      <c r="G87" s="7">
        <f>CEO!G87+CS!G87+CFO!G87+LLA!G87+'C&amp;E'!G87+CES!G87+LLT!G87+GB!G87</f>
        <v>4318.808</v>
      </c>
      <c r="H87" s="7">
        <f>CEO!H87+CS!H87+CFO!H87+LLA!H87+'C&amp;E'!H87+CES!H87+LLT!H87+GB!H87</f>
        <v>4318.808</v>
      </c>
      <c r="I87" s="7">
        <f>CEO!I87+CS!I87+CFO!I87+LLA!I87+'C&amp;E'!I87+CES!I87+LLT!I87+GB!I87</f>
        <v>4318.808</v>
      </c>
      <c r="J87" s="7">
        <f>CEO!J87+CS!J87+CFO!J87+LLA!J87+'C&amp;E'!J87+CES!J87+LLT!J87+GB!J87</f>
        <v>4318.808</v>
      </c>
      <c r="K87" s="7">
        <f>CEO!K87+CS!K87+CFO!K87+LLA!K87+'C&amp;E'!K87+CES!K87+LLT!K87+GB!K87</f>
        <v>4318.808</v>
      </c>
      <c r="L87" s="7">
        <f>CEO!L87+CS!L87+CFO!L87+LLA!L87+'C&amp;E'!L87+CES!L87+LLT!L87+GB!L87</f>
        <v>4318.808</v>
      </c>
      <c r="M87" s="13" t="s">
        <v>477</v>
      </c>
      <c r="N87" s="7">
        <f t="shared" si="46"/>
        <v>0</v>
      </c>
      <c r="O87" s="7">
        <f t="shared" si="47"/>
        <v>51825.695999999989</v>
      </c>
      <c r="P87" s="7">
        <f t="shared" si="51"/>
        <v>51825.695999999989</v>
      </c>
      <c r="Q87" s="7">
        <f>CEO!Q87+CS!Q87+CFO!Q87+LLA!Q87+'C&amp;E'!Q87+CES!Q87+LLT!Q87+GB!Q87</f>
        <v>51825.695999999989</v>
      </c>
      <c r="R87" s="7">
        <f t="shared" si="48"/>
        <v>0</v>
      </c>
      <c r="S87" s="7">
        <v>100000</v>
      </c>
      <c r="T87" s="7">
        <f>CEO!T87+CS!T87+CFO!T87+LLA!T87+'C&amp;E'!T87+CES!T87+LLT!T87+GB!T87</f>
        <v>19393</v>
      </c>
      <c r="U87" s="7">
        <f t="shared" si="53"/>
        <v>171218.696</v>
      </c>
      <c r="V87" s="7">
        <f t="shared" si="52"/>
        <v>119393</v>
      </c>
      <c r="W87" s="7"/>
      <c r="X87" s="159">
        <f t="shared" si="54"/>
        <v>0</v>
      </c>
      <c r="Y87" s="7">
        <f t="shared" si="49"/>
        <v>-51825.695999999989</v>
      </c>
      <c r="Z87" s="7">
        <v>51825.696000000004</v>
      </c>
      <c r="AA87" s="7">
        <f t="shared" si="50"/>
        <v>54261.503711999998</v>
      </c>
      <c r="AC87" s="295">
        <f t="shared" si="32"/>
        <v>0</v>
      </c>
    </row>
    <row r="88" spans="1:29" x14ac:dyDescent="0.3">
      <c r="A88" s="7">
        <f>CEO!A88+CS!A88+CFO!A88+LLA!A88+'C&amp;E'!A88+CES!A88+LLT!A88+GB!A88</f>
        <v>0</v>
      </c>
      <c r="B88" s="7">
        <f>CEO!B88+CS!B88+CFO!B88+LLA!B88+'C&amp;E'!B88+CES!B88+LLT!B88+GB!B88</f>
        <v>0</v>
      </c>
      <c r="C88" s="7">
        <f>CEO!C88+CS!C88+CFO!C88+LLA!C88+'C&amp;E'!C88+CES!C88+LLT!C88+GB!C88</f>
        <v>0</v>
      </c>
      <c r="D88" s="7">
        <f>CEO!D88+CS!D88+CFO!D88+LLA!D88+'C&amp;E'!D88+CES!D88+LLT!D88+GB!D88</f>
        <v>0</v>
      </c>
      <c r="E88" s="7">
        <f>CEO!E88+CS!E88+CFO!E88+LLA!E88+'C&amp;E'!E88+CES!E88+LLT!E88+GB!E88</f>
        <v>0</v>
      </c>
      <c r="F88" s="7">
        <f>CEO!F88+CS!F88+CFO!F88+LLA!F88+'C&amp;E'!F88+CES!F88+LLT!F88+GB!F88</f>
        <v>0</v>
      </c>
      <c r="G88" s="7">
        <f>CEO!G88+CS!G88+CFO!G88+LLA!G88+'C&amp;E'!G88+CES!G88+LLT!G88+GB!G88</f>
        <v>0</v>
      </c>
      <c r="H88" s="7">
        <f>CEO!H88+CS!H88+CFO!H88+LLA!H88+'C&amp;E'!H88+CES!H88+LLT!H88+GB!H88</f>
        <v>0</v>
      </c>
      <c r="I88" s="7">
        <f>CEO!I88+CS!I88+CFO!I88+LLA!I88+'C&amp;E'!I88+CES!I88+LLT!I88+GB!I88</f>
        <v>0</v>
      </c>
      <c r="J88" s="7">
        <f>CEO!J88+CS!J88+CFO!J88+LLA!J88+'C&amp;E'!J88+CES!J88+LLT!J88+GB!J88</f>
        <v>0</v>
      </c>
      <c r="K88" s="7">
        <f>CEO!K88+CS!K88+CFO!K88+LLA!K88+'C&amp;E'!K88+CES!K88+LLT!K88+GB!K88</f>
        <v>0</v>
      </c>
      <c r="L88" s="7">
        <f>CEO!L88+CS!L88+CFO!L88+LLA!L88+'C&amp;E'!L88+CES!L88+LLT!L88+GB!L88</f>
        <v>0</v>
      </c>
      <c r="M88" s="13" t="s">
        <v>478</v>
      </c>
      <c r="N88" s="7">
        <f t="shared" si="46"/>
        <v>0</v>
      </c>
      <c r="O88" s="7">
        <f t="shared" si="47"/>
        <v>0</v>
      </c>
      <c r="P88" s="7">
        <f t="shared" si="51"/>
        <v>0</v>
      </c>
      <c r="Q88" s="7">
        <f>CEO!Q88+CS!Q88+CFO!Q88+LLA!Q88+'C&amp;E'!Q88+CES!Q88+LLT!Q88+GB!Q88</f>
        <v>0</v>
      </c>
      <c r="R88" s="7">
        <f t="shared" si="48"/>
        <v>0</v>
      </c>
      <c r="S88" s="7">
        <v>-16103.362572296999</v>
      </c>
      <c r="T88" s="7">
        <f>CEO!T88+CS!T88+CFO!T88+LLA!T88+'C&amp;E'!T88+CES!T88+LLT!T88+GB!T88</f>
        <v>0</v>
      </c>
      <c r="U88" s="7">
        <f t="shared" si="53"/>
        <v>-16103.362572296999</v>
      </c>
      <c r="V88" s="7">
        <f t="shared" si="52"/>
        <v>-16103.362572296999</v>
      </c>
      <c r="W88" s="7"/>
      <c r="X88" s="159">
        <f t="shared" si="54"/>
        <v>0</v>
      </c>
      <c r="Y88" s="7">
        <f t="shared" si="49"/>
        <v>0</v>
      </c>
      <c r="Z88" s="7">
        <v>0</v>
      </c>
      <c r="AA88" s="7">
        <f t="shared" si="50"/>
        <v>0</v>
      </c>
      <c r="AC88" s="295">
        <f t="shared" si="32"/>
        <v>0</v>
      </c>
    </row>
    <row r="89" spans="1:29" x14ac:dyDescent="0.3">
      <c r="A89" s="11">
        <f>CEO!A89+CS!A89+CFO!A89+LLA!A89+'C&amp;E'!A89+CES!A89+LLT!A89+GB!A89</f>
        <v>0</v>
      </c>
      <c r="B89" s="11">
        <f>CEO!B89+CS!B89+CFO!B89+LLA!B89+'C&amp;E'!B89+CES!B89+LLT!B89+GB!B89</f>
        <v>0</v>
      </c>
      <c r="C89" s="11">
        <f>CEO!C89+CS!C89+CFO!C89+LLA!C89+'C&amp;E'!C89+CES!C89+LLT!C89+GB!C89</f>
        <v>0</v>
      </c>
      <c r="D89" s="11">
        <f>CEO!D89+CS!D89+CFO!D89+LLA!D89+'C&amp;E'!D89+CES!D89+LLT!D89+GB!D89</f>
        <v>0</v>
      </c>
      <c r="E89" s="11">
        <f>CEO!E89+CS!E89+CFO!E89+LLA!E89+'C&amp;E'!E89+CES!E89+LLT!E89+GB!E89</f>
        <v>0</v>
      </c>
      <c r="F89" s="11">
        <f>CEO!F89+CS!F89+CFO!F89+LLA!F89+'C&amp;E'!F89+CES!F89+LLT!F89+GB!F89</f>
        <v>0</v>
      </c>
      <c r="G89" s="11">
        <f>CEO!G89+CS!G89+CFO!G89+LLA!G89+'C&amp;E'!G89+CES!G89+LLT!G89+GB!G89</f>
        <v>0</v>
      </c>
      <c r="H89" s="11">
        <f>CEO!H89+CS!H89+CFO!H89+LLA!H89+'C&amp;E'!H89+CES!H89+LLT!H89+GB!H89</f>
        <v>0</v>
      </c>
      <c r="I89" s="11">
        <f>CEO!I89+CS!I89+CFO!I89+LLA!I89+'C&amp;E'!I89+CES!I89+LLT!I89+GB!I89</f>
        <v>0</v>
      </c>
      <c r="J89" s="11">
        <f>CEO!J89+CS!J89+CFO!J89+LLA!J89+'C&amp;E'!J89+CES!J89+LLT!J89+GB!J89</f>
        <v>0</v>
      </c>
      <c r="K89" s="11">
        <f>CEO!K89+CS!K89+CFO!K89+LLA!K89+'C&amp;E'!K89+CES!K89+LLT!K89+GB!K89</f>
        <v>0</v>
      </c>
      <c r="L89" s="11">
        <f>CEO!L89+CS!L89+CFO!L89+LLA!L89+'C&amp;E'!L89+CES!L89+LLT!L89+GB!L89</f>
        <v>0</v>
      </c>
      <c r="M89" s="385" t="s">
        <v>479</v>
      </c>
      <c r="N89" s="11">
        <f t="shared" si="46"/>
        <v>0</v>
      </c>
      <c r="O89" s="11">
        <f t="shared" si="47"/>
        <v>0</v>
      </c>
      <c r="P89" s="11">
        <f t="shared" si="51"/>
        <v>0</v>
      </c>
      <c r="Q89" s="11">
        <f>CEO!Q89+CS!Q89+CFO!Q89+LLA!Q89+'C&amp;E'!Q89+CES!Q89+LLT!Q89+GB!Q89</f>
        <v>0</v>
      </c>
      <c r="R89" s="11">
        <f t="shared" si="48"/>
        <v>0</v>
      </c>
      <c r="S89" s="11">
        <v>0</v>
      </c>
      <c r="T89" s="11">
        <f>CEO!T89+CS!T89+CFO!T89+LLA!T89+'C&amp;E'!T89+CES!T89+LLT!T89+GB!T89</f>
        <v>0</v>
      </c>
      <c r="U89" s="11">
        <f t="shared" si="53"/>
        <v>0</v>
      </c>
      <c r="V89" s="11">
        <f t="shared" si="52"/>
        <v>0</v>
      </c>
      <c r="W89" s="11"/>
      <c r="X89" s="160">
        <f t="shared" si="54"/>
        <v>0</v>
      </c>
      <c r="Y89" s="11">
        <f t="shared" si="49"/>
        <v>0</v>
      </c>
      <c r="Z89" s="11">
        <v>0</v>
      </c>
      <c r="AA89" s="11">
        <f t="shared" si="50"/>
        <v>0</v>
      </c>
      <c r="AC89" s="295">
        <f t="shared" si="32"/>
        <v>0</v>
      </c>
    </row>
    <row r="90" spans="1:29" ht="4.2" customHeight="1" thickBot="1" x14ac:dyDescent="0.35">
      <c r="A90" s="93"/>
      <c r="B90" s="93"/>
      <c r="C90" s="93"/>
      <c r="D90" s="94"/>
      <c r="E90" s="91"/>
      <c r="F90" s="91"/>
      <c r="G90" s="91"/>
      <c r="H90" s="91"/>
      <c r="I90" s="91"/>
      <c r="J90" s="91"/>
      <c r="K90" s="91"/>
      <c r="L90" s="91"/>
      <c r="M90" s="13"/>
      <c r="N90" s="91">
        <f t="shared" ref="N90:N128" si="55">SUM(A90:J90)</f>
        <v>0</v>
      </c>
      <c r="O90" s="91">
        <f t="shared" ref="O90:O128" si="56">SUM(K90:L90)</f>
        <v>0</v>
      </c>
      <c r="P90" s="91">
        <f t="shared" si="51"/>
        <v>0</v>
      </c>
      <c r="Q90" s="91"/>
      <c r="R90" s="91">
        <f t="shared" ref="R90:R103" si="57">P90-Q90</f>
        <v>0</v>
      </c>
      <c r="S90" s="91">
        <v>0</v>
      </c>
      <c r="T90" s="93">
        <f>CEO!T90+CS!T90+CFO!T90+LLA!T90+'C&amp;E'!T90+CES!T90+LLT!T90+GB!T90</f>
        <v>0</v>
      </c>
      <c r="U90" s="93">
        <f t="shared" si="53"/>
        <v>0</v>
      </c>
      <c r="V90" s="93">
        <f t="shared" si="52"/>
        <v>0</v>
      </c>
      <c r="W90" s="93"/>
      <c r="X90" s="208">
        <f t="shared" si="54"/>
        <v>0</v>
      </c>
      <c r="Y90" s="91">
        <f t="shared" ref="Y90:Y130" si="58">Q90-X90</f>
        <v>0</v>
      </c>
      <c r="Z90" s="91"/>
      <c r="AA90" s="91"/>
      <c r="AC90" s="295">
        <f t="shared" si="32"/>
        <v>0</v>
      </c>
    </row>
    <row r="91" spans="1:29" x14ac:dyDescent="0.3">
      <c r="A91" s="4">
        <f>SUM(A67:A89)</f>
        <v>582780.91044629994</v>
      </c>
      <c r="B91" s="4">
        <f>SUM(B67:B89)</f>
        <v>582780.91044629994</v>
      </c>
      <c r="C91" s="4">
        <f t="shared" ref="C91:L91" si="59">SUM(C67:C89)</f>
        <v>639786.8704462999</v>
      </c>
      <c r="D91" s="4">
        <f t="shared" si="59"/>
        <v>582780.91044629994</v>
      </c>
      <c r="E91" s="4">
        <f t="shared" si="59"/>
        <v>596136.6224463</v>
      </c>
      <c r="F91" s="4">
        <f t="shared" si="59"/>
        <v>944978.95044629998</v>
      </c>
      <c r="G91" s="4">
        <f t="shared" si="59"/>
        <v>644979.6685263</v>
      </c>
      <c r="H91" s="4">
        <f t="shared" si="59"/>
        <v>582780.91044629994</v>
      </c>
      <c r="I91" s="4">
        <f t="shared" si="59"/>
        <v>582780.91044629994</v>
      </c>
      <c r="J91" s="4">
        <f t="shared" si="59"/>
        <v>582780.91044629994</v>
      </c>
      <c r="K91" s="4">
        <f>SUM(K67:K89)</f>
        <v>614902.11044630001</v>
      </c>
      <c r="L91" s="4">
        <f t="shared" si="59"/>
        <v>601184.11044630001</v>
      </c>
      <c r="M91" s="13" t="s">
        <v>155</v>
      </c>
      <c r="N91" s="4">
        <f t="shared" ref="N91:O91" si="60">SUM(N67:N89)</f>
        <v>0</v>
      </c>
      <c r="O91" s="4">
        <f t="shared" si="60"/>
        <v>7538653.7954355991</v>
      </c>
      <c r="P91" s="4">
        <f t="shared" ref="P91" si="61">SUM(P67:P89)</f>
        <v>7538653.7954355991</v>
      </c>
      <c r="Q91" s="4">
        <f>SUM(Q67:Q89)</f>
        <v>7538653.7954355991</v>
      </c>
      <c r="R91" s="4">
        <f t="shared" ref="R91:S91" si="62">SUM(R67:R89)</f>
        <v>0</v>
      </c>
      <c r="S91" s="4">
        <f t="shared" si="62"/>
        <v>198663.00000000006</v>
      </c>
      <c r="T91" s="4">
        <f>CEO!T91+CS!T91+CFO!T91+LLA!T91+'C&amp;E'!T91+CES!T91+LLT!T91+GB!T91</f>
        <v>421210.01</v>
      </c>
      <c r="U91" s="4">
        <f t="shared" si="53"/>
        <v>8158526.8054355988</v>
      </c>
      <c r="V91" s="4">
        <f t="shared" si="52"/>
        <v>619873.00999999978</v>
      </c>
      <c r="W91" s="4"/>
      <c r="X91" s="162">
        <f t="shared" si="54"/>
        <v>0</v>
      </c>
      <c r="Y91" s="4">
        <f t="shared" si="58"/>
        <v>7538653.7954355991</v>
      </c>
      <c r="Z91" s="4">
        <f>SUM(Z67:Z89)</f>
        <v>7538652.8652994009</v>
      </c>
      <c r="AA91" s="4">
        <f>SUM(AA67:AA89)</f>
        <v>7892969.5499684718</v>
      </c>
      <c r="AC91" s="295">
        <f t="shared" si="32"/>
        <v>0.93013619817793369</v>
      </c>
    </row>
    <row r="92" spans="1:29" x14ac:dyDescent="0.3">
      <c r="A92" s="81"/>
      <c r="B92" s="81"/>
      <c r="C92" s="81"/>
      <c r="D92" s="82"/>
      <c r="E92" s="86"/>
      <c r="F92" s="86"/>
      <c r="G92" s="86"/>
      <c r="H92" s="86"/>
      <c r="I92" s="86"/>
      <c r="J92" s="86"/>
      <c r="K92" s="86"/>
      <c r="L92" s="86"/>
      <c r="M92" s="80"/>
      <c r="N92" s="86">
        <f t="shared" si="55"/>
        <v>0</v>
      </c>
      <c r="O92" s="86">
        <f t="shared" si="56"/>
        <v>0</v>
      </c>
      <c r="P92" s="86">
        <f t="shared" si="51"/>
        <v>0</v>
      </c>
      <c r="Q92" s="86"/>
      <c r="R92" s="86">
        <f t="shared" si="57"/>
        <v>0</v>
      </c>
      <c r="S92" s="86">
        <v>0</v>
      </c>
      <c r="T92" s="81">
        <f>CEO!T92+CS!T92+CFO!T92+LLA!T92+'C&amp;E'!T92+CES!T92+LLT!T92+GB!T92</f>
        <v>0</v>
      </c>
      <c r="U92" s="81">
        <f t="shared" si="53"/>
        <v>0</v>
      </c>
      <c r="V92" s="81">
        <f t="shared" si="52"/>
        <v>0</v>
      </c>
      <c r="W92" s="81"/>
      <c r="X92" s="204"/>
      <c r="Y92" s="86">
        <f t="shared" si="58"/>
        <v>0</v>
      </c>
      <c r="Z92" s="86"/>
      <c r="AA92" s="86"/>
    </row>
    <row r="93" spans="1:29" x14ac:dyDescent="0.3">
      <c r="A93" s="8">
        <f>CEO!A93+CS!A93+CFO!A93+LLA!A93+'C&amp;E'!A93+CES!A93+LLT!A93+GB!A93</f>
        <v>5095.3760000000002</v>
      </c>
      <c r="B93" s="8">
        <f>CEO!B93+CS!B93+CFO!B93+LLA!B93+'C&amp;E'!B93+CES!B93+LLT!B93+GB!B93</f>
        <v>3806.3360000000002</v>
      </c>
      <c r="C93" s="8">
        <f>CEO!C93+CS!C93+CFO!C93+LLA!C93+'C&amp;E'!C93+CES!C93+LLT!C93+GB!C93</f>
        <v>5095.3760000000002</v>
      </c>
      <c r="D93" s="8">
        <f>CEO!D93+CS!D93+CFO!D93+LLA!D93+'C&amp;E'!D93+CES!D93+LLT!D93+GB!D93</f>
        <v>3806.3360000000002</v>
      </c>
      <c r="E93" s="8">
        <f>CEO!E93+CS!E93+CFO!E93+LLA!E93+'C&amp;E'!E93+CES!E93+LLT!E93+GB!E93</f>
        <v>3806.3360000000002</v>
      </c>
      <c r="F93" s="8">
        <f>CEO!F93+CS!F93+CFO!F93+LLA!F93+'C&amp;E'!F93+CES!F93+LLT!F93+GB!F93</f>
        <v>3806.3360000000002</v>
      </c>
      <c r="G93" s="8">
        <f>CEO!G93+CS!G93+CFO!G93+LLA!G93+'C&amp;E'!G93+CES!G93+LLT!G93+GB!G93</f>
        <v>3806.3360000000002</v>
      </c>
      <c r="H93" s="8">
        <f>CEO!H93+CS!H93+CFO!H93+LLA!H93+'C&amp;E'!H93+CES!H93+LLT!H93+GB!H93</f>
        <v>3806.3360000000002</v>
      </c>
      <c r="I93" s="8">
        <f>CEO!I93+CS!I93+CFO!I93+LLA!I93+'C&amp;E'!I93+CES!I93+LLT!I93+GB!I93</f>
        <v>3806.3360000000002</v>
      </c>
      <c r="J93" s="8">
        <f>CEO!J93+CS!J93+CFO!J93+LLA!J93+'C&amp;E'!J93+CES!J93+LLT!J93+GB!J93</f>
        <v>3806.3360000000002</v>
      </c>
      <c r="K93" s="8">
        <f>CEO!K93+CS!K93+CFO!K93+LLA!K93+'C&amp;E'!K93+CES!K93+LLT!K93+GB!K93</f>
        <v>3806.3360000000002</v>
      </c>
      <c r="L93" s="8">
        <f>CEO!L93+CS!L93+CFO!L93+LLA!L93+'C&amp;E'!L93+CES!L93+LLT!L93+GB!L93</f>
        <v>168307.08800000002</v>
      </c>
      <c r="M93" s="385" t="s">
        <v>480</v>
      </c>
      <c r="N93" s="8">
        <f t="shared" ref="N93:N100" si="63">SUM(0)</f>
        <v>0</v>
      </c>
      <c r="O93" s="8">
        <f t="shared" ref="O93:O100" si="64">SUM(A93:L93)</f>
        <v>212754.86400000003</v>
      </c>
      <c r="P93" s="8">
        <f t="shared" si="51"/>
        <v>212754.86400000003</v>
      </c>
      <c r="Q93" s="8">
        <f>CEO!Q93+CS!Q93+CFO!Q93+LLA!Q93+'C&amp;E'!Q93+CES!Q93+LLT!Q93+GB!Q93</f>
        <v>212754.864</v>
      </c>
      <c r="R93" s="8">
        <f t="shared" ref="R93:R100" si="65">Q93-P93</f>
        <v>0</v>
      </c>
      <c r="S93" s="8">
        <v>-3791</v>
      </c>
      <c r="T93" s="8">
        <f>CEO!T93+CS!T93+CFO!T93+LLA!T93+'C&amp;E'!T93+CES!T93+LLT!T93+GB!T93</f>
        <v>27372</v>
      </c>
      <c r="U93" s="8">
        <f t="shared" si="53"/>
        <v>236335.864</v>
      </c>
      <c r="V93" s="8">
        <f t="shared" si="52"/>
        <v>23580.999999999971</v>
      </c>
      <c r="W93" s="8"/>
      <c r="X93" s="158">
        <f t="shared" si="54"/>
        <v>0</v>
      </c>
      <c r="Y93" s="8">
        <f t="shared" ref="Y93:Y100" si="66">X93-Q93</f>
        <v>-212754.864</v>
      </c>
      <c r="Z93" s="8">
        <v>212755.045222032</v>
      </c>
      <c r="AA93" s="8">
        <f t="shared" ref="AA93:AA100" si="67">Z93*(1+AA$3)</f>
        <v>222754.5323474675</v>
      </c>
      <c r="AC93" s="295">
        <f t="shared" si="32"/>
        <v>-0.18122203199891374</v>
      </c>
    </row>
    <row r="94" spans="1:29" x14ac:dyDescent="0.3">
      <c r="A94" s="7">
        <f>CEO!A94+CS!A94+CFO!A94+LLA!A94+'C&amp;E'!A94+CES!A94+LLT!A94+GB!A94</f>
        <v>5097.3169212393295</v>
      </c>
      <c r="B94" s="7">
        <f>CEO!B94+CS!B94+CFO!B94+LLA!B94+'C&amp;E'!B94+CES!B94+LLT!B94+GB!B94</f>
        <v>4641.4369212393303</v>
      </c>
      <c r="C94" s="7">
        <f>CEO!C94+CS!C94+CFO!C94+LLA!C94+'C&amp;E'!C94+CES!C94+LLT!C94+GB!C94</f>
        <v>5097.3169212393295</v>
      </c>
      <c r="D94" s="7">
        <f>CEO!D94+CS!D94+CFO!D94+LLA!D94+'C&amp;E'!D94+CES!D94+LLT!D94+GB!D94</f>
        <v>4641.4369212393303</v>
      </c>
      <c r="E94" s="7">
        <f>CEO!E94+CS!E94+CFO!E94+LLA!E94+'C&amp;E'!E94+CES!E94+LLT!E94+GB!E94</f>
        <v>4641.4369212393303</v>
      </c>
      <c r="F94" s="7">
        <f>CEO!F94+CS!F94+CFO!F94+LLA!F94+'C&amp;E'!F94+CES!F94+LLT!F94+GB!F94</f>
        <v>4641.4369212393303</v>
      </c>
      <c r="G94" s="7">
        <f>CEO!G94+CS!G94+CFO!G94+LLA!G94+'C&amp;E'!G94+CES!G94+LLT!G94+GB!G94</f>
        <v>4641.4369212393303</v>
      </c>
      <c r="H94" s="7">
        <f>CEO!H94+CS!H94+CFO!H94+LLA!H94+'C&amp;E'!H94+CES!H94+LLT!H94+GB!H94</f>
        <v>4641.4369212393303</v>
      </c>
      <c r="I94" s="7">
        <f>CEO!I94+CS!I94+CFO!I94+LLA!I94+'C&amp;E'!I94+CES!I94+LLT!I94+GB!I94</f>
        <v>4641.4369212393303</v>
      </c>
      <c r="J94" s="7">
        <f>CEO!J94+CS!J94+CFO!J94+LLA!J94+'C&amp;E'!J94+CES!J94+LLT!J94+GB!J94</f>
        <v>4641.4369212393303</v>
      </c>
      <c r="K94" s="7">
        <f>CEO!K94+CS!K94+CFO!K94+LLA!K94+'C&amp;E'!K94+CES!K94+LLT!K94+GB!K94</f>
        <v>4641.4369212393303</v>
      </c>
      <c r="L94" s="7">
        <f>CEO!L94+CS!L94+CFO!L94+LLA!L94+'C&amp;E'!L94+CES!L94+LLT!L94+GB!L94</f>
        <v>4639.4369212393303</v>
      </c>
      <c r="M94" s="13" t="s">
        <v>481</v>
      </c>
      <c r="N94" s="7">
        <f t="shared" si="63"/>
        <v>0</v>
      </c>
      <c r="O94" s="7">
        <f t="shared" si="64"/>
        <v>56607.003054871951</v>
      </c>
      <c r="P94" s="7">
        <f t="shared" si="51"/>
        <v>56607.003054871951</v>
      </c>
      <c r="Q94" s="7">
        <f>CEO!Q94+CS!Q94+CFO!Q94+LLA!Q94+'C&amp;E'!Q94+CES!Q94+LLT!Q94+GB!Q94</f>
        <v>56607.003054871966</v>
      </c>
      <c r="R94" s="7">
        <f t="shared" si="65"/>
        <v>0</v>
      </c>
      <c r="S94" s="7">
        <v>0</v>
      </c>
      <c r="T94" s="7">
        <f>CEO!T94+CS!T94+CFO!T94+LLA!T94+'C&amp;E'!T94+CES!T94+LLT!T94+GB!T94</f>
        <v>870</v>
      </c>
      <c r="U94" s="7">
        <f t="shared" si="53"/>
        <v>57477.003054871966</v>
      </c>
      <c r="V94" s="7">
        <f t="shared" si="52"/>
        <v>870.00000000001455</v>
      </c>
      <c r="W94" s="7"/>
      <c r="X94" s="159">
        <f t="shared" si="54"/>
        <v>0</v>
      </c>
      <c r="Y94" s="7">
        <f t="shared" si="66"/>
        <v>-56607.003054871966</v>
      </c>
      <c r="Z94" s="7">
        <v>56606.659718488008</v>
      </c>
      <c r="AA94" s="7">
        <f t="shared" si="67"/>
        <v>59267.17272525694</v>
      </c>
      <c r="AC94" s="295">
        <f t="shared" ref="AC94:AC157" si="68">Q94-Z94</f>
        <v>0.34333638395764865</v>
      </c>
    </row>
    <row r="95" spans="1:29" x14ac:dyDescent="0.3">
      <c r="A95" s="7">
        <f>CEO!A95+CS!A95+CFO!A95+LLA!A95+'C&amp;E'!A95+CES!A95+LLT!A95+GB!A95</f>
        <v>0</v>
      </c>
      <c r="B95" s="7">
        <f>CEO!B95+CS!B95+CFO!B95+LLA!B95+'C&amp;E'!B95+CES!B95+LLT!B95+GB!B95</f>
        <v>0</v>
      </c>
      <c r="C95" s="7">
        <f>CEO!C95+CS!C95+CFO!C95+LLA!C95+'C&amp;E'!C95+CES!C95+LLT!C95+GB!C95</f>
        <v>0</v>
      </c>
      <c r="D95" s="7">
        <f>CEO!D95+CS!D95+CFO!D95+LLA!D95+'C&amp;E'!D95+CES!D95+LLT!D95+GB!D95</f>
        <v>0</v>
      </c>
      <c r="E95" s="7">
        <f>CEO!E95+CS!E95+CFO!E95+LLA!E95+'C&amp;E'!E95+CES!E95+LLT!E95+GB!E95</f>
        <v>0</v>
      </c>
      <c r="F95" s="7">
        <f>CEO!F95+CS!F95+CFO!F95+LLA!F95+'C&amp;E'!F95+CES!F95+LLT!F95+GB!F95</f>
        <v>0</v>
      </c>
      <c r="G95" s="7">
        <f>CEO!G95+CS!G95+CFO!G95+LLA!G95+'C&amp;E'!G95+CES!G95+LLT!G95+GB!G95</f>
        <v>0</v>
      </c>
      <c r="H95" s="7">
        <f>CEO!H95+CS!H95+CFO!H95+LLA!H95+'C&amp;E'!H95+CES!H95+LLT!H95+GB!H95</f>
        <v>0</v>
      </c>
      <c r="I95" s="7">
        <f>CEO!I95+CS!I95+CFO!I95+LLA!I95+'C&amp;E'!I95+CES!I95+LLT!I95+GB!I95</f>
        <v>0</v>
      </c>
      <c r="J95" s="7">
        <f>CEO!J95+CS!J95+CFO!J95+LLA!J95+'C&amp;E'!J95+CES!J95+LLT!J95+GB!J95</f>
        <v>0</v>
      </c>
      <c r="K95" s="7">
        <f>CEO!K95+CS!K95+CFO!K95+LLA!K95+'C&amp;E'!K95+CES!K95+LLT!K95+GB!K95</f>
        <v>0</v>
      </c>
      <c r="L95" s="7">
        <f>CEO!L95+CS!L95+CFO!L95+LLA!L95+'C&amp;E'!L95+CES!L95+LLT!L95+GB!L95</f>
        <v>0</v>
      </c>
      <c r="M95" s="13" t="s">
        <v>482</v>
      </c>
      <c r="N95" s="7">
        <f t="shared" si="63"/>
        <v>0</v>
      </c>
      <c r="O95" s="7">
        <f t="shared" si="64"/>
        <v>0</v>
      </c>
      <c r="P95" s="7">
        <f t="shared" si="51"/>
        <v>0</v>
      </c>
      <c r="Q95" s="7">
        <f>CEO!Q95+CS!Q95+CFO!Q95+LLA!Q95+'C&amp;E'!Q95+CES!Q95+LLT!Q95+GB!Q95</f>
        <v>0</v>
      </c>
      <c r="R95" s="7">
        <f t="shared" si="65"/>
        <v>0</v>
      </c>
      <c r="S95" s="7">
        <v>0</v>
      </c>
      <c r="T95" s="7">
        <f>CEO!T95+CS!T95+CFO!T95+LLA!T95+'C&amp;E'!T95+CES!T95+LLT!T95+GB!T95</f>
        <v>0</v>
      </c>
      <c r="U95" s="7">
        <f t="shared" si="53"/>
        <v>0</v>
      </c>
      <c r="V95" s="7">
        <f t="shared" si="52"/>
        <v>0</v>
      </c>
      <c r="W95" s="7"/>
      <c r="X95" s="159">
        <f t="shared" si="54"/>
        <v>0</v>
      </c>
      <c r="Y95" s="7">
        <f t="shared" si="66"/>
        <v>0</v>
      </c>
      <c r="Z95" s="7">
        <v>0</v>
      </c>
      <c r="AA95" s="7">
        <f t="shared" si="67"/>
        <v>0</v>
      </c>
      <c r="AC95" s="295">
        <f t="shared" si="68"/>
        <v>0</v>
      </c>
    </row>
    <row r="96" spans="1:29" x14ac:dyDescent="0.3">
      <c r="A96" s="7">
        <f>CEO!A96+CS!A96+CFO!A96+LLA!A96+'C&amp;E'!A96+CES!A96+LLT!A96+GB!A96</f>
        <v>1210.4399999999998</v>
      </c>
      <c r="B96" s="7">
        <f>CEO!B96+CS!B96+CFO!B96+LLA!B96+'C&amp;E'!B96+CES!B96+LLT!B96+GB!B96</f>
        <v>1210.4399999999998</v>
      </c>
      <c r="C96" s="7">
        <f>CEO!C96+CS!C96+CFO!C96+LLA!C96+'C&amp;E'!C96+CES!C96+LLT!C96+GB!C96</f>
        <v>1210.4399999999998</v>
      </c>
      <c r="D96" s="7">
        <f>CEO!D96+CS!D96+CFO!D96+LLA!D96+'C&amp;E'!D96+CES!D96+LLT!D96+GB!D96</f>
        <v>1210.4399999999998</v>
      </c>
      <c r="E96" s="7">
        <f>CEO!E96+CS!E96+CFO!E96+LLA!E96+'C&amp;E'!E96+CES!E96+LLT!E96+GB!E96</f>
        <v>1210.4399999999998</v>
      </c>
      <c r="F96" s="7">
        <f>CEO!F96+CS!F96+CFO!F96+LLA!F96+'C&amp;E'!F96+CES!F96+LLT!F96+GB!F96</f>
        <v>1210.4399999999998</v>
      </c>
      <c r="G96" s="7">
        <f>CEO!G96+CS!G96+CFO!G96+LLA!G96+'C&amp;E'!G96+CES!G96+LLT!G96+GB!G96</f>
        <v>1210.4399999999998</v>
      </c>
      <c r="H96" s="7">
        <f>CEO!H96+CS!H96+CFO!H96+LLA!H96+'C&amp;E'!H96+CES!H96+LLT!H96+GB!H96</f>
        <v>1210.4399999999998</v>
      </c>
      <c r="I96" s="7">
        <f>CEO!I96+CS!I96+CFO!I96+LLA!I96+'C&amp;E'!I96+CES!I96+LLT!I96+GB!I96</f>
        <v>1210.4399999999998</v>
      </c>
      <c r="J96" s="7">
        <f>CEO!J96+CS!J96+CFO!J96+LLA!J96+'C&amp;E'!J96+CES!J96+LLT!J96+GB!J96</f>
        <v>1210.4399999999998</v>
      </c>
      <c r="K96" s="7">
        <f>CEO!K96+CS!K96+CFO!K96+LLA!K96+'C&amp;E'!K96+CES!K96+LLT!K96+GB!K96</f>
        <v>1210.4399999999998</v>
      </c>
      <c r="L96" s="7">
        <f>CEO!L96+CS!L96+CFO!L96+LLA!L96+'C&amp;E'!L96+CES!L96+LLT!L96+GB!L96</f>
        <v>1195.7109688880021</v>
      </c>
      <c r="M96" s="13" t="s">
        <v>483</v>
      </c>
      <c r="N96" s="7">
        <f t="shared" si="63"/>
        <v>0</v>
      </c>
      <c r="O96" s="7">
        <f t="shared" si="64"/>
        <v>14510.550968888003</v>
      </c>
      <c r="P96" s="7">
        <f t="shared" si="51"/>
        <v>14510.550968888003</v>
      </c>
      <c r="Q96" s="7">
        <f>CEO!Q96+CS!Q96+CFO!Q96+LLA!Q96+'C&amp;E'!Q96+CES!Q96+LLT!Q96+GB!Q96</f>
        <v>14510.550968888001</v>
      </c>
      <c r="R96" s="7">
        <f t="shared" si="65"/>
        <v>0</v>
      </c>
      <c r="S96" s="7">
        <v>-762.99999999999818</v>
      </c>
      <c r="T96" s="7">
        <f>CEO!T96+CS!T96+CFO!T96+LLA!T96+'C&amp;E'!T96+CES!T96+LLT!T96+GB!T96</f>
        <v>5202</v>
      </c>
      <c r="U96" s="7">
        <f t="shared" si="53"/>
        <v>18949.550968888005</v>
      </c>
      <c r="V96" s="7">
        <f t="shared" si="52"/>
        <v>4439.0000000000018</v>
      </c>
      <c r="W96" s="7"/>
      <c r="X96" s="159">
        <f t="shared" si="54"/>
        <v>0</v>
      </c>
      <c r="Y96" s="7">
        <f t="shared" si="66"/>
        <v>-14510.550968888001</v>
      </c>
      <c r="Z96" s="7">
        <v>14510.550968888001</v>
      </c>
      <c r="AA96" s="7">
        <f t="shared" si="67"/>
        <v>15192.546864425736</v>
      </c>
      <c r="AC96" s="295">
        <f t="shared" si="68"/>
        <v>0</v>
      </c>
    </row>
    <row r="97" spans="1:29" x14ac:dyDescent="0.3">
      <c r="A97" s="7">
        <f>CEO!A97+CS!A97+CFO!A97+LLA!A97+'C&amp;E'!A97+CES!A97+LLT!A97+GB!A97</f>
        <v>15157.224</v>
      </c>
      <c r="B97" s="7">
        <f>CEO!B97+CS!B97+CFO!B97+LLA!B97+'C&amp;E'!B97+CES!B97+LLT!B97+GB!B97</f>
        <v>15157.224</v>
      </c>
      <c r="C97" s="7">
        <f>CEO!C97+CS!C97+CFO!C97+LLA!C97+'C&amp;E'!C97+CES!C97+LLT!C97+GB!C97</f>
        <v>15157.224</v>
      </c>
      <c r="D97" s="7">
        <f>CEO!D97+CS!D97+CFO!D97+LLA!D97+'C&amp;E'!D97+CES!D97+LLT!D97+GB!D97</f>
        <v>15157.224</v>
      </c>
      <c r="E97" s="7">
        <f>CEO!E97+CS!E97+CFO!E97+LLA!E97+'C&amp;E'!E97+CES!E97+LLT!E97+GB!E97</f>
        <v>15157.224</v>
      </c>
      <c r="F97" s="7">
        <f>CEO!F97+CS!F97+CFO!F97+LLA!F97+'C&amp;E'!F97+CES!F97+LLT!F97+GB!F97</f>
        <v>15157.224</v>
      </c>
      <c r="G97" s="7">
        <f>CEO!G97+CS!G97+CFO!G97+LLA!G97+'C&amp;E'!G97+CES!G97+LLT!G97+GB!G97</f>
        <v>15157.224</v>
      </c>
      <c r="H97" s="7">
        <f>CEO!H97+CS!H97+CFO!H97+LLA!H97+'C&amp;E'!H97+CES!H97+LLT!H97+GB!H97</f>
        <v>15157.224</v>
      </c>
      <c r="I97" s="7">
        <f>CEO!I97+CS!I97+CFO!I97+LLA!I97+'C&amp;E'!I97+CES!I97+LLT!I97+GB!I97</f>
        <v>15157.224</v>
      </c>
      <c r="J97" s="7">
        <f>CEO!J97+CS!J97+CFO!J97+LLA!J97+'C&amp;E'!J97+CES!J97+LLT!J97+GB!J97</f>
        <v>15157.224</v>
      </c>
      <c r="K97" s="7">
        <f>CEO!K97+CS!K97+CFO!K97+LLA!K97+'C&amp;E'!K97+CES!K97+LLT!K97+GB!K97</f>
        <v>15157.224</v>
      </c>
      <c r="L97" s="7">
        <f>CEO!L97+CS!L97+CFO!L97+LLA!L97+'C&amp;E'!L97+CES!L97+LLT!L97+GB!L97</f>
        <v>15149.38081138722</v>
      </c>
      <c r="M97" s="13" t="s">
        <v>484</v>
      </c>
      <c r="N97" s="7">
        <f t="shared" si="63"/>
        <v>0</v>
      </c>
      <c r="O97" s="7">
        <f t="shared" si="64"/>
        <v>181878.84481138719</v>
      </c>
      <c r="P97" s="7">
        <f t="shared" si="51"/>
        <v>181878.84481138719</v>
      </c>
      <c r="Q97" s="7">
        <f>CEO!Q97+CS!Q97+CFO!Q97+LLA!Q97+'C&amp;E'!Q97+CES!Q97+LLT!Q97+GB!Q97</f>
        <v>181878.84481138721</v>
      </c>
      <c r="R97" s="7">
        <f t="shared" si="65"/>
        <v>0</v>
      </c>
      <c r="S97" s="7">
        <v>0</v>
      </c>
      <c r="T97" s="7">
        <f>CEO!T97+CS!T97+CFO!T97+LLA!T97+'C&amp;E'!T97+CES!T97+LLT!T97+GB!T97</f>
        <v>0</v>
      </c>
      <c r="U97" s="7">
        <f t="shared" si="53"/>
        <v>181878.84481138721</v>
      </c>
      <c r="V97" s="7">
        <f t="shared" si="52"/>
        <v>0</v>
      </c>
      <c r="W97" s="7"/>
      <c r="X97" s="159">
        <f t="shared" si="54"/>
        <v>0</v>
      </c>
      <c r="Y97" s="7">
        <f t="shared" si="66"/>
        <v>-181878.84481138721</v>
      </c>
      <c r="Z97" s="7">
        <v>181878.84481138721</v>
      </c>
      <c r="AA97" s="7">
        <f t="shared" si="67"/>
        <v>190427.15051752242</v>
      </c>
      <c r="AC97" s="295">
        <f t="shared" si="68"/>
        <v>0</v>
      </c>
    </row>
    <row r="98" spans="1:29" x14ac:dyDescent="0.3">
      <c r="A98" s="7">
        <f>CEO!A98+CS!A98+CFO!A98+LLA!A98+'C&amp;E'!A98+CES!A98+LLT!A98+GB!A98</f>
        <v>442.25600000000009</v>
      </c>
      <c r="B98" s="7">
        <f>CEO!B98+CS!B98+CFO!B98+LLA!B98+'C&amp;E'!B98+CES!B98+LLT!B98+GB!B98</f>
        <v>442.25600000000009</v>
      </c>
      <c r="C98" s="7">
        <f>CEO!C98+CS!C98+CFO!C98+LLA!C98+'C&amp;E'!C98+CES!C98+LLT!C98+GB!C98</f>
        <v>442.25600000000009</v>
      </c>
      <c r="D98" s="7">
        <f>CEO!D98+CS!D98+CFO!D98+LLA!D98+'C&amp;E'!D98+CES!D98+LLT!D98+GB!D98</f>
        <v>442.25600000000009</v>
      </c>
      <c r="E98" s="7">
        <f>CEO!E98+CS!E98+CFO!E98+LLA!E98+'C&amp;E'!E98+CES!E98+LLT!E98+GB!E98</f>
        <v>442.25600000000009</v>
      </c>
      <c r="F98" s="7">
        <f>CEO!F98+CS!F98+CFO!F98+LLA!F98+'C&amp;E'!F98+CES!F98+LLT!F98+GB!F98</f>
        <v>442.25600000000009</v>
      </c>
      <c r="G98" s="7">
        <f>CEO!G98+CS!G98+CFO!G98+LLA!G98+'C&amp;E'!G98+CES!G98+LLT!G98+GB!G98</f>
        <v>442.25600000000009</v>
      </c>
      <c r="H98" s="7">
        <f>CEO!H98+CS!H98+CFO!H98+LLA!H98+'C&amp;E'!H98+CES!H98+LLT!H98+GB!H98</f>
        <v>442.25600000000009</v>
      </c>
      <c r="I98" s="7">
        <f>CEO!I98+CS!I98+CFO!I98+LLA!I98+'C&amp;E'!I98+CES!I98+LLT!I98+GB!I98</f>
        <v>442.25600000000009</v>
      </c>
      <c r="J98" s="7">
        <f>CEO!J98+CS!J98+CFO!J98+LLA!J98+'C&amp;E'!J98+CES!J98+LLT!J98+GB!J98</f>
        <v>442.25600000000009</v>
      </c>
      <c r="K98" s="7">
        <f>CEO!K98+CS!K98+CFO!K98+LLA!K98+'C&amp;E'!K98+CES!K98+LLT!K98+GB!K98</f>
        <v>442.25600000000009</v>
      </c>
      <c r="L98" s="7">
        <f>CEO!L98+CS!L98+CFO!L98+LLA!L98+'C&amp;E'!L98+CES!L98+LLT!L98+GB!L98</f>
        <v>435.92780448400094</v>
      </c>
      <c r="M98" s="13" t="s">
        <v>485</v>
      </c>
      <c r="N98" s="7">
        <f t="shared" si="63"/>
        <v>0</v>
      </c>
      <c r="O98" s="7">
        <f t="shared" si="64"/>
        <v>5300.7438044840037</v>
      </c>
      <c r="P98" s="7">
        <f t="shared" si="51"/>
        <v>5300.7438044840037</v>
      </c>
      <c r="Q98" s="7">
        <f>CEO!Q98+CS!Q98+CFO!Q98+LLA!Q98+'C&amp;E'!Q98+CES!Q98+LLT!Q98+GB!Q98</f>
        <v>5300.7438044840001</v>
      </c>
      <c r="R98" s="7">
        <f t="shared" si="65"/>
        <v>0</v>
      </c>
      <c r="S98" s="7">
        <v>453</v>
      </c>
      <c r="T98" s="7">
        <f>CEO!T98+CS!T98+CFO!T98+LLA!T98+'C&amp;E'!T98+CES!T98+LLT!T98+GB!T98</f>
        <v>-6956</v>
      </c>
      <c r="U98" s="7">
        <f t="shared" si="53"/>
        <v>-1202.2561955159999</v>
      </c>
      <c r="V98" s="7">
        <f t="shared" si="52"/>
        <v>-6503.0000000000036</v>
      </c>
      <c r="W98" s="7"/>
      <c r="X98" s="159">
        <f t="shared" si="54"/>
        <v>0</v>
      </c>
      <c r="Y98" s="7">
        <f t="shared" si="66"/>
        <v>-5300.7438044840001</v>
      </c>
      <c r="Z98" s="7">
        <v>5300.7438044840001</v>
      </c>
      <c r="AA98" s="7">
        <f t="shared" si="67"/>
        <v>5549.8787632947478</v>
      </c>
      <c r="AC98" s="295">
        <f t="shared" si="68"/>
        <v>0</v>
      </c>
    </row>
    <row r="99" spans="1:29" x14ac:dyDescent="0.3">
      <c r="A99" s="7">
        <f>CEO!A99+CS!A99+CFO!A99+LLA!A99+'C&amp;E'!A99+CES!A99+LLT!A99+GB!A99</f>
        <v>40422.408000000003</v>
      </c>
      <c r="B99" s="7">
        <f>CEO!B99+CS!B99+CFO!B99+LLA!B99+'C&amp;E'!B99+CES!B99+LLT!B99+GB!B99</f>
        <v>40422.408000000003</v>
      </c>
      <c r="C99" s="7">
        <f>CEO!C99+CS!C99+CFO!C99+LLA!C99+'C&amp;E'!C99+CES!C99+LLT!C99+GB!C99</f>
        <v>40422.408000000003</v>
      </c>
      <c r="D99" s="7">
        <f>CEO!D99+CS!D99+CFO!D99+LLA!D99+'C&amp;E'!D99+CES!D99+LLT!D99+GB!D99</f>
        <v>40422.408000000003</v>
      </c>
      <c r="E99" s="7">
        <f>CEO!E99+CS!E99+CFO!E99+LLA!E99+'C&amp;E'!E99+CES!E99+LLT!E99+GB!E99</f>
        <v>40422.408000000003</v>
      </c>
      <c r="F99" s="7">
        <f>CEO!F99+CS!F99+CFO!F99+LLA!F99+'C&amp;E'!F99+CES!F99+LLT!F99+GB!F99</f>
        <v>40422.408000000003</v>
      </c>
      <c r="G99" s="7">
        <f>CEO!G99+CS!G99+CFO!G99+LLA!G99+'C&amp;E'!G99+CES!G99+LLT!G99+GB!G99</f>
        <v>40422.408000000003</v>
      </c>
      <c r="H99" s="7">
        <f>CEO!H99+CS!H99+CFO!H99+LLA!H99+'C&amp;E'!H99+CES!H99+LLT!H99+GB!H99</f>
        <v>40422.408000000003</v>
      </c>
      <c r="I99" s="7">
        <f>CEO!I99+CS!I99+CFO!I99+LLA!I99+'C&amp;E'!I99+CES!I99+LLT!I99+GB!I99</f>
        <v>40422.408000000003</v>
      </c>
      <c r="J99" s="7">
        <f>CEO!J99+CS!J99+CFO!J99+LLA!J99+'C&amp;E'!J99+CES!J99+LLT!J99+GB!J99</f>
        <v>40422.408000000003</v>
      </c>
      <c r="K99" s="7">
        <f>CEO!K99+CS!K99+CFO!K99+LLA!K99+'C&amp;E'!K99+CES!K99+LLT!K99+GB!K99</f>
        <v>40422.408000000003</v>
      </c>
      <c r="L99" s="7">
        <f>CEO!L99+CS!L99+CFO!L99+LLA!L99+'C&amp;E'!L99+CES!L99+LLT!L99+GB!L99</f>
        <v>40423.718000000001</v>
      </c>
      <c r="M99" s="13" t="s">
        <v>486</v>
      </c>
      <c r="N99" s="7">
        <f t="shared" si="63"/>
        <v>0</v>
      </c>
      <c r="O99" s="7">
        <f t="shared" si="64"/>
        <v>485070.20600000001</v>
      </c>
      <c r="P99" s="7">
        <f t="shared" si="51"/>
        <v>485070.20600000001</v>
      </c>
      <c r="Q99" s="7">
        <f>CEO!Q99+CS!Q99+CFO!Q99+LLA!Q99+'C&amp;E'!Q99+CES!Q99+LLT!Q99+GB!Q99</f>
        <v>485070.20600000001</v>
      </c>
      <c r="R99" s="7">
        <f t="shared" si="65"/>
        <v>0</v>
      </c>
      <c r="S99" s="7">
        <v>-38953</v>
      </c>
      <c r="T99" s="7">
        <f>CEO!T99+CS!T99+CFO!T99+LLA!T99+'C&amp;E'!T99+CES!T99+LLT!T99+GB!T99</f>
        <v>-11071</v>
      </c>
      <c r="U99" s="7">
        <f t="shared" si="53"/>
        <v>435046.20600000001</v>
      </c>
      <c r="V99" s="7">
        <f t="shared" si="52"/>
        <v>-50024</v>
      </c>
      <c r="W99" s="7"/>
      <c r="X99" s="159">
        <f t="shared" si="54"/>
        <v>0</v>
      </c>
      <c r="Y99" s="7">
        <f t="shared" si="66"/>
        <v>-485070.20600000001</v>
      </c>
      <c r="Z99" s="7">
        <v>485070.20600000001</v>
      </c>
      <c r="AA99" s="7">
        <f t="shared" si="67"/>
        <v>507868.50568199996</v>
      </c>
      <c r="AC99" s="295">
        <f t="shared" si="68"/>
        <v>0</v>
      </c>
    </row>
    <row r="100" spans="1:29" x14ac:dyDescent="0.3">
      <c r="A100" s="11">
        <f>CEO!A100+CS!A100+CFO!A100+LLA!A100+'C&amp;E'!A100+CES!A100+LLT!A100+GB!A100</f>
        <v>5303.9280000000008</v>
      </c>
      <c r="B100" s="11">
        <f>CEO!B100+CS!B100+CFO!B100+LLA!B100+'C&amp;E'!B100+CES!B100+LLT!B100+GB!B100</f>
        <v>2788.7280000000001</v>
      </c>
      <c r="C100" s="11">
        <f>CEO!C100+CS!C100+CFO!C100+LLA!C100+'C&amp;E'!C100+CES!C100+LLT!C100+GB!C100</f>
        <v>5303.9280000000008</v>
      </c>
      <c r="D100" s="11">
        <f>CEO!D100+CS!D100+CFO!D100+LLA!D100+'C&amp;E'!D100+CES!D100+LLT!D100+GB!D100</f>
        <v>2788.7280000000001</v>
      </c>
      <c r="E100" s="11">
        <f>CEO!E100+CS!E100+CFO!E100+LLA!E100+'C&amp;E'!E100+CES!E100+LLT!E100+GB!E100</f>
        <v>2788.7280000000001</v>
      </c>
      <c r="F100" s="11">
        <f>CEO!F100+CS!F100+CFO!F100+LLA!F100+'C&amp;E'!F100+CES!F100+LLT!F100+GB!F100</f>
        <v>2788.7280000000001</v>
      </c>
      <c r="G100" s="11">
        <f>CEO!G100+CS!G100+CFO!G100+LLA!G100+'C&amp;E'!G100+CES!G100+LLT!G100+GB!G100</f>
        <v>2788.7280000000001</v>
      </c>
      <c r="H100" s="11">
        <f>CEO!H100+CS!H100+CFO!H100+LLA!H100+'C&amp;E'!H100+CES!H100+LLT!H100+GB!H100</f>
        <v>2788.7280000000001</v>
      </c>
      <c r="I100" s="11">
        <f>CEO!I100+CS!I100+CFO!I100+LLA!I100+'C&amp;E'!I100+CES!I100+LLT!I100+GB!I100</f>
        <v>2788.7280000000001</v>
      </c>
      <c r="J100" s="11">
        <f>CEO!J100+CS!J100+CFO!J100+LLA!J100+'C&amp;E'!J100+CES!J100+LLT!J100+GB!J100</f>
        <v>2788.7280000000001</v>
      </c>
      <c r="K100" s="11">
        <f>CEO!K100+CS!K100+CFO!K100+LLA!K100+'C&amp;E'!K100+CES!K100+LLT!K100+GB!K100</f>
        <v>2788.7280000000001</v>
      </c>
      <c r="L100" s="11">
        <f>CEO!L100+CS!L100+CFO!L100+LLA!L100+'C&amp;E'!L100+CES!L100+LLT!L100+GB!L100</f>
        <v>2793.1703939239933</v>
      </c>
      <c r="M100" s="385" t="s">
        <v>487</v>
      </c>
      <c r="N100" s="11">
        <f t="shared" si="63"/>
        <v>0</v>
      </c>
      <c r="O100" s="11">
        <f t="shared" si="64"/>
        <v>38499.578393923999</v>
      </c>
      <c r="P100" s="11">
        <f t="shared" si="51"/>
        <v>38499.578393923999</v>
      </c>
      <c r="Q100" s="11">
        <f>CEO!Q100+CS!Q100+CFO!Q100+LLA!Q100+'C&amp;E'!Q100+CES!Q100+LLT!Q100+GB!Q100</f>
        <v>38499.578393923999</v>
      </c>
      <c r="R100" s="11">
        <f t="shared" si="65"/>
        <v>0</v>
      </c>
      <c r="S100" s="11">
        <v>-9525.9999999999927</v>
      </c>
      <c r="T100" s="11">
        <f>CEO!T100+CS!T100+CFO!T100+LLA!T100+'C&amp;E'!T100+CES!T100+LLT!T100+GB!T100</f>
        <v>0</v>
      </c>
      <c r="U100" s="11">
        <f t="shared" si="53"/>
        <v>28973.578393924006</v>
      </c>
      <c r="V100" s="11">
        <f t="shared" si="52"/>
        <v>-9525.9999999999927</v>
      </c>
      <c r="W100" s="11"/>
      <c r="X100" s="160">
        <f t="shared" si="54"/>
        <v>0</v>
      </c>
      <c r="Y100" s="11">
        <f t="shared" si="66"/>
        <v>-38499.578393923999</v>
      </c>
      <c r="Z100" s="11">
        <v>38499.578393923999</v>
      </c>
      <c r="AA100" s="11">
        <f t="shared" si="67"/>
        <v>40309.058578438424</v>
      </c>
      <c r="AC100" s="295">
        <f t="shared" si="68"/>
        <v>0</v>
      </c>
    </row>
    <row r="101" spans="1:29" ht="6" customHeight="1" thickBot="1" x14ac:dyDescent="0.35">
      <c r="A101" s="89"/>
      <c r="B101" s="89"/>
      <c r="C101" s="89"/>
      <c r="D101" s="90"/>
      <c r="E101" s="91"/>
      <c r="F101" s="91"/>
      <c r="G101" s="91"/>
      <c r="H101" s="91"/>
      <c r="I101" s="91"/>
      <c r="J101" s="91"/>
      <c r="K101" s="91"/>
      <c r="L101" s="91"/>
      <c r="M101" s="13"/>
      <c r="N101" s="91">
        <f t="shared" si="55"/>
        <v>0</v>
      </c>
      <c r="O101" s="91">
        <f t="shared" si="56"/>
        <v>0</v>
      </c>
      <c r="P101" s="91">
        <f t="shared" si="51"/>
        <v>0</v>
      </c>
      <c r="Q101" s="91"/>
      <c r="R101" s="91">
        <f t="shared" si="57"/>
        <v>0</v>
      </c>
      <c r="S101" s="91">
        <v>0</v>
      </c>
      <c r="T101" s="89">
        <f>CEO!T101+CS!T101+CFO!T101+LLA!T101+'C&amp;E'!T101+CES!T101+LLT!T101+GB!T101</f>
        <v>0</v>
      </c>
      <c r="U101" s="89">
        <f t="shared" si="53"/>
        <v>0</v>
      </c>
      <c r="V101" s="89">
        <f t="shared" si="52"/>
        <v>0</v>
      </c>
      <c r="W101" s="89"/>
      <c r="X101" s="207">
        <f t="shared" si="54"/>
        <v>0</v>
      </c>
      <c r="Y101" s="91">
        <f t="shared" si="58"/>
        <v>0</v>
      </c>
      <c r="Z101" s="91"/>
      <c r="AA101" s="91"/>
      <c r="AC101" s="295">
        <f t="shared" si="68"/>
        <v>0</v>
      </c>
    </row>
    <row r="102" spans="1:29" x14ac:dyDescent="0.3">
      <c r="A102" s="4">
        <f>SUM(A93:A100)</f>
        <v>72728.948921239338</v>
      </c>
      <c r="B102" s="4">
        <f>SUM(B93:B100)</f>
        <v>68468.828921239343</v>
      </c>
      <c r="C102" s="4">
        <f t="shared" ref="C102:L102" si="69">SUM(C93:C100)</f>
        <v>72728.948921239338</v>
      </c>
      <c r="D102" s="4">
        <f t="shared" si="69"/>
        <v>68468.828921239343</v>
      </c>
      <c r="E102" s="4">
        <f t="shared" si="69"/>
        <v>68468.828921239343</v>
      </c>
      <c r="F102" s="4">
        <f t="shared" si="69"/>
        <v>68468.828921239343</v>
      </c>
      <c r="G102" s="4">
        <f t="shared" si="69"/>
        <v>68468.828921239343</v>
      </c>
      <c r="H102" s="4">
        <f t="shared" si="69"/>
        <v>68468.828921239343</v>
      </c>
      <c r="I102" s="4">
        <f t="shared" si="69"/>
        <v>68468.828921239343</v>
      </c>
      <c r="J102" s="4">
        <f t="shared" si="69"/>
        <v>68468.828921239343</v>
      </c>
      <c r="K102" s="4">
        <f t="shared" si="69"/>
        <v>68468.828921239343</v>
      </c>
      <c r="L102" s="4">
        <f t="shared" si="69"/>
        <v>232944.43289992257</v>
      </c>
      <c r="M102" s="13" t="s">
        <v>166</v>
      </c>
      <c r="N102" s="4">
        <f t="shared" ref="N102:O102" si="70">SUM(N93:N100)</f>
        <v>0</v>
      </c>
      <c r="O102" s="4">
        <f t="shared" si="70"/>
        <v>994621.79103355529</v>
      </c>
      <c r="P102" s="4">
        <f t="shared" ref="P102" si="71">SUM(P93:P100)</f>
        <v>994621.79103355529</v>
      </c>
      <c r="Q102" s="4">
        <f>SUM(Q93:Q100)</f>
        <v>994621.79103355529</v>
      </c>
      <c r="R102" s="4">
        <f t="shared" ref="R102:S102" si="72">SUM(R93:R100)</f>
        <v>0</v>
      </c>
      <c r="S102" s="4">
        <f t="shared" si="72"/>
        <v>-52579.999999999993</v>
      </c>
      <c r="T102" s="4">
        <f>CEO!T102+CS!T102+CFO!T102+LLA!T102+'C&amp;E'!T102+CES!T102+LLT!T102+GB!T102</f>
        <v>15417</v>
      </c>
      <c r="U102" s="4">
        <f t="shared" si="53"/>
        <v>957458.79103355529</v>
      </c>
      <c r="V102" s="4">
        <f t="shared" si="52"/>
        <v>-37163</v>
      </c>
      <c r="W102" s="4"/>
      <c r="X102" s="162">
        <f t="shared" si="54"/>
        <v>0</v>
      </c>
      <c r="Y102" s="4">
        <f t="shared" si="58"/>
        <v>994621.79103355529</v>
      </c>
      <c r="Z102" s="4">
        <f>SUM(Z93:Z100)</f>
        <v>994621.6289192033</v>
      </c>
      <c r="AA102" s="4">
        <f>SUM(AA93:AA100)</f>
        <v>1041368.8454784058</v>
      </c>
      <c r="AC102" s="295">
        <f t="shared" si="68"/>
        <v>0.16211435198783875</v>
      </c>
    </row>
    <row r="103" spans="1:29" ht="6" customHeight="1" x14ac:dyDescent="0.3">
      <c r="A103" s="81"/>
      <c r="B103" s="81"/>
      <c r="C103" s="81"/>
      <c r="D103" s="82"/>
      <c r="E103" s="86"/>
      <c r="F103" s="86"/>
      <c r="G103" s="86"/>
      <c r="H103" s="86"/>
      <c r="I103" s="86"/>
      <c r="J103" s="86"/>
      <c r="K103" s="86"/>
      <c r="L103" s="86"/>
      <c r="M103" s="80"/>
      <c r="N103" s="86">
        <f t="shared" si="55"/>
        <v>0</v>
      </c>
      <c r="O103" s="86">
        <f t="shared" si="56"/>
        <v>0</v>
      </c>
      <c r="P103" s="86">
        <f t="shared" si="51"/>
        <v>0</v>
      </c>
      <c r="Q103" s="86"/>
      <c r="R103" s="86">
        <f t="shared" si="57"/>
        <v>0</v>
      </c>
      <c r="S103" s="86">
        <v>0</v>
      </c>
      <c r="T103" s="81">
        <f>CEO!T103+CS!T103+CFO!T103+LLA!T103+'C&amp;E'!T103+CES!T103+LLT!T103+GB!T103</f>
        <v>0</v>
      </c>
      <c r="U103" s="81">
        <f t="shared" si="53"/>
        <v>0</v>
      </c>
      <c r="V103" s="81">
        <f t="shared" si="52"/>
        <v>0</v>
      </c>
      <c r="W103" s="81"/>
      <c r="X103" s="204"/>
      <c r="Y103" s="86">
        <f t="shared" si="58"/>
        <v>0</v>
      </c>
      <c r="Z103" s="86"/>
      <c r="AA103" s="86"/>
      <c r="AC103" s="295">
        <f t="shared" si="68"/>
        <v>0</v>
      </c>
    </row>
    <row r="104" spans="1:29" x14ac:dyDescent="0.3">
      <c r="A104" s="8">
        <f>CEO!A104+CS!A104+CFO!A104+LLA!A104+'C&amp;E'!A104+CES!A104+LLT!A104+GB!A104</f>
        <v>874.03200000000015</v>
      </c>
      <c r="B104" s="8">
        <f>CEO!B104+CS!B104+CFO!B104+LLA!B104+'C&amp;E'!B104+CES!B104+LLT!B104+GB!B104</f>
        <v>874.03200000000015</v>
      </c>
      <c r="C104" s="8">
        <f>CEO!C104+CS!C104+CFO!C104+LLA!C104+'C&amp;E'!C104+CES!C104+LLT!C104+GB!C104</f>
        <v>874.03200000000015</v>
      </c>
      <c r="D104" s="8">
        <f>CEO!D104+CS!D104+CFO!D104+LLA!D104+'C&amp;E'!D104+CES!D104+LLT!D104+GB!D104</f>
        <v>874.03200000000015</v>
      </c>
      <c r="E104" s="8">
        <f>CEO!E104+CS!E104+CFO!E104+LLA!E104+'C&amp;E'!E104+CES!E104+LLT!E104+GB!E104</f>
        <v>2970.0320000000002</v>
      </c>
      <c r="F104" s="8">
        <f>CEO!F104+CS!F104+CFO!F104+LLA!F104+'C&amp;E'!F104+CES!F104+LLT!F104+GB!F104</f>
        <v>874.03200000000015</v>
      </c>
      <c r="G104" s="8">
        <f>CEO!G104+CS!G104+CFO!G104+LLA!G104+'C&amp;E'!G104+CES!G104+LLT!G104+GB!G104</f>
        <v>874.03200000000015</v>
      </c>
      <c r="H104" s="8">
        <f>CEO!H104+CS!H104+CFO!H104+LLA!H104+'C&amp;E'!H104+CES!H104+LLT!H104+GB!H104</f>
        <v>874.03200000000015</v>
      </c>
      <c r="I104" s="8">
        <f>CEO!I104+CS!I104+CFO!I104+LLA!I104+'C&amp;E'!I104+CES!I104+LLT!I104+GB!I104</f>
        <v>874.03200000000015</v>
      </c>
      <c r="J104" s="8">
        <f>CEO!J104+CS!J104+CFO!J104+LLA!J104+'C&amp;E'!J104+CES!J104+LLT!J104+GB!J104</f>
        <v>874.03200000000015</v>
      </c>
      <c r="K104" s="8">
        <f>CEO!K104+CS!K104+CFO!K104+LLA!K104+'C&amp;E'!K104+CES!K104+LLT!K104+GB!K104</f>
        <v>874.03200000000015</v>
      </c>
      <c r="L104" s="8">
        <f>CEO!L104+CS!L104+CFO!L104+LLA!L104+'C&amp;E'!L104+CES!L104+LLT!L104+GB!L104</f>
        <v>2961.6479999999983</v>
      </c>
      <c r="M104" s="385" t="s">
        <v>488</v>
      </c>
      <c r="N104" s="8">
        <f t="shared" ref="N104:N106" si="73">SUM(0)</f>
        <v>0</v>
      </c>
      <c r="O104" s="8">
        <f t="shared" ref="O104:O106" si="74">SUM(A104:L104)</f>
        <v>14671.999999999996</v>
      </c>
      <c r="P104" s="8">
        <f t="shared" si="51"/>
        <v>14671.999999999996</v>
      </c>
      <c r="Q104" s="8">
        <f>CEO!Q104+CS!Q104+CFO!Q104+LLA!Q104+'C&amp;E'!Q104+CES!Q104+LLT!Q104+GB!Q104</f>
        <v>14672</v>
      </c>
      <c r="R104" s="8">
        <f t="shared" ref="R104:R106" si="75">Q104-P104</f>
        <v>0</v>
      </c>
      <c r="S104" s="8">
        <v>0</v>
      </c>
      <c r="T104" s="8">
        <f>CEO!T104+CS!T104+CFO!T104+LLA!T104+'C&amp;E'!T104+CES!T104+LLT!T104+GB!T104</f>
        <v>0</v>
      </c>
      <c r="U104" s="8">
        <f t="shared" si="53"/>
        <v>14672</v>
      </c>
      <c r="V104" s="8">
        <f t="shared" si="52"/>
        <v>0</v>
      </c>
      <c r="W104" s="8"/>
      <c r="X104" s="158">
        <f t="shared" si="54"/>
        <v>0</v>
      </c>
      <c r="Y104" s="8">
        <f t="shared" ref="Y104:Y106" si="76">X104-Q104</f>
        <v>-14672</v>
      </c>
      <c r="Z104" s="8">
        <v>14672</v>
      </c>
      <c r="AA104" s="8">
        <f t="shared" ref="AA104:AA106" si="77">Z104*(1+AA$3)</f>
        <v>15361.583999999999</v>
      </c>
      <c r="AC104" s="295">
        <f t="shared" si="68"/>
        <v>0</v>
      </c>
    </row>
    <row r="105" spans="1:29" x14ac:dyDescent="0.3">
      <c r="A105" s="7">
        <f>CEO!A105+CS!A105+CFO!A105+LLA!A105+'C&amp;E'!A105+CES!A105+LLT!A105+GB!A105</f>
        <v>162.44</v>
      </c>
      <c r="B105" s="7">
        <f>CEO!B105+CS!B105+CFO!B105+LLA!B105+'C&amp;E'!B105+CES!B105+LLT!B105+GB!B105</f>
        <v>162.44</v>
      </c>
      <c r="C105" s="7">
        <f>CEO!C105+CS!C105+CFO!C105+LLA!C105+'C&amp;E'!C105+CES!C105+LLT!C105+GB!C105</f>
        <v>162.44</v>
      </c>
      <c r="D105" s="7">
        <f>CEO!D105+CS!D105+CFO!D105+LLA!D105+'C&amp;E'!D105+CES!D105+LLT!D105+GB!D105</f>
        <v>162.44</v>
      </c>
      <c r="E105" s="7">
        <f>CEO!E105+CS!E105+CFO!E105+LLA!E105+'C&amp;E'!E105+CES!E105+LLT!E105+GB!E105</f>
        <v>162.44</v>
      </c>
      <c r="F105" s="7">
        <f>CEO!F105+CS!F105+CFO!F105+LLA!F105+'C&amp;E'!F105+CES!F105+LLT!F105+GB!F105</f>
        <v>162.44</v>
      </c>
      <c r="G105" s="7">
        <f>CEO!G105+CS!G105+CFO!G105+LLA!G105+'C&amp;E'!G105+CES!G105+LLT!G105+GB!G105</f>
        <v>162.44</v>
      </c>
      <c r="H105" s="7">
        <f>CEO!H105+CS!H105+CFO!H105+LLA!H105+'C&amp;E'!H105+CES!H105+LLT!H105+GB!H105</f>
        <v>162.44</v>
      </c>
      <c r="I105" s="7">
        <f>CEO!I105+CS!I105+CFO!I105+LLA!I105+'C&amp;E'!I105+CES!I105+LLT!I105+GB!I105</f>
        <v>162.44</v>
      </c>
      <c r="J105" s="7">
        <f>CEO!J105+CS!J105+CFO!J105+LLA!J105+'C&amp;E'!J105+CES!J105+LLT!J105+GB!J105</f>
        <v>162.44</v>
      </c>
      <c r="K105" s="7">
        <f>CEO!K105+CS!K105+CFO!K105+LLA!K105+'C&amp;E'!K105+CES!K105+LLT!K105+GB!K105</f>
        <v>162.44</v>
      </c>
      <c r="L105" s="7">
        <f>CEO!L105+CS!L105+CFO!L105+LLA!L105+'C&amp;E'!L105+CES!L105+LLT!L105+GB!L105</f>
        <v>158.24799999999976</v>
      </c>
      <c r="M105" s="13" t="s">
        <v>489</v>
      </c>
      <c r="N105" s="7">
        <f t="shared" si="73"/>
        <v>0</v>
      </c>
      <c r="O105" s="7">
        <f t="shared" si="74"/>
        <v>1945.0880000000002</v>
      </c>
      <c r="P105" s="7">
        <f t="shared" si="51"/>
        <v>1945.0880000000002</v>
      </c>
      <c r="Q105" s="7">
        <f>CEO!Q105+CS!Q105+CFO!Q105+LLA!Q105+'C&amp;E'!Q105+CES!Q105+LLT!Q105+GB!Q105</f>
        <v>1945.0880000000002</v>
      </c>
      <c r="R105" s="7">
        <f t="shared" si="75"/>
        <v>0</v>
      </c>
      <c r="S105" s="7">
        <v>1856</v>
      </c>
      <c r="T105" s="7">
        <f>CEO!T105+CS!T105+CFO!T105+LLA!T105+'C&amp;E'!T105+CES!T105+LLT!T105+GB!T105</f>
        <v>0</v>
      </c>
      <c r="U105" s="7">
        <f t="shared" si="53"/>
        <v>3801.0880000000002</v>
      </c>
      <c r="V105" s="7">
        <f t="shared" si="52"/>
        <v>1856</v>
      </c>
      <c r="W105" s="7"/>
      <c r="X105" s="159">
        <f t="shared" si="54"/>
        <v>0</v>
      </c>
      <c r="Y105" s="7">
        <f t="shared" si="76"/>
        <v>-1945.0880000000002</v>
      </c>
      <c r="Z105" s="7">
        <v>1945.0880000000002</v>
      </c>
      <c r="AA105" s="7">
        <f t="shared" si="77"/>
        <v>2036.5071360000002</v>
      </c>
      <c r="AC105" s="295">
        <f t="shared" si="68"/>
        <v>0</v>
      </c>
    </row>
    <row r="106" spans="1:29" x14ac:dyDescent="0.3">
      <c r="A106" s="11">
        <f>CEO!A106+CS!A106+CFO!A106+LLA!A106+'C&amp;E'!A106+CES!A106+LLT!A106+GB!A106</f>
        <v>325.928</v>
      </c>
      <c r="B106" s="11">
        <f>CEO!B106+CS!B106+CFO!B106+LLA!B106+'C&amp;E'!B106+CES!B106+LLT!B106+GB!B106</f>
        <v>325.928</v>
      </c>
      <c r="C106" s="11">
        <f>CEO!C106+CS!C106+CFO!C106+LLA!C106+'C&amp;E'!C106+CES!C106+LLT!C106+GB!C106</f>
        <v>325.928</v>
      </c>
      <c r="D106" s="11">
        <f>CEO!D106+CS!D106+CFO!D106+LLA!D106+'C&amp;E'!D106+CES!D106+LLT!D106+GB!D106</f>
        <v>325.928</v>
      </c>
      <c r="E106" s="11">
        <f>CEO!E106+CS!E106+CFO!E106+LLA!E106+'C&amp;E'!E106+CES!E106+LLT!E106+GB!E106</f>
        <v>325.928</v>
      </c>
      <c r="F106" s="11">
        <f>CEO!F106+CS!F106+CFO!F106+LLA!F106+'C&amp;E'!F106+CES!F106+LLT!F106+GB!F106</f>
        <v>325.928</v>
      </c>
      <c r="G106" s="11">
        <f>CEO!G106+CS!G106+CFO!G106+LLA!G106+'C&amp;E'!G106+CES!G106+LLT!G106+GB!G106</f>
        <v>325.928</v>
      </c>
      <c r="H106" s="11">
        <f>CEO!H106+CS!H106+CFO!H106+LLA!H106+'C&amp;E'!H106+CES!H106+LLT!H106+GB!H106</f>
        <v>325.928</v>
      </c>
      <c r="I106" s="11">
        <f>CEO!I106+CS!I106+CFO!I106+LLA!I106+'C&amp;E'!I106+CES!I106+LLT!I106+GB!I106</f>
        <v>325.928</v>
      </c>
      <c r="J106" s="11">
        <f>CEO!J106+CS!J106+CFO!J106+LLA!J106+'C&amp;E'!J106+CES!J106+LLT!J106+GB!J106</f>
        <v>325.928</v>
      </c>
      <c r="K106" s="11">
        <f>CEO!K106+CS!K106+CFO!K106+LLA!K106+'C&amp;E'!K106+CES!K106+LLT!K106+GB!K106</f>
        <v>325.928</v>
      </c>
      <c r="L106" s="11">
        <f>CEO!L106+CS!L106+CFO!L106+LLA!L106+'C&amp;E'!L106+CES!L106+LLT!L106+GB!L106</f>
        <v>324.88000000000113</v>
      </c>
      <c r="M106" s="13" t="s">
        <v>490</v>
      </c>
      <c r="N106" s="11">
        <f t="shared" si="73"/>
        <v>0</v>
      </c>
      <c r="O106" s="11">
        <f t="shared" si="74"/>
        <v>3910.0880000000002</v>
      </c>
      <c r="P106" s="11">
        <f t="shared" si="51"/>
        <v>3910.0880000000002</v>
      </c>
      <c r="Q106" s="11">
        <f>CEO!Q106+CS!Q106+CFO!Q106+LLA!Q106+'C&amp;E'!Q106+CES!Q106+LLT!Q106+GB!Q106</f>
        <v>3910.0880000000002</v>
      </c>
      <c r="R106" s="11">
        <f t="shared" si="75"/>
        <v>0</v>
      </c>
      <c r="S106" s="11">
        <v>3731</v>
      </c>
      <c r="T106" s="11">
        <f>CEO!T106+CS!T106+CFO!T106+LLA!T106+'C&amp;E'!T106+CES!T106+LLT!T106+GB!T106</f>
        <v>0</v>
      </c>
      <c r="U106" s="11">
        <f t="shared" si="53"/>
        <v>7641.0879999999997</v>
      </c>
      <c r="V106" s="11">
        <f t="shared" si="52"/>
        <v>3730.9999999999995</v>
      </c>
      <c r="W106" s="11"/>
      <c r="X106" s="160">
        <f t="shared" si="54"/>
        <v>0</v>
      </c>
      <c r="Y106" s="11">
        <f t="shared" si="76"/>
        <v>-3910.0880000000002</v>
      </c>
      <c r="Z106" s="11">
        <v>3910.0880000000002</v>
      </c>
      <c r="AA106" s="11">
        <f t="shared" si="77"/>
        <v>4093.8621359999997</v>
      </c>
      <c r="AC106" s="295">
        <f t="shared" si="68"/>
        <v>0</v>
      </c>
    </row>
    <row r="107" spans="1:29" ht="3.6" customHeight="1" thickBot="1" x14ac:dyDescent="0.35">
      <c r="A107" s="89"/>
      <c r="B107" s="89"/>
      <c r="C107" s="89"/>
      <c r="D107" s="90"/>
      <c r="E107" s="91"/>
      <c r="F107" s="91"/>
      <c r="G107" s="91"/>
      <c r="H107" s="91"/>
      <c r="I107" s="91"/>
      <c r="J107" s="91"/>
      <c r="K107" s="91"/>
      <c r="L107" s="91"/>
      <c r="M107" s="13"/>
      <c r="N107" s="91">
        <f t="shared" si="55"/>
        <v>0</v>
      </c>
      <c r="O107" s="91">
        <f t="shared" si="56"/>
        <v>0</v>
      </c>
      <c r="P107" s="91">
        <f t="shared" si="51"/>
        <v>0</v>
      </c>
      <c r="Q107" s="91"/>
      <c r="R107" s="91">
        <f t="shared" ref="R107:R130" si="78">P107-Q107</f>
        <v>0</v>
      </c>
      <c r="S107" s="91">
        <v>0</v>
      </c>
      <c r="T107" s="89">
        <f>CEO!T107+CS!T107+CFO!T107+LLA!T107+'C&amp;E'!T107+CES!T107+LLT!T107+GB!T107</f>
        <v>0</v>
      </c>
      <c r="U107" s="89">
        <f t="shared" si="53"/>
        <v>0</v>
      </c>
      <c r="V107" s="89">
        <f t="shared" si="52"/>
        <v>0</v>
      </c>
      <c r="W107" s="89"/>
      <c r="X107" s="207">
        <f t="shared" si="54"/>
        <v>0</v>
      </c>
      <c r="Y107" s="91">
        <f t="shared" si="58"/>
        <v>0</v>
      </c>
      <c r="Z107" s="91"/>
      <c r="AA107" s="91"/>
      <c r="AC107" s="295">
        <f t="shared" si="68"/>
        <v>0</v>
      </c>
    </row>
    <row r="108" spans="1:29" x14ac:dyDescent="0.3">
      <c r="A108" s="4">
        <f>SUM(A104:A106)</f>
        <v>1362.4</v>
      </c>
      <c r="B108" s="4">
        <f>SUM(B104:B106)</f>
        <v>1362.4</v>
      </c>
      <c r="C108" s="4">
        <f t="shared" ref="C108:L108" si="79">SUM(C104:C106)</f>
        <v>1362.4</v>
      </c>
      <c r="D108" s="4">
        <f t="shared" si="79"/>
        <v>1362.4</v>
      </c>
      <c r="E108" s="4">
        <f t="shared" si="79"/>
        <v>3458.4</v>
      </c>
      <c r="F108" s="4">
        <f t="shared" si="79"/>
        <v>1362.4</v>
      </c>
      <c r="G108" s="4">
        <f t="shared" si="79"/>
        <v>1362.4</v>
      </c>
      <c r="H108" s="4">
        <f t="shared" si="79"/>
        <v>1362.4</v>
      </c>
      <c r="I108" s="4">
        <f t="shared" si="79"/>
        <v>1362.4</v>
      </c>
      <c r="J108" s="4">
        <f t="shared" si="79"/>
        <v>1362.4</v>
      </c>
      <c r="K108" s="4">
        <f t="shared" si="79"/>
        <v>1362.4</v>
      </c>
      <c r="L108" s="4">
        <f t="shared" si="79"/>
        <v>3444.7759999999989</v>
      </c>
      <c r="M108" s="13" t="s">
        <v>170</v>
      </c>
      <c r="N108" s="4">
        <f t="shared" ref="N108:O108" si="80">SUM(N104:N106)</f>
        <v>0</v>
      </c>
      <c r="O108" s="4">
        <f t="shared" si="80"/>
        <v>20527.175999999996</v>
      </c>
      <c r="P108" s="4">
        <f t="shared" ref="P108" si="81">SUM(P104:P106)</f>
        <v>20527.175999999996</v>
      </c>
      <c r="Q108" s="4">
        <f>SUM(Q104:Q106)</f>
        <v>20527.175999999999</v>
      </c>
      <c r="R108" s="4">
        <f>SUM(R104:R106)</f>
        <v>0</v>
      </c>
      <c r="S108" s="4">
        <f>SUM(S104:S106)</f>
        <v>5587</v>
      </c>
      <c r="T108" s="4">
        <f t="shared" ref="T108" si="82">SUM(T104:T106)</f>
        <v>0</v>
      </c>
      <c r="U108" s="4">
        <f t="shared" si="53"/>
        <v>26114.175999999999</v>
      </c>
      <c r="V108" s="4">
        <f t="shared" si="52"/>
        <v>5587.0000000000036</v>
      </c>
      <c r="W108" s="4"/>
      <c r="X108" s="162">
        <f t="shared" si="54"/>
        <v>0</v>
      </c>
      <c r="Y108" s="4">
        <f t="shared" si="58"/>
        <v>20527.175999999999</v>
      </c>
      <c r="Z108" s="4">
        <f>SUM(Z104:Z106)</f>
        <v>20527.175999999999</v>
      </c>
      <c r="AA108" s="4">
        <f>SUM(AA104:AA106)</f>
        <v>21491.953271999999</v>
      </c>
      <c r="AC108" s="295">
        <f t="shared" si="68"/>
        <v>0</v>
      </c>
    </row>
    <row r="109" spans="1:29" ht="6" customHeight="1" x14ac:dyDescent="0.3">
      <c r="A109" s="81"/>
      <c r="B109" s="81"/>
      <c r="C109" s="81"/>
      <c r="D109" s="82"/>
      <c r="E109" s="81"/>
      <c r="F109" s="81"/>
      <c r="G109" s="81"/>
      <c r="H109" s="81"/>
      <c r="I109" s="81"/>
      <c r="J109" s="81"/>
      <c r="K109" s="81"/>
      <c r="L109" s="81"/>
      <c r="M109" s="80"/>
      <c r="N109" s="81">
        <f t="shared" si="55"/>
        <v>0</v>
      </c>
      <c r="O109" s="81">
        <f t="shared" si="56"/>
        <v>0</v>
      </c>
      <c r="P109" s="81">
        <f t="shared" si="51"/>
        <v>0</v>
      </c>
      <c r="Q109" s="81"/>
      <c r="R109" s="81">
        <f t="shared" si="78"/>
        <v>0</v>
      </c>
      <c r="S109" s="81">
        <v>0</v>
      </c>
      <c r="T109" s="81">
        <f>CEO!T109+CS!T109+CFO!T109+LLA!T109+'C&amp;E'!T109+CES!T109+LLT!T109+GB!T109</f>
        <v>0</v>
      </c>
      <c r="U109" s="81">
        <f t="shared" si="53"/>
        <v>0</v>
      </c>
      <c r="V109" s="81">
        <f t="shared" si="52"/>
        <v>0</v>
      </c>
      <c r="W109" s="81"/>
      <c r="X109" s="204"/>
      <c r="Y109" s="81">
        <f t="shared" si="58"/>
        <v>0</v>
      </c>
      <c r="Z109" s="81"/>
      <c r="AA109" s="81"/>
      <c r="AC109" s="295">
        <f t="shared" si="68"/>
        <v>0</v>
      </c>
    </row>
    <row r="110" spans="1:29" x14ac:dyDescent="0.3">
      <c r="A110" s="4">
        <f>A28+A46+A65+A91+A102+A108</f>
        <v>1423581.0651890058</v>
      </c>
      <c r="B110" s="4">
        <f>B28+B46+B65+B91+B102+B108</f>
        <v>1720081.3928690059</v>
      </c>
      <c r="C110" s="4">
        <f t="shared" ref="C110:L110" si="83">C28+C46+C65+C91+C102+C108</f>
        <v>1952740.3167890057</v>
      </c>
      <c r="D110" s="4">
        <f t="shared" si="83"/>
        <v>2089175.475349006</v>
      </c>
      <c r="E110" s="4">
        <f t="shared" si="83"/>
        <v>1685449.3211090059</v>
      </c>
      <c r="F110" s="4">
        <f t="shared" si="83"/>
        <v>1781748.4971890058</v>
      </c>
      <c r="G110" s="4">
        <f t="shared" si="83"/>
        <v>1484550.5192690059</v>
      </c>
      <c r="H110" s="4">
        <f t="shared" si="83"/>
        <v>1428147.6171890059</v>
      </c>
      <c r="I110" s="4">
        <f t="shared" si="83"/>
        <v>1467864.4362335387</v>
      </c>
      <c r="J110" s="4">
        <f t="shared" si="83"/>
        <v>1421303.7611890058</v>
      </c>
      <c r="K110" s="4">
        <f t="shared" si="83"/>
        <v>1451446.8370509287</v>
      </c>
      <c r="L110" s="4">
        <f t="shared" si="83"/>
        <v>1617284.9293441731</v>
      </c>
      <c r="M110" s="385" t="s">
        <v>171</v>
      </c>
      <c r="N110" s="4">
        <f t="shared" ref="N110:O110" si="84">N28+N46+N65+N91+N102+N108</f>
        <v>0</v>
      </c>
      <c r="O110" s="4">
        <f t="shared" si="84"/>
        <v>19523374.168769691</v>
      </c>
      <c r="P110" s="4">
        <f t="shared" ref="P110" si="85">P28+P46+P65+P91+P102+P108</f>
        <v>19523374.168769691</v>
      </c>
      <c r="Q110" s="4">
        <f>Q28+Q46+Q65+Q91+Q102+Q108</f>
        <v>19523374.423487693</v>
      </c>
      <c r="R110" s="4">
        <f t="shared" ref="R110:S110" si="86">R28+R46+R65+R91+R102+R108</f>
        <v>0.25471799998194911</v>
      </c>
      <c r="S110" s="4">
        <f t="shared" si="86"/>
        <v>4886209.8100000005</v>
      </c>
      <c r="T110" s="4">
        <f>CEO!T110+CS!T110+CFO!T110+LLA!T110+'C&amp;E'!T110+CES!T110+LLT!T110+GB!T110</f>
        <v>572974.11440532445</v>
      </c>
      <c r="U110" s="4">
        <f t="shared" si="53"/>
        <v>24982558.347893018</v>
      </c>
      <c r="V110" s="4">
        <f t="shared" si="52"/>
        <v>5459184.1791233271</v>
      </c>
      <c r="W110" s="4"/>
      <c r="X110" s="162">
        <f t="shared" si="54"/>
        <v>0</v>
      </c>
      <c r="Y110" s="4">
        <f t="shared" si="58"/>
        <v>19523374.423487693</v>
      </c>
      <c r="Z110" s="4">
        <f>Z28+Z46+Z65+Z91+Z102+Z108</f>
        <v>19523374.627546668</v>
      </c>
      <c r="AA110" s="4">
        <f>AA28+AA46+AA65+AA91+AA102+AA108</f>
        <v>20555667.235041361</v>
      </c>
      <c r="AC110" s="295">
        <f t="shared" si="68"/>
        <v>-0.20405897498130798</v>
      </c>
    </row>
    <row r="111" spans="1:29" ht="5.4" customHeight="1" x14ac:dyDescent="0.3">
      <c r="A111" s="81"/>
      <c r="B111" s="81"/>
      <c r="C111" s="81"/>
      <c r="D111" s="82"/>
      <c r="E111" s="81"/>
      <c r="F111" s="81"/>
      <c r="G111" s="81"/>
      <c r="H111" s="81"/>
      <c r="I111" s="81"/>
      <c r="J111" s="81"/>
      <c r="K111" s="81"/>
      <c r="L111" s="81"/>
      <c r="M111" s="122"/>
      <c r="N111" s="81">
        <f t="shared" si="55"/>
        <v>0</v>
      </c>
      <c r="O111" s="81">
        <f t="shared" si="56"/>
        <v>0</v>
      </c>
      <c r="P111" s="81">
        <f t="shared" si="51"/>
        <v>0</v>
      </c>
      <c r="Q111" s="81"/>
      <c r="R111" s="81">
        <f t="shared" si="78"/>
        <v>0</v>
      </c>
      <c r="S111" s="81">
        <v>0</v>
      </c>
      <c r="T111" s="81">
        <f>CEO!T111+CS!T111+CFO!T111+LLA!T111+'C&amp;E'!T111+CES!T111+LLT!T111+GB!T111</f>
        <v>0</v>
      </c>
      <c r="U111" s="81">
        <f t="shared" si="53"/>
        <v>0</v>
      </c>
      <c r="V111" s="81">
        <f t="shared" si="52"/>
        <v>0</v>
      </c>
      <c r="W111" s="81"/>
      <c r="X111" s="204"/>
      <c r="Y111" s="81">
        <f t="shared" si="58"/>
        <v>0</v>
      </c>
      <c r="Z111" s="81"/>
      <c r="AA111" s="81"/>
      <c r="AC111" s="295">
        <f t="shared" si="68"/>
        <v>0</v>
      </c>
    </row>
    <row r="112" spans="1:29" x14ac:dyDescent="0.3">
      <c r="A112" s="4">
        <f>A18+A110</f>
        <v>4064528.7562691658</v>
      </c>
      <c r="B112" s="4">
        <f>B18+B110</f>
        <v>4480563.3663893789</v>
      </c>
      <c r="C112" s="4">
        <f t="shared" ref="C112:L112" si="87">C18+C110</f>
        <v>4798216.0338336062</v>
      </c>
      <c r="D112" s="4">
        <f t="shared" si="87"/>
        <v>4996184.9367165798</v>
      </c>
      <c r="E112" s="4">
        <f t="shared" si="87"/>
        <v>4524394.7195936069</v>
      </c>
      <c r="F112" s="4">
        <f t="shared" si="87"/>
        <v>4607873.0095136063</v>
      </c>
      <c r="G112" s="4">
        <f t="shared" si="87"/>
        <v>4379561.1666365806</v>
      </c>
      <c r="H112" s="4">
        <f t="shared" si="87"/>
        <v>5801224.2394790146</v>
      </c>
      <c r="I112" s="4">
        <f t="shared" si="87"/>
        <v>4305084.8162381388</v>
      </c>
      <c r="J112" s="4">
        <f t="shared" si="87"/>
        <v>4332001.6271165796</v>
      </c>
      <c r="K112" s="4">
        <f t="shared" si="87"/>
        <v>4292601.9016155293</v>
      </c>
      <c r="L112" s="4">
        <f t="shared" si="87"/>
        <v>4426178.5066317469</v>
      </c>
      <c r="M112" s="13" t="s">
        <v>240</v>
      </c>
      <c r="N112" s="4">
        <f t="shared" ref="N112:O112" si="88">N18+N110</f>
        <v>0</v>
      </c>
      <c r="O112" s="4">
        <f t="shared" si="88"/>
        <v>55008413.080033526</v>
      </c>
      <c r="P112" s="4">
        <f>P18+P110</f>
        <v>55008413.080033526</v>
      </c>
      <c r="Q112" s="4">
        <f>Q18+Q110</f>
        <v>55008413.334751531</v>
      </c>
      <c r="R112" s="4">
        <f>R18+R110</f>
        <v>0.25471799998194911</v>
      </c>
      <c r="S112" s="4">
        <f>S18+S110</f>
        <v>6761256.3702114113</v>
      </c>
      <c r="T112" s="224">
        <f>CEO!T112+CS!T112+CFO!T112+LLA!T112+'C&amp;E'!T112+CES!T112+LLT!T112+GB!T112</f>
        <v>-941108.39194171887</v>
      </c>
      <c r="U112" s="224">
        <f t="shared" si="53"/>
        <v>60828561.31302122</v>
      </c>
      <c r="V112" s="224">
        <f t="shared" si="52"/>
        <v>5820148.2329876944</v>
      </c>
      <c r="W112" s="4"/>
      <c r="X112" s="162">
        <f t="shared" si="54"/>
        <v>0</v>
      </c>
      <c r="Y112" s="4">
        <f t="shared" si="58"/>
        <v>55008413.334751531</v>
      </c>
      <c r="Z112" s="4">
        <f>Z18+Z110</f>
        <v>54966012.495210618</v>
      </c>
      <c r="AA112" s="4">
        <f>AA18+AA110</f>
        <v>57664109.082485512</v>
      </c>
      <c r="AC112" s="295">
        <f t="shared" si="68"/>
        <v>42400.839540913701</v>
      </c>
    </row>
    <row r="113" spans="1:29" ht="6.6" customHeight="1" x14ac:dyDescent="0.3">
      <c r="A113" s="81"/>
      <c r="B113" s="81"/>
      <c r="C113" s="81"/>
      <c r="D113" s="82"/>
      <c r="E113" s="81"/>
      <c r="F113" s="81"/>
      <c r="G113" s="81"/>
      <c r="H113" s="81"/>
      <c r="I113" s="81"/>
      <c r="J113" s="81"/>
      <c r="K113" s="81"/>
      <c r="L113" s="81"/>
      <c r="M113" s="122"/>
      <c r="N113" s="81">
        <f t="shared" si="55"/>
        <v>0</v>
      </c>
      <c r="O113" s="81">
        <f t="shared" si="56"/>
        <v>0</v>
      </c>
      <c r="P113" s="81">
        <f t="shared" si="51"/>
        <v>0</v>
      </c>
      <c r="Q113" s="81"/>
      <c r="R113" s="81">
        <f t="shared" si="78"/>
        <v>0</v>
      </c>
      <c r="S113" s="81">
        <v>0</v>
      </c>
      <c r="T113" s="81">
        <f>CEO!T113+CS!T113+CFO!T113+LLA!T113+'C&amp;E'!T113+CES!T113+LLT!T113+GB!T113</f>
        <v>0</v>
      </c>
      <c r="U113" s="81">
        <f t="shared" si="53"/>
        <v>0</v>
      </c>
      <c r="V113" s="81">
        <f t="shared" si="52"/>
        <v>0</v>
      </c>
      <c r="W113" s="81"/>
      <c r="X113" s="204"/>
      <c r="Y113" s="81">
        <f t="shared" si="58"/>
        <v>0</v>
      </c>
      <c r="Z113" s="81"/>
      <c r="AA113" s="81"/>
      <c r="AC113" s="295">
        <f t="shared" si="68"/>
        <v>0</v>
      </c>
    </row>
    <row r="114" spans="1:29" x14ac:dyDescent="0.3">
      <c r="A114" s="8">
        <f>CEO!A114+CS!A114+CFO!A114+LLA!A114+'C&amp;E'!A114+CES!A114+LLT!A114+GB!A114</f>
        <v>0</v>
      </c>
      <c r="B114" s="8">
        <f>CEO!B114+CS!B114+CFO!B114+LLA!B114+'C&amp;E'!B114+CES!B114+LLT!B114+GB!B114</f>
        <v>0</v>
      </c>
      <c r="C114" s="8">
        <f>CEO!C114+CS!C114+CFO!C114+LLA!C114+'C&amp;E'!C114+CES!C114+LLT!C114+GB!C114</f>
        <v>0</v>
      </c>
      <c r="D114" s="8">
        <f>CEO!D114+CS!D114+CFO!D114+LLA!D114+'C&amp;E'!D114+CES!D114+LLT!D114+GB!D114</f>
        <v>0</v>
      </c>
      <c r="E114" s="8">
        <f>CEO!E114+CS!E114+CFO!E114+LLA!E114+'C&amp;E'!E114+CES!E114+LLT!E114+GB!E114</f>
        <v>0</v>
      </c>
      <c r="F114" s="8">
        <f>CEO!F114+CS!F114+CFO!F114+LLA!F114+'C&amp;E'!F114+CES!F114+LLT!F114+GB!F114</f>
        <v>0</v>
      </c>
      <c r="G114" s="8">
        <f>CEO!G114+CS!G114+CFO!G114+LLA!G114+'C&amp;E'!G114+CES!G114+LLT!G114+GB!G114</f>
        <v>0</v>
      </c>
      <c r="H114" s="8">
        <f>CEO!H114+CS!H114+CFO!H114+LLA!H114+'C&amp;E'!H114+CES!H114+LLT!H114+GB!H114</f>
        <v>0</v>
      </c>
      <c r="I114" s="8">
        <f>CEO!I114+CS!I114+CFO!I114+LLA!I114+'C&amp;E'!I114+CES!I114+LLT!I114+GB!I114</f>
        <v>0</v>
      </c>
      <c r="J114" s="8">
        <f>CEO!J114+CS!J114+CFO!J114+LLA!J114+'C&amp;E'!J114+CES!J114+LLT!J114+GB!J114</f>
        <v>0</v>
      </c>
      <c r="K114" s="8">
        <f>CEO!K114+CS!K114+CFO!K114+LLA!K114+'C&amp;E'!K114+CES!K114+LLT!K114+GB!K114</f>
        <v>0</v>
      </c>
      <c r="L114" s="8">
        <f>CEO!L114+CS!L114+CFO!L114+LLA!L114+'C&amp;E'!L114+CES!L114+LLT!L114+GB!L114</f>
        <v>50450.720000000001</v>
      </c>
      <c r="M114" s="385" t="s">
        <v>491</v>
      </c>
      <c r="N114" s="8">
        <f t="shared" ref="N114:N125" si="89">SUM(0)</f>
        <v>0</v>
      </c>
      <c r="O114" s="8">
        <f t="shared" ref="O114:O125" si="90">SUM(A114:L114)</f>
        <v>50450.720000000001</v>
      </c>
      <c r="P114" s="8">
        <f t="shared" si="51"/>
        <v>50450.720000000001</v>
      </c>
      <c r="Q114" s="8">
        <f>CEO!Q114+CS!Q114+CFO!Q114+LLA!Q114+'C&amp;E'!Q114+CES!Q114+LLT!Q114+GB!Q114</f>
        <v>50450.720000000001</v>
      </c>
      <c r="R114" s="8">
        <f t="shared" ref="R114:R125" si="91">Q114-P114</f>
        <v>0</v>
      </c>
      <c r="S114" s="8">
        <v>344198</v>
      </c>
      <c r="T114" s="8">
        <f>CEO!T114+CS!T114+CFO!T114+LLA!T114+'C&amp;E'!T114+CES!T114+LLT!T114+GB!T114</f>
        <v>455888</v>
      </c>
      <c r="U114" s="8">
        <f t="shared" si="53"/>
        <v>850536.72</v>
      </c>
      <c r="V114" s="8">
        <f t="shared" si="52"/>
        <v>800086</v>
      </c>
      <c r="W114" s="8"/>
      <c r="X114" s="158">
        <f t="shared" si="54"/>
        <v>0</v>
      </c>
      <c r="Y114" s="8">
        <f>(X114-Q114)+306469</f>
        <v>256018.28</v>
      </c>
      <c r="Z114" s="8">
        <v>50450.465351719999</v>
      </c>
      <c r="AA114" s="8">
        <f>(Z114*(1+AA$3))</f>
        <v>52821.637223250837</v>
      </c>
      <c r="AC114" s="295">
        <f t="shared" si="68"/>
        <v>0.25464828000258422</v>
      </c>
    </row>
    <row r="115" spans="1:29" x14ac:dyDescent="0.3">
      <c r="A115" s="7">
        <f>CEO!A115+CS!A115+CFO!A115+LLA!A115+'C&amp;E'!A115+CES!A115+LLT!A115+GB!A115</f>
        <v>0</v>
      </c>
      <c r="B115" s="7">
        <f>CEO!B115+CS!B115+CFO!B115+LLA!B115+'C&amp;E'!B115+CES!B115+LLT!B115+GB!B115</f>
        <v>0</v>
      </c>
      <c r="C115" s="7">
        <f>CEO!C115+CS!C115+CFO!C115+LLA!C115+'C&amp;E'!C115+CES!C115+LLT!C115+GB!C115</f>
        <v>0</v>
      </c>
      <c r="D115" s="7">
        <f>CEO!D115+CS!D115+CFO!D115+LLA!D115+'C&amp;E'!D115+CES!D115+LLT!D115+GB!D115</f>
        <v>0</v>
      </c>
      <c r="E115" s="7">
        <f>CEO!E115+CS!E115+CFO!E115+LLA!E115+'C&amp;E'!E115+CES!E115+LLT!E115+GB!E115</f>
        <v>0</v>
      </c>
      <c r="F115" s="7">
        <f>CEO!F115+CS!F115+CFO!F115+LLA!F115+'C&amp;E'!F115+CES!F115+LLT!F115+GB!F115</f>
        <v>0</v>
      </c>
      <c r="G115" s="7">
        <f>CEO!G115+CS!G115+CFO!G115+LLA!G115+'C&amp;E'!G115+CES!G115+LLT!G115+GB!G115</f>
        <v>0</v>
      </c>
      <c r="H115" s="7">
        <f>CEO!H115+CS!H115+CFO!H115+LLA!H115+'C&amp;E'!H115+CES!H115+LLT!H115+GB!H115</f>
        <v>0</v>
      </c>
      <c r="I115" s="7">
        <f>CEO!I115+CS!I115+CFO!I115+LLA!I115+'C&amp;E'!I115+CES!I115+LLT!I115+GB!I115</f>
        <v>0</v>
      </c>
      <c r="J115" s="7">
        <f>CEO!J115+CS!J115+CFO!J115+LLA!J115+'C&amp;E'!J115+CES!J115+LLT!J115+GB!J115</f>
        <v>0</v>
      </c>
      <c r="K115" s="7">
        <f>CEO!K115+CS!K115+CFO!K115+LLA!K115+'C&amp;E'!K115+CES!K115+LLT!K115+GB!K115</f>
        <v>58233</v>
      </c>
      <c r="L115" s="7">
        <v>0</v>
      </c>
      <c r="M115" s="13" t="s">
        <v>492</v>
      </c>
      <c r="N115" s="7">
        <f t="shared" si="89"/>
        <v>0</v>
      </c>
      <c r="O115" s="7">
        <f t="shared" si="90"/>
        <v>58233</v>
      </c>
      <c r="P115" s="7">
        <f t="shared" si="51"/>
        <v>58233</v>
      </c>
      <c r="Q115" s="7">
        <f>CEO!Q115+CS!Q115+CFO!Q115+LLA!Q115+'C&amp;E'!Q115+CES!Q115+LLT!Q115+GB!Q115</f>
        <v>58233</v>
      </c>
      <c r="R115" s="7">
        <f t="shared" si="91"/>
        <v>0</v>
      </c>
      <c r="S115" s="7">
        <v>0</v>
      </c>
      <c r="T115" s="7">
        <f>CEO!T115+CS!T115+CFO!T115+LLA!T115+'C&amp;E'!T115+CES!T115+LLT!T115+GB!T115</f>
        <v>10280</v>
      </c>
      <c r="U115" s="7">
        <f t="shared" si="53"/>
        <v>68513</v>
      </c>
      <c r="V115" s="7">
        <f t="shared" si="52"/>
        <v>10280</v>
      </c>
      <c r="W115" s="7"/>
      <c r="X115" s="159">
        <f t="shared" si="54"/>
        <v>0</v>
      </c>
      <c r="Y115" s="7">
        <f t="shared" ref="Y115:Y125" si="92">X115-Q115</f>
        <v>-58233</v>
      </c>
      <c r="Z115" s="7">
        <v>58233</v>
      </c>
      <c r="AA115" s="7">
        <f>200000-59471</f>
        <v>140529</v>
      </c>
      <c r="AC115" s="295">
        <f>Q115-Z115</f>
        <v>0</v>
      </c>
    </row>
    <row r="116" spans="1:29" x14ac:dyDescent="0.3">
      <c r="A116" s="7">
        <f>CEO!A116+CS!A116+CFO!A116+LLA!A116+'C&amp;E'!A116+CES!A116+LLT!A116+GB!A116</f>
        <v>0</v>
      </c>
      <c r="B116" s="7">
        <f>CEO!B116+CS!B116+CFO!B116+LLA!B116+'C&amp;E'!B116+CES!B116+LLT!B116+GB!B116</f>
        <v>0</v>
      </c>
      <c r="C116" s="7">
        <f>CEO!C116+CS!C116+CFO!C116+LLA!C116+'C&amp;E'!C116+CES!C116+LLT!C116+GB!C116</f>
        <v>0</v>
      </c>
      <c r="D116" s="7">
        <f>CEO!D116+CS!D116+CFO!D116+LLA!D116+'C&amp;E'!D116+CES!D116+LLT!D116+GB!D116</f>
        <v>0</v>
      </c>
      <c r="E116" s="7">
        <f>CEO!E116+CS!E116+CFO!E116+LLA!E116+'C&amp;E'!E116+CES!E116+LLT!E116+GB!E116</f>
        <v>0</v>
      </c>
      <c r="F116" s="7">
        <f>CEO!F116+CS!F116+CFO!F116+LLA!F116+'C&amp;E'!F116+CES!F116+LLT!F116+GB!F116</f>
        <v>0</v>
      </c>
      <c r="G116" s="7">
        <f>CEO!G116+CS!G116+CFO!G116+LLA!G116+'C&amp;E'!G116+CES!G116+LLT!G116+GB!G116</f>
        <v>0</v>
      </c>
      <c r="H116" s="7">
        <f>CEO!H116+CS!H116+CFO!H116+LLA!H116+'C&amp;E'!H116+CES!H116+LLT!H116+GB!H116</f>
        <v>0</v>
      </c>
      <c r="I116" s="7">
        <f>CEO!I116+CS!I116+CFO!I116+LLA!I116+'C&amp;E'!I116+CES!I116+LLT!I116+GB!I116</f>
        <v>0</v>
      </c>
      <c r="J116" s="7">
        <f>CEO!J116+CS!J116+CFO!J116+LLA!J116+'C&amp;E'!J116+CES!J116+LLT!J116+GB!J116</f>
        <v>0</v>
      </c>
      <c r="K116" s="7">
        <f>CEO!K116+CS!K116+CFO!K116+LLA!K116+'C&amp;E'!K116+CES!K116+LLT!K116+GB!K116</f>
        <v>0</v>
      </c>
      <c r="L116" s="7">
        <f>CEO!L116+CS!L116+CFO!L116+LLA!L116+'C&amp;E'!L116+CES!L116+LLT!L116+GB!L116</f>
        <v>0</v>
      </c>
      <c r="M116" s="13" t="s">
        <v>493</v>
      </c>
      <c r="N116" s="7">
        <f t="shared" si="89"/>
        <v>0</v>
      </c>
      <c r="O116" s="7">
        <f t="shared" si="90"/>
        <v>0</v>
      </c>
      <c r="P116" s="7">
        <f t="shared" si="51"/>
        <v>0</v>
      </c>
      <c r="Q116" s="7">
        <f>CEO!Q116+CS!Q116+CFO!Q116+LLA!Q116+'C&amp;E'!Q116+CES!Q116+LLT!Q116+GB!Q116</f>
        <v>0</v>
      </c>
      <c r="R116" s="7">
        <f t="shared" si="91"/>
        <v>0</v>
      </c>
      <c r="S116" s="7">
        <v>0</v>
      </c>
      <c r="T116" s="7">
        <f>CEO!T116+CS!T116+CFO!T116+LLA!T116+'C&amp;E'!T116+CES!T116+LLT!T116+GB!T116</f>
        <v>0</v>
      </c>
      <c r="U116" s="7">
        <f t="shared" si="53"/>
        <v>0</v>
      </c>
      <c r="V116" s="7">
        <f t="shared" si="52"/>
        <v>0</v>
      </c>
      <c r="W116" s="7"/>
      <c r="X116" s="159">
        <f t="shared" si="54"/>
        <v>0</v>
      </c>
      <c r="Y116" s="7">
        <f t="shared" si="92"/>
        <v>0</v>
      </c>
      <c r="Z116" s="7">
        <v>0</v>
      </c>
      <c r="AA116" s="7">
        <f t="shared" ref="AA116:AA125" si="93">Z116*(1+AA$3)</f>
        <v>0</v>
      </c>
      <c r="AC116" s="295">
        <f t="shared" si="68"/>
        <v>0</v>
      </c>
    </row>
    <row r="117" spans="1:29" x14ac:dyDescent="0.3">
      <c r="A117" s="7">
        <f>CEO!A117+CS!A117+CFO!A117+LLA!A117+'C&amp;E'!A117+CES!A117+LLT!A117+GB!A117</f>
        <v>0</v>
      </c>
      <c r="B117" s="7">
        <f>CEO!B117+CS!B117+CFO!B117+LLA!B117+'C&amp;E'!B117+CES!B117+LLT!B117+GB!B117</f>
        <v>0</v>
      </c>
      <c r="C117" s="7">
        <f>CEO!C117+CS!C117+CFO!C117+LLA!C117+'C&amp;E'!C117+CES!C117+LLT!C117+GB!C117</f>
        <v>0</v>
      </c>
      <c r="D117" s="7">
        <f>CEO!D117+CS!D117+CFO!D117+LLA!D117+'C&amp;E'!D117+CES!D117+LLT!D117+GB!D117</f>
        <v>0</v>
      </c>
      <c r="E117" s="7">
        <f>CEO!E117+CS!E117+CFO!E117+LLA!E117+'C&amp;E'!E117+CES!E117+LLT!E117+GB!E117</f>
        <v>0</v>
      </c>
      <c r="F117" s="7">
        <f>CEO!F117+CS!F117+CFO!F117+LLA!F117+'C&amp;E'!F117+CES!F117+LLT!F117+GB!F117</f>
        <v>0</v>
      </c>
      <c r="G117" s="7">
        <f>CEO!G117+CS!G117+CFO!G117+LLA!G117+'C&amp;E'!G117+CES!G117+LLT!G117+GB!G117</f>
        <v>0</v>
      </c>
      <c r="H117" s="7">
        <f>CEO!H117+CS!H117+CFO!H117+LLA!H117+'C&amp;E'!H117+CES!H117+LLT!H117+GB!H117</f>
        <v>0</v>
      </c>
      <c r="I117" s="7">
        <f>CEO!I117+CS!I117+CFO!I117+LLA!I117+'C&amp;E'!I117+CES!I117+LLT!I117+GB!I117</f>
        <v>0</v>
      </c>
      <c r="J117" s="7">
        <f>CEO!J117+CS!J117+CFO!J117+LLA!J117+'C&amp;E'!J117+CES!J117+LLT!J117+GB!J117</f>
        <v>0</v>
      </c>
      <c r="K117" s="7">
        <f>CEO!K117+CS!K117+CFO!K117+LLA!K117+'C&amp;E'!K117+CES!K117+LLT!K117+GB!K117</f>
        <v>0</v>
      </c>
      <c r="L117" s="7">
        <f>CEO!L117+CS!L117+CFO!L117+LLA!L117+'C&amp;E'!L117+CES!L117+LLT!L117+GB!L117</f>
        <v>0</v>
      </c>
      <c r="M117" s="385" t="s">
        <v>494</v>
      </c>
      <c r="N117" s="7">
        <f t="shared" si="89"/>
        <v>0</v>
      </c>
      <c r="O117" s="7">
        <f t="shared" si="90"/>
        <v>0</v>
      </c>
      <c r="P117" s="7">
        <f t="shared" si="51"/>
        <v>0</v>
      </c>
      <c r="Q117" s="7">
        <f>CEO!Q117+CS!Q117+CFO!Q117+LLA!Q117+'C&amp;E'!Q117+CES!Q117+LLT!Q117+GB!Q117</f>
        <v>0</v>
      </c>
      <c r="R117" s="7">
        <f t="shared" si="91"/>
        <v>0</v>
      </c>
      <c r="S117" s="7">
        <v>0</v>
      </c>
      <c r="T117" s="7">
        <f>CEO!T117+CS!T117+CFO!T117+LLA!T117+'C&amp;E'!T117+CES!T117+LLT!T117+GB!T117</f>
        <v>46958</v>
      </c>
      <c r="U117" s="7">
        <f t="shared" si="53"/>
        <v>46958</v>
      </c>
      <c r="V117" s="7">
        <f t="shared" si="52"/>
        <v>46958</v>
      </c>
      <c r="W117" s="7"/>
      <c r="X117" s="159">
        <f t="shared" si="54"/>
        <v>0</v>
      </c>
      <c r="Y117" s="7">
        <f t="shared" si="92"/>
        <v>0</v>
      </c>
      <c r="Z117" s="7">
        <v>0</v>
      </c>
      <c r="AA117" s="7">
        <f t="shared" si="93"/>
        <v>0</v>
      </c>
      <c r="AC117" s="295">
        <f t="shared" si="68"/>
        <v>0</v>
      </c>
    </row>
    <row r="118" spans="1:29" x14ac:dyDescent="0.3">
      <c r="A118" s="7">
        <f>CEO!A118+CS!A118+CFO!A118+LLA!A118+'C&amp;E'!A118+CES!A118+LLT!A118+GB!A118</f>
        <v>0</v>
      </c>
      <c r="B118" s="7">
        <f>CEO!B118+CS!B118+CFO!B118+LLA!B118+'C&amp;E'!B118+CES!B118+LLT!B118+GB!B118</f>
        <v>0</v>
      </c>
      <c r="C118" s="7">
        <f>CEO!C118+CS!C118+CFO!C118+LLA!C118+'C&amp;E'!C118+CES!C118+LLT!C118+GB!C118</f>
        <v>0</v>
      </c>
      <c r="D118" s="7">
        <f>CEO!D118+CS!D118+CFO!D118+LLA!D118+'C&amp;E'!D118+CES!D118+LLT!D118+GB!D118</f>
        <v>0</v>
      </c>
      <c r="E118" s="7">
        <f>CEO!E118+CS!E118+CFO!E118+LLA!E118+'C&amp;E'!E118+CES!E118+LLT!E118+GB!E118</f>
        <v>0</v>
      </c>
      <c r="F118" s="7">
        <f>CEO!F118+CS!F118+CFO!F118+LLA!F118+'C&amp;E'!F118+CES!F118+LLT!F118+GB!F118</f>
        <v>0</v>
      </c>
      <c r="G118" s="7">
        <f>CEO!G118+CS!G118+CFO!G118+LLA!G118+'C&amp;E'!G118+CES!G118+LLT!G118+GB!G118</f>
        <v>0</v>
      </c>
      <c r="H118" s="7">
        <f>CEO!H118+CS!H118+CFO!H118+LLA!H118+'C&amp;E'!H118+CES!H118+LLT!H118+GB!H118</f>
        <v>0</v>
      </c>
      <c r="I118" s="7">
        <f>CEO!I118+CS!I118+CFO!I118+LLA!I118+'C&amp;E'!I118+CES!I118+LLT!I118+GB!I118</f>
        <v>0</v>
      </c>
      <c r="J118" s="7">
        <f>CEO!J118+CS!J118+CFO!J118+LLA!J118+'C&amp;E'!J118+CES!J118+LLT!J118+GB!J118</f>
        <v>0</v>
      </c>
      <c r="K118" s="7">
        <f>CEO!K118+CS!K118+CFO!K118+LLA!K118+'C&amp;E'!K118+CES!K118+LLT!K118+GB!K118</f>
        <v>0</v>
      </c>
      <c r="L118" s="7">
        <f>CEO!L118+CS!L118+CFO!L118+LLA!L118+'C&amp;E'!L118+CES!L118+LLT!L118+GB!L118</f>
        <v>0</v>
      </c>
      <c r="M118" s="13" t="s">
        <v>495</v>
      </c>
      <c r="N118" s="7">
        <f t="shared" si="89"/>
        <v>0</v>
      </c>
      <c r="O118" s="7">
        <f t="shared" si="90"/>
        <v>0</v>
      </c>
      <c r="P118" s="7">
        <f t="shared" si="51"/>
        <v>0</v>
      </c>
      <c r="Q118" s="7">
        <f>CEO!Q118+CS!Q118+CFO!Q118+LLA!Q118+'C&amp;E'!Q118+CES!Q118+LLT!Q118+GB!Q118</f>
        <v>0</v>
      </c>
      <c r="R118" s="7">
        <f t="shared" si="91"/>
        <v>0</v>
      </c>
      <c r="S118" s="7">
        <v>0.23500000000058208</v>
      </c>
      <c r="T118" s="7">
        <f>CEO!T118+CS!T118+CFO!T118+LLA!T118+'C&amp;E'!T118+CES!T118+LLT!T118+GB!T118</f>
        <v>0</v>
      </c>
      <c r="U118" s="7">
        <f t="shared" si="53"/>
        <v>0.23500000000058208</v>
      </c>
      <c r="V118" s="7">
        <f t="shared" si="52"/>
        <v>0.23500000000058208</v>
      </c>
      <c r="W118" s="7"/>
      <c r="X118" s="159">
        <f t="shared" si="54"/>
        <v>0</v>
      </c>
      <c r="Y118" s="7">
        <f t="shared" si="92"/>
        <v>0</v>
      </c>
      <c r="Z118" s="7">
        <v>0</v>
      </c>
      <c r="AA118" s="7">
        <f t="shared" si="93"/>
        <v>0</v>
      </c>
      <c r="AC118" s="295">
        <f t="shared" si="68"/>
        <v>0</v>
      </c>
    </row>
    <row r="119" spans="1:29" x14ac:dyDescent="0.3">
      <c r="A119" s="7">
        <f>CEO!A119+CS!A119+CFO!A119+LLA!A119+'C&amp;E'!A119+CES!A119+LLT!A119+GB!A119</f>
        <v>47820</v>
      </c>
      <c r="B119" s="7">
        <f>CEO!B119+CS!B119+CFO!B119+LLA!B119+'C&amp;E'!B119+CES!B119+LLT!B119+GB!B119</f>
        <v>47820</v>
      </c>
      <c r="C119" s="7">
        <f>CEO!C119+CS!C119+CFO!C119+LLA!C119+'C&amp;E'!C119+CES!C119+LLT!C119+GB!C119</f>
        <v>47820</v>
      </c>
      <c r="D119" s="7">
        <f>CEO!D119+CS!D119+CFO!D119+LLA!D119+'C&amp;E'!D119+CES!D119+LLT!D119+GB!D119</f>
        <v>47820</v>
      </c>
      <c r="E119" s="7">
        <f>CEO!E119+CS!E119+CFO!E119+LLA!E119+'C&amp;E'!E119+CES!E119+LLT!E119+GB!E119</f>
        <v>47820</v>
      </c>
      <c r="F119" s="7">
        <f>CEO!F119+CS!F119+CFO!F119+LLA!F119+'C&amp;E'!F119+CES!F119+LLT!F119+GB!F119</f>
        <v>47820</v>
      </c>
      <c r="G119" s="7">
        <f>CEO!G119+CS!G119+CFO!G119+LLA!G119+'C&amp;E'!G119+CES!G119+LLT!G119+GB!G119</f>
        <v>47820</v>
      </c>
      <c r="H119" s="7">
        <f>CEO!H119+CS!H119+CFO!H119+LLA!H119+'C&amp;E'!H119+CES!H119+LLT!H119+GB!H119</f>
        <v>47820</v>
      </c>
      <c r="I119" s="7">
        <f>CEO!I119+CS!I119+CFO!I119+LLA!I119+'C&amp;E'!I119+CES!I119+LLT!I119+GB!I119</f>
        <v>47820</v>
      </c>
      <c r="J119" s="7">
        <f>CEO!J119+CS!J119+CFO!J119+LLA!J119+'C&amp;E'!J119+CES!J119+LLT!J119+GB!J119</f>
        <v>47820</v>
      </c>
      <c r="K119" s="7">
        <f>CEO!K119+CS!K119+CFO!K119+LLA!K119+'C&amp;E'!K119+CES!K119+LLT!K119+GB!K119</f>
        <v>47820</v>
      </c>
      <c r="L119" s="7">
        <f>CEO!L119+CS!L119+CFO!L119+LLA!L119+'C&amp;E'!L119+CES!L119+LLT!L119+GB!L119</f>
        <v>47820</v>
      </c>
      <c r="M119" s="13" t="s">
        <v>496</v>
      </c>
      <c r="N119" s="7">
        <f t="shared" si="89"/>
        <v>0</v>
      </c>
      <c r="O119" s="7">
        <f t="shared" si="90"/>
        <v>573840</v>
      </c>
      <c r="P119" s="7">
        <f t="shared" si="51"/>
        <v>573840</v>
      </c>
      <c r="Q119" s="7">
        <f>CEO!Q119+CS!Q119+CFO!Q119+LLA!Q119+'C&amp;E'!Q119+CES!Q119+LLT!Q119+GB!Q119</f>
        <v>573840</v>
      </c>
      <c r="R119" s="7">
        <f t="shared" si="91"/>
        <v>0</v>
      </c>
      <c r="S119" s="7">
        <v>-37729</v>
      </c>
      <c r="T119" s="7">
        <f>CEO!T119+CS!T119+CFO!T119+LLA!T119+'C&amp;E'!T119+CES!T119+LLT!T119+GB!T119</f>
        <v>414418</v>
      </c>
      <c r="U119" s="7">
        <f t="shared" si="53"/>
        <v>950529</v>
      </c>
      <c r="V119" s="7">
        <f t="shared" si="52"/>
        <v>376689</v>
      </c>
      <c r="W119" s="7"/>
      <c r="X119" s="159">
        <f t="shared" si="54"/>
        <v>0</v>
      </c>
      <c r="Y119" s="7">
        <f t="shared" si="92"/>
        <v>-573840</v>
      </c>
      <c r="Z119" s="7">
        <v>573840.44863999996</v>
      </c>
      <c r="AA119" s="7">
        <f t="shared" si="93"/>
        <v>600810.94972607994</v>
      </c>
      <c r="AC119" s="295">
        <f t="shared" si="68"/>
        <v>-0.44863999995868653</v>
      </c>
    </row>
    <row r="120" spans="1:29" x14ac:dyDescent="0.3">
      <c r="A120" s="7">
        <f>CEO!A120+CS!A120+CFO!A120+LLA!A120+'C&amp;E'!A120+CES!A120+LLT!A120+GB!A120</f>
        <v>0</v>
      </c>
      <c r="B120" s="7">
        <f>CEO!B120+CS!B120+CFO!B120+LLA!B120+'C&amp;E'!B120+CES!B120+LLT!B120+GB!B120</f>
        <v>0</v>
      </c>
      <c r="C120" s="7">
        <f>CEO!C120+CS!C120+CFO!C120+LLA!C120+'C&amp;E'!C120+CES!C120+LLT!C120+GB!C120</f>
        <v>0</v>
      </c>
      <c r="D120" s="7">
        <f>CEO!D120+CS!D120+CFO!D120+LLA!D120+'C&amp;E'!D120+CES!D120+LLT!D120+GB!D120</f>
        <v>0</v>
      </c>
      <c r="E120" s="7"/>
      <c r="F120" s="7"/>
      <c r="G120" s="7"/>
      <c r="H120" s="7"/>
      <c r="I120" s="7">
        <f>CEO!I120+CS!I120+CFO!I120+LLA!I120+'C&amp;E'!I120+CES!I120+LLT!I120+GB!I120</f>
        <v>0</v>
      </c>
      <c r="J120" s="7">
        <f>CEO!J120+CS!J120+CFO!J120+LLA!J120+'C&amp;E'!J120+CES!J120+LLT!J120+GB!J120</f>
        <v>0</v>
      </c>
      <c r="K120" s="7">
        <f>CEO!K120+CS!K120+CFO!K120+LLA!K120+'C&amp;E'!K120+CES!K120+LLT!K120+GB!K120</f>
        <v>0</v>
      </c>
      <c r="L120" s="7">
        <f>CEO!L120+CS!L120+CFO!L120+LLA!L120+'C&amp;E'!L120+CES!L120+LLT!L120+GB!L120</f>
        <v>0</v>
      </c>
      <c r="M120" s="385" t="s">
        <v>497</v>
      </c>
      <c r="N120" s="7">
        <f t="shared" si="89"/>
        <v>0</v>
      </c>
      <c r="O120" s="7">
        <f t="shared" si="90"/>
        <v>0</v>
      </c>
      <c r="P120" s="7">
        <f t="shared" si="51"/>
        <v>0</v>
      </c>
      <c r="Q120" s="7">
        <f>CEO!Q120+CS!Q120+CFO!Q120+LLA!Q120+'C&amp;E'!Q120+CES!Q120+LLT!Q120+GB!Q120</f>
        <v>0</v>
      </c>
      <c r="R120" s="7">
        <f t="shared" si="91"/>
        <v>0</v>
      </c>
      <c r="S120" s="7">
        <v>0</v>
      </c>
      <c r="T120" s="7">
        <f>CEO!T120+CS!T120+CFO!T120+LLA!T120+'C&amp;E'!T120+CES!T120+LLT!T120+GB!T120</f>
        <v>0</v>
      </c>
      <c r="U120" s="7">
        <f t="shared" si="53"/>
        <v>0</v>
      </c>
      <c r="V120" s="7">
        <f t="shared" si="52"/>
        <v>0</v>
      </c>
      <c r="W120" s="7"/>
      <c r="X120" s="159">
        <f t="shared" si="54"/>
        <v>0</v>
      </c>
      <c r="Y120" s="7">
        <f t="shared" si="92"/>
        <v>0</v>
      </c>
      <c r="Z120" s="7">
        <v>0</v>
      </c>
      <c r="AA120" s="7">
        <f t="shared" si="93"/>
        <v>0</v>
      </c>
      <c r="AC120" s="295">
        <f t="shared" si="68"/>
        <v>0</v>
      </c>
    </row>
    <row r="121" spans="1:29" x14ac:dyDescent="0.3">
      <c r="A121" s="7">
        <f>CEO!A121+CS!A121+CFO!A121+LLA!A121+'C&amp;E'!A121+CES!A121+LLT!A121+GB!A121</f>
        <v>0</v>
      </c>
      <c r="B121" s="7">
        <f>CEO!B121+CS!B121+CFO!B121+LLA!B121+'C&amp;E'!B121+CES!B121+LLT!B121+GB!B121</f>
        <v>0</v>
      </c>
      <c r="C121" s="7">
        <f>CEO!C121+CS!C121+CFO!C121+LLA!C121+'C&amp;E'!C121+CES!C121+LLT!C121+GB!C121</f>
        <v>0</v>
      </c>
      <c r="D121" s="7">
        <f>CEO!D121+CS!D121+CFO!D121+LLA!D121+'C&amp;E'!D121+CES!D121+LLT!D121+GB!D121</f>
        <v>0</v>
      </c>
      <c r="E121" s="7"/>
      <c r="F121" s="7"/>
      <c r="G121" s="7"/>
      <c r="H121" s="7"/>
      <c r="I121" s="7">
        <f>CEO!I121+CS!I121+CFO!I121+LLA!I121+'C&amp;E'!I121+CES!I121+LLT!I121+GB!I121</f>
        <v>0</v>
      </c>
      <c r="J121" s="7">
        <f>CEO!J121+CS!J121+CFO!J121+LLA!J121+'C&amp;E'!J121+CES!J121+LLT!J121+GB!J121</f>
        <v>0</v>
      </c>
      <c r="K121" s="7">
        <f>CEO!K121+CS!K121+CFO!K121+LLA!K121+'C&amp;E'!K121+CES!K121+LLT!K121+GB!K121</f>
        <v>0</v>
      </c>
      <c r="L121" s="7">
        <f>CEO!L121+CS!L121+CFO!L121+LLA!L121+'C&amp;E'!L121+CES!L121+LLT!L121+GB!L121</f>
        <v>0</v>
      </c>
      <c r="M121" s="13" t="s">
        <v>498</v>
      </c>
      <c r="N121" s="7">
        <f t="shared" si="89"/>
        <v>0</v>
      </c>
      <c r="O121" s="7">
        <f t="shared" si="90"/>
        <v>0</v>
      </c>
      <c r="P121" s="7">
        <f t="shared" si="51"/>
        <v>0</v>
      </c>
      <c r="Q121" s="7">
        <f>CEO!Q121+CS!Q121+CFO!Q121+LLA!Q121+'C&amp;E'!Q121+CES!Q121+LLT!Q121+GB!Q121</f>
        <v>0</v>
      </c>
      <c r="R121" s="7">
        <f t="shared" si="91"/>
        <v>0</v>
      </c>
      <c r="S121" s="7">
        <v>0</v>
      </c>
      <c r="T121" s="7">
        <f>CEO!T121+CS!T121+CFO!T121+LLA!T121+'C&amp;E'!T121+CES!T121+LLT!T121+GB!T121</f>
        <v>0</v>
      </c>
      <c r="U121" s="7">
        <f t="shared" si="53"/>
        <v>0</v>
      </c>
      <c r="V121" s="7">
        <f t="shared" si="52"/>
        <v>0</v>
      </c>
      <c r="W121" s="7"/>
      <c r="X121" s="159">
        <f t="shared" si="54"/>
        <v>0</v>
      </c>
      <c r="Y121" s="7">
        <f t="shared" si="92"/>
        <v>0</v>
      </c>
      <c r="Z121" s="7">
        <v>0</v>
      </c>
      <c r="AA121" s="7">
        <f t="shared" si="93"/>
        <v>0</v>
      </c>
      <c r="AC121" s="295">
        <f t="shared" si="68"/>
        <v>0</v>
      </c>
    </row>
    <row r="122" spans="1:29" x14ac:dyDescent="0.3">
      <c r="A122" s="7">
        <f>CEO!A122+CS!A122+CFO!A122+LLA!A122+'C&amp;E'!A122+CES!A122+LLT!A122+GB!A122</f>
        <v>31699.904000000002</v>
      </c>
      <c r="B122" s="7">
        <f>CEO!B122+CS!B122+CFO!B122+LLA!B122+'C&amp;E'!B122+CES!B122+LLT!B122+GB!B122</f>
        <v>31699.904000000002</v>
      </c>
      <c r="C122" s="7">
        <f>CEO!C122+CS!C122+CFO!C122+LLA!C122+'C&amp;E'!C122+CES!C122+LLT!C122+GB!C122</f>
        <v>31699.904000000002</v>
      </c>
      <c r="D122" s="7">
        <f>CEO!D122+CS!D122+CFO!D122+LLA!D122+'C&amp;E'!D122+CES!D122+LLT!D122+GB!D122</f>
        <v>31699.904000000002</v>
      </c>
      <c r="E122" s="7">
        <f>CEO!E122+CS!E122+CFO!E122+LLA!E122+'C&amp;E'!E122+CES!E122+LLT!E122+GB!E122</f>
        <v>31699.904000000002</v>
      </c>
      <c r="F122" s="7">
        <f>CEO!F122+CS!F122+CFO!F122+LLA!F122+'C&amp;E'!F122+CES!F122+LLT!F122+GB!F122</f>
        <v>31699.904000000002</v>
      </c>
      <c r="G122" s="7">
        <f>CEO!G122+CS!G122+CFO!G122+LLA!G122+'C&amp;E'!G122+CES!G122+LLT!G122+GB!G122</f>
        <v>31699.904000000002</v>
      </c>
      <c r="H122" s="7">
        <f>CEO!H122+CS!H122+CFO!H122+LLA!H122+'C&amp;E'!H122+CES!H122+LLT!H122+GB!H122</f>
        <v>31699.904000000002</v>
      </c>
      <c r="I122" s="7">
        <f>CEO!I122+CS!I122+CFO!I122+LLA!I122+'C&amp;E'!I122+CES!I122+LLT!I122+GB!I122</f>
        <v>31699.904000000002</v>
      </c>
      <c r="J122" s="7">
        <f>CEO!J122+CS!J122+CFO!J122+LLA!J122+'C&amp;E'!J122+CES!J122+LLT!J122+GB!J122</f>
        <v>31699.904000000002</v>
      </c>
      <c r="K122" s="7">
        <f>CEO!K122+CS!K122+CFO!K122+LLA!K122+'C&amp;E'!K122+CES!K122+LLT!K122+GB!K122</f>
        <v>31699.904000000002</v>
      </c>
      <c r="L122" s="7">
        <f>CEO!L122+CS!L122+CFO!L122+LLA!L122+'C&amp;E'!L122+CES!L122+LLT!L122+GB!L122</f>
        <v>31695.904000000002</v>
      </c>
      <c r="M122" s="13" t="s">
        <v>499</v>
      </c>
      <c r="N122" s="7">
        <f t="shared" si="89"/>
        <v>0</v>
      </c>
      <c r="O122" s="7">
        <f t="shared" si="90"/>
        <v>380394.848</v>
      </c>
      <c r="P122" s="7">
        <f t="shared" si="51"/>
        <v>380394.848</v>
      </c>
      <c r="Q122" s="7">
        <f>CEO!Q122+CS!Q122+CFO!Q122+LLA!Q122+'C&amp;E'!Q122+CES!Q122+LLT!Q122+GB!Q122</f>
        <v>380394.848</v>
      </c>
      <c r="R122" s="7">
        <f t="shared" si="91"/>
        <v>0</v>
      </c>
      <c r="S122" s="7">
        <v>-198733</v>
      </c>
      <c r="T122" s="7">
        <f>CEO!T122+CS!T122+CFO!T122+LLA!T122+'C&amp;E'!T122+CES!T122+LLT!T122+GB!T122</f>
        <v>13564</v>
      </c>
      <c r="U122" s="7">
        <f t="shared" si="53"/>
        <v>195225.848</v>
      </c>
      <c r="V122" s="7">
        <f t="shared" si="52"/>
        <v>-185169</v>
      </c>
      <c r="W122" s="7"/>
      <c r="X122" s="159">
        <f t="shared" si="54"/>
        <v>0</v>
      </c>
      <c r="Y122" s="7">
        <f t="shared" si="92"/>
        <v>-380394.848</v>
      </c>
      <c r="Z122" s="7">
        <v>380395.07520000002</v>
      </c>
      <c r="AA122" s="7">
        <f t="shared" si="93"/>
        <v>398273.64373439999</v>
      </c>
      <c r="AC122" s="295">
        <f t="shared" si="68"/>
        <v>-0.22720000002300367</v>
      </c>
    </row>
    <row r="123" spans="1:29" x14ac:dyDescent="0.3">
      <c r="A123" s="7">
        <f>CEO!A123+CS!A123+CFO!A123+LLA!A123+'C&amp;E'!A123+CES!A123+LLT!A123+GB!A123</f>
        <v>105337.62400000001</v>
      </c>
      <c r="B123" s="7">
        <f>CEO!B123+CS!B123+CFO!B123+LLA!B123+'C&amp;E'!B123+CES!B123+LLT!B123+GB!B123</f>
        <v>105337.62400000001</v>
      </c>
      <c r="C123" s="7">
        <f>CEO!C123+CS!C123+CFO!C123+LLA!C123+'C&amp;E'!C123+CES!C123+LLT!C123+GB!C123</f>
        <v>105337.62400000001</v>
      </c>
      <c r="D123" s="7">
        <f>CEO!D123+CS!D123+CFO!D123+LLA!D123+'C&amp;E'!D123+CES!D123+LLT!D123+GB!D123</f>
        <v>105337.62400000001</v>
      </c>
      <c r="E123" s="7">
        <f>CEO!E123+CS!E123+CFO!E123+LLA!E123+'C&amp;E'!E123+CES!E123+LLT!E123+GB!E123</f>
        <v>105337.62400000001</v>
      </c>
      <c r="F123" s="7">
        <f>CEO!F123+CS!F123+CFO!F123+LLA!F123+'C&amp;E'!F123+CES!F123+LLT!F123+GB!F123</f>
        <v>105337.62400000001</v>
      </c>
      <c r="G123" s="7">
        <f>CEO!G123+CS!G123+CFO!G123+LLA!G123+'C&amp;E'!G123+CES!G123+LLT!G123+GB!G123</f>
        <v>105337.62400000001</v>
      </c>
      <c r="H123" s="7">
        <f>CEO!H123+CS!H123+CFO!H123+LLA!H123+'C&amp;E'!H123+CES!H123+LLT!H123+GB!H123</f>
        <v>105337.62400000001</v>
      </c>
      <c r="I123" s="7">
        <f>CEO!I123+CS!I123+CFO!I123+LLA!I123+'C&amp;E'!I123+CES!I123+LLT!I123+GB!I123</f>
        <v>105337.62400000001</v>
      </c>
      <c r="J123" s="7">
        <f>CEO!J123+CS!J123+CFO!J123+LLA!J123+'C&amp;E'!J123+CES!J123+LLT!J123+GB!J123</f>
        <v>105337.62400000001</v>
      </c>
      <c r="K123" s="7">
        <f>CEO!K123+CS!K123+CFO!K123+LLA!K123+'C&amp;E'!K123+CES!K123+LLT!K123+GB!K123</f>
        <v>105337.62400000001</v>
      </c>
      <c r="L123" s="7">
        <f>CEO!L123+CS!L123+CFO!L123+LLA!L123+'C&amp;E'!L123+CES!L123+LLT!L123+GB!L123</f>
        <v>105339.62400000001</v>
      </c>
      <c r="M123" s="385" t="s">
        <v>500</v>
      </c>
      <c r="N123" s="7">
        <f t="shared" si="89"/>
        <v>0</v>
      </c>
      <c r="O123" s="7">
        <f t="shared" si="90"/>
        <v>1264053.4880000006</v>
      </c>
      <c r="P123" s="7">
        <f t="shared" si="51"/>
        <v>1264053.4880000006</v>
      </c>
      <c r="Q123" s="7">
        <f>CEO!Q123+CS!Q123+CFO!Q123+LLA!Q123+'C&amp;E'!Q123+CES!Q123+LLT!Q123+GB!Q123</f>
        <v>1264053.4880000006</v>
      </c>
      <c r="R123" s="7">
        <f t="shared" si="91"/>
        <v>0</v>
      </c>
      <c r="S123" s="7">
        <v>0</v>
      </c>
      <c r="T123" s="7">
        <f>CEO!T123+CS!T123+CFO!T123+LLA!T123+'C&amp;E'!T123+CES!T123+LLT!T123+GB!T123</f>
        <v>0</v>
      </c>
      <c r="U123" s="7">
        <f t="shared" si="53"/>
        <v>1264053.4880000006</v>
      </c>
      <c r="V123" s="7">
        <f t="shared" si="52"/>
        <v>0</v>
      </c>
      <c r="W123" s="7"/>
      <c r="X123" s="159">
        <f t="shared" si="54"/>
        <v>0</v>
      </c>
      <c r="Y123" s="7">
        <f t="shared" si="92"/>
        <v>-1264053.4880000006</v>
      </c>
      <c r="Z123" s="7">
        <v>1264053.2554576593</v>
      </c>
      <c r="AA123" s="7">
        <f t="shared" si="93"/>
        <v>1323463.7584641692</v>
      </c>
      <c r="AC123" s="295">
        <f t="shared" si="68"/>
        <v>0.23254234134219587</v>
      </c>
    </row>
    <row r="124" spans="1:29" x14ac:dyDescent="0.3">
      <c r="A124" s="7">
        <f>CEO!A124+CS!A124+CFO!A124+LLA!A124+'C&amp;E'!A124+CES!A124+LLT!A124+GB!A124</f>
        <v>0</v>
      </c>
      <c r="B124" s="7">
        <f>CEO!B124+CS!B124+CFO!B124+LLA!B124+'C&amp;E'!B124+CES!B124+LLT!B124+GB!B124</f>
        <v>0</v>
      </c>
      <c r="C124" s="7">
        <f>CEO!C124+CS!C124+CFO!C124+LLA!C124+'C&amp;E'!C124+CES!C124+LLT!C124+GB!C124</f>
        <v>0</v>
      </c>
      <c r="D124" s="7">
        <f>CEO!D124+CS!D124+CFO!D124+LLA!D124+'C&amp;E'!D124+CES!D124+LLT!D124+GB!D124</f>
        <v>0</v>
      </c>
      <c r="E124" s="7">
        <f>CEO!E124+CS!E124+CFO!E124+LLA!E124+'C&amp;E'!E124+CES!E124+LLT!E124+GB!E124</f>
        <v>0</v>
      </c>
      <c r="F124" s="7">
        <f>CEO!F124+CS!F124+CFO!F124+LLA!F124+'C&amp;E'!F124+CES!F124+LLT!F124+GB!F124</f>
        <v>0</v>
      </c>
      <c r="G124" s="7">
        <f>CEO!G124+CS!G124+CFO!G124+LLA!G124+'C&amp;E'!G124+CES!G124+LLT!G124+GB!G124</f>
        <v>0</v>
      </c>
      <c r="H124" s="7">
        <f>CEO!H124+CS!H124+CFO!H124+LLA!H124+'C&amp;E'!H124+CES!H124+LLT!H124+GB!H124</f>
        <v>0</v>
      </c>
      <c r="I124" s="7">
        <f>CEO!I124+CS!I124+CFO!I124+LLA!I124+'C&amp;E'!I124+CES!I124+LLT!I124+GB!I124</f>
        <v>0</v>
      </c>
      <c r="J124" s="7">
        <f>CEO!J124+CS!J124+CFO!J124+LLA!J124+'C&amp;E'!J124+CES!J124+LLT!J124+GB!J124</f>
        <v>0</v>
      </c>
      <c r="K124" s="7">
        <f>CEO!K124+CS!K124+CFO!K124+LLA!K124+'C&amp;E'!K124+CES!K124+LLT!K124+GB!K124</f>
        <v>0</v>
      </c>
      <c r="L124" s="7">
        <f>CEO!L124+CS!L124+CFO!L124+LLA!L124+'C&amp;E'!L124+CES!L124+LLT!L124+GB!L124</f>
        <v>0</v>
      </c>
      <c r="M124" s="13" t="s">
        <v>501</v>
      </c>
      <c r="N124" s="7">
        <f t="shared" si="89"/>
        <v>0</v>
      </c>
      <c r="O124" s="7">
        <f t="shared" si="90"/>
        <v>0</v>
      </c>
      <c r="P124" s="7">
        <f t="shared" si="51"/>
        <v>0</v>
      </c>
      <c r="Q124" s="7">
        <f>CEO!Q124+CS!Q124+CFO!Q124+LLA!Q124+'C&amp;E'!Q124+CES!Q124+LLT!Q124+GB!Q124</f>
        <v>0</v>
      </c>
      <c r="R124" s="7">
        <f t="shared" si="91"/>
        <v>0</v>
      </c>
      <c r="S124" s="7">
        <v>0</v>
      </c>
      <c r="T124" s="7">
        <f>CEO!T124+CS!T124+CFO!T124+LLA!T124+'C&amp;E'!T124+CES!T124+LLT!T124+GB!T124</f>
        <v>0</v>
      </c>
      <c r="U124" s="7">
        <f t="shared" si="53"/>
        <v>0</v>
      </c>
      <c r="V124" s="7">
        <f t="shared" si="52"/>
        <v>0</v>
      </c>
      <c r="W124" s="7"/>
      <c r="X124" s="159">
        <f t="shared" si="54"/>
        <v>0</v>
      </c>
      <c r="Y124" s="7">
        <f t="shared" si="92"/>
        <v>0</v>
      </c>
      <c r="Z124" s="7">
        <v>0</v>
      </c>
      <c r="AA124" s="7">
        <f t="shared" si="93"/>
        <v>0</v>
      </c>
      <c r="AC124" s="295">
        <f t="shared" si="68"/>
        <v>0</v>
      </c>
    </row>
    <row r="125" spans="1:29" x14ac:dyDescent="0.3">
      <c r="A125" s="11">
        <f>CEO!A125+CS!A125+CFO!A125+LLA!A125+'C&amp;E'!A125+CES!A125+LLT!A125+GB!A125</f>
        <v>0</v>
      </c>
      <c r="B125" s="11">
        <f>CEO!B125+CS!B125+CFO!B125+LLA!B125+'C&amp;E'!B125+CES!B125+LLT!B125+GB!B125</f>
        <v>0</v>
      </c>
      <c r="C125" s="11">
        <f>CEO!C125+CS!C125+CFO!C125+LLA!C125+'C&amp;E'!C125+CES!C125+LLT!C125+GB!C125</f>
        <v>0</v>
      </c>
      <c r="D125" s="11">
        <f>CEO!D125+CS!D125+CFO!D125+LLA!D125+'C&amp;E'!D125+CES!D125+LLT!D125+GB!D125</f>
        <v>0</v>
      </c>
      <c r="E125" s="11">
        <f>CEO!E125+CS!E125+CFO!E125+LLA!E125+'C&amp;E'!E125+CES!E125+LLT!E125+GB!E125</f>
        <v>0</v>
      </c>
      <c r="F125" s="11">
        <f>CEO!F125+CS!F125+CFO!F125+LLA!F125+'C&amp;E'!F125+CES!F125+LLT!F125+GB!F125</f>
        <v>0</v>
      </c>
      <c r="G125" s="11">
        <f>CEO!G125+CS!G125+CFO!G125+LLA!G125+'C&amp;E'!G125+CES!G125+LLT!G125+GB!G125</f>
        <v>0</v>
      </c>
      <c r="H125" s="11">
        <f>CEO!H125+CS!H125+CFO!H125+LLA!H125+'C&amp;E'!H125+CES!H125+LLT!H125+GB!H125</f>
        <v>0</v>
      </c>
      <c r="I125" s="11">
        <f>CEO!I125+CS!I125+CFO!I125+LLA!I125+'C&amp;E'!I125+CES!I125+LLT!I125+GB!I125</f>
        <v>0</v>
      </c>
      <c r="J125" s="11">
        <f>CEO!J125+CS!J125+CFO!J125+LLA!J125+'C&amp;E'!J125+CES!J125+LLT!J125+GB!J125</f>
        <v>0</v>
      </c>
      <c r="K125" s="11">
        <f>CEO!K125+CS!K125+CFO!K125+LLA!K125+'C&amp;E'!K125+CES!K125+LLT!K125+GB!K125</f>
        <v>0</v>
      </c>
      <c r="L125" s="11">
        <f>CEO!L125+CS!L125+CFO!L125+LLA!L125+'C&amp;E'!L125+CES!L125+LLT!L125+GB!L125</f>
        <v>0</v>
      </c>
      <c r="M125" s="13" t="s">
        <v>184</v>
      </c>
      <c r="N125" s="11">
        <f t="shared" si="89"/>
        <v>0</v>
      </c>
      <c r="O125" s="11">
        <f t="shared" si="90"/>
        <v>0</v>
      </c>
      <c r="P125" s="11">
        <f t="shared" si="51"/>
        <v>0</v>
      </c>
      <c r="Q125" s="11">
        <f>CEO!Q125+CS!Q125+CFO!Q125+LLA!Q125+'C&amp;E'!Q125+CES!Q125+LLT!Q125+GB!Q125</f>
        <v>0</v>
      </c>
      <c r="R125" s="11">
        <f t="shared" si="91"/>
        <v>0</v>
      </c>
      <c r="S125" s="11">
        <v>0</v>
      </c>
      <c r="T125" s="11">
        <f>CEO!T125+CS!T125+CFO!T125+LLA!T125+'C&amp;E'!T125+CES!T125+LLT!T125+GB!T125</f>
        <v>0</v>
      </c>
      <c r="U125" s="11">
        <f t="shared" si="53"/>
        <v>0</v>
      </c>
      <c r="V125" s="11">
        <f t="shared" si="52"/>
        <v>0</v>
      </c>
      <c r="W125" s="11"/>
      <c r="X125" s="160">
        <f t="shared" si="54"/>
        <v>0</v>
      </c>
      <c r="Y125" s="11">
        <f t="shared" si="92"/>
        <v>0</v>
      </c>
      <c r="Z125" s="11"/>
      <c r="AA125" s="11">
        <f t="shared" si="93"/>
        <v>0</v>
      </c>
      <c r="AC125" s="295">
        <f t="shared" si="68"/>
        <v>0</v>
      </c>
    </row>
    <row r="126" spans="1:29" ht="5.4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13"/>
      <c r="N126" s="7">
        <f t="shared" si="55"/>
        <v>0</v>
      </c>
      <c r="O126" s="7">
        <f t="shared" si="56"/>
        <v>0</v>
      </c>
      <c r="P126" s="7">
        <f t="shared" si="51"/>
        <v>0</v>
      </c>
      <c r="Q126" s="7"/>
      <c r="R126" s="7">
        <f t="shared" si="78"/>
        <v>0</v>
      </c>
      <c r="S126" s="7">
        <v>0</v>
      </c>
      <c r="T126" s="7">
        <f>CEO!T126+CS!T126+CFO!T126+LLA!T126+'C&amp;E'!T126+CES!T126+LLT!T126+GB!T126</f>
        <v>0</v>
      </c>
      <c r="U126" s="7">
        <f t="shared" si="53"/>
        <v>0</v>
      </c>
      <c r="V126" s="7">
        <f t="shared" si="52"/>
        <v>0</v>
      </c>
      <c r="W126" s="7"/>
      <c r="X126" s="159">
        <f t="shared" si="54"/>
        <v>0</v>
      </c>
      <c r="Y126" s="7">
        <f t="shared" si="58"/>
        <v>0</v>
      </c>
      <c r="Z126" s="7"/>
      <c r="AA126" s="7"/>
      <c r="AC126" s="295">
        <f t="shared" si="68"/>
        <v>0</v>
      </c>
    </row>
    <row r="127" spans="1:29" x14ac:dyDescent="0.3">
      <c r="A127" s="4">
        <f>SUM(A114:A125)</f>
        <v>184857.52800000002</v>
      </c>
      <c r="B127" s="4">
        <f>SUM(B114:B125)</f>
        <v>184857.52800000002</v>
      </c>
      <c r="C127" s="4">
        <f t="shared" ref="C127:L127" si="94">SUM(C114:C125)</f>
        <v>184857.52800000002</v>
      </c>
      <c r="D127" s="4">
        <f t="shared" si="94"/>
        <v>184857.52800000002</v>
      </c>
      <c r="E127" s="4">
        <f t="shared" si="94"/>
        <v>184857.52800000002</v>
      </c>
      <c r="F127" s="4">
        <f t="shared" si="94"/>
        <v>184857.52800000002</v>
      </c>
      <c r="G127" s="4">
        <f t="shared" si="94"/>
        <v>184857.52800000002</v>
      </c>
      <c r="H127" s="4">
        <f t="shared" si="94"/>
        <v>184857.52800000002</v>
      </c>
      <c r="I127" s="4">
        <f t="shared" si="94"/>
        <v>184857.52800000002</v>
      </c>
      <c r="J127" s="4">
        <f t="shared" si="94"/>
        <v>184857.52800000002</v>
      </c>
      <c r="K127" s="4">
        <f t="shared" si="94"/>
        <v>243090.52800000002</v>
      </c>
      <c r="L127" s="4">
        <f t="shared" si="94"/>
        <v>235306.24800000002</v>
      </c>
      <c r="M127" s="13" t="s">
        <v>185</v>
      </c>
      <c r="N127" s="4">
        <f t="shared" ref="N127:O127" si="95">SUM(N114:N125)</f>
        <v>0</v>
      </c>
      <c r="O127" s="4">
        <f t="shared" si="95"/>
        <v>2326972.0560000008</v>
      </c>
      <c r="P127" s="4">
        <f>SUM(P114:P125)</f>
        <v>2326972.0560000008</v>
      </c>
      <c r="Q127" s="4">
        <f>SUM(Q114:Q125)</f>
        <v>2326972.0560000008</v>
      </c>
      <c r="R127" s="4">
        <f>SUM(R114:R125)</f>
        <v>0</v>
      </c>
      <c r="S127" s="4">
        <f>SUM(S114:S125)</f>
        <v>107736.23499999999</v>
      </c>
      <c r="T127" s="4">
        <f>CEO!T127+CS!T127+CFO!T127+LLA!T127+'C&amp;E'!T127+CES!T127+LLT!T127+GB!T127</f>
        <v>941108</v>
      </c>
      <c r="U127" s="4">
        <f t="shared" si="53"/>
        <v>3375816.2910000007</v>
      </c>
      <c r="V127" s="4">
        <f t="shared" si="52"/>
        <v>1048844.2349999999</v>
      </c>
      <c r="W127" s="4"/>
      <c r="X127" s="162">
        <f t="shared" si="54"/>
        <v>0</v>
      </c>
      <c r="Y127" s="4">
        <f t="shared" si="58"/>
        <v>2326972.0560000008</v>
      </c>
      <c r="Z127" s="4">
        <f>SUM(Z114:Z125)</f>
        <v>2326972.2446493795</v>
      </c>
      <c r="AA127" s="4">
        <f>SUM(AA114:AA125)</f>
        <v>2515898.9891478997</v>
      </c>
      <c r="AC127" s="295">
        <f t="shared" si="68"/>
        <v>-0.18864937871694565</v>
      </c>
    </row>
    <row r="128" spans="1:29" ht="5.4" customHeight="1" x14ac:dyDescent="0.3">
      <c r="A128" s="82"/>
      <c r="B128" s="81"/>
      <c r="C128" s="81"/>
      <c r="D128" s="82"/>
      <c r="E128" s="86"/>
      <c r="F128" s="86"/>
      <c r="G128" s="86"/>
      <c r="H128" s="86"/>
      <c r="I128" s="86"/>
      <c r="J128" s="86"/>
      <c r="K128" s="86"/>
      <c r="L128" s="86"/>
      <c r="M128" s="122"/>
      <c r="N128" s="86">
        <f t="shared" si="55"/>
        <v>0</v>
      </c>
      <c r="O128" s="86">
        <f t="shared" si="56"/>
        <v>0</v>
      </c>
      <c r="P128" s="86">
        <f t="shared" si="51"/>
        <v>0</v>
      </c>
      <c r="Q128" s="86"/>
      <c r="R128" s="86">
        <f t="shared" si="78"/>
        <v>0</v>
      </c>
      <c r="S128" s="86">
        <v>0</v>
      </c>
      <c r="T128" s="81">
        <f>CEO!T128+CS!T128+CFO!T128+LLA!T128+'C&amp;E'!T128+CES!T128+LLT!T128+GB!T128</f>
        <v>0</v>
      </c>
      <c r="U128" s="81">
        <f t="shared" si="53"/>
        <v>0</v>
      </c>
      <c r="V128" s="81">
        <f t="shared" si="52"/>
        <v>0</v>
      </c>
      <c r="W128" s="81"/>
      <c r="X128" s="204"/>
      <c r="Y128" s="86">
        <f t="shared" si="58"/>
        <v>0</v>
      </c>
      <c r="Z128" s="86"/>
      <c r="AA128" s="86"/>
      <c r="AC128" s="295">
        <f t="shared" si="68"/>
        <v>0</v>
      </c>
    </row>
    <row r="129" spans="1:29" x14ac:dyDescent="0.3">
      <c r="A129" s="4">
        <f>A112+A127</f>
        <v>4249386.2842691662</v>
      </c>
      <c r="B129" s="4">
        <f>B112+B127</f>
        <v>4665420.8943893788</v>
      </c>
      <c r="C129" s="4">
        <f t="shared" ref="C129:L129" si="96">C112+C127</f>
        <v>4983073.5618336061</v>
      </c>
      <c r="D129" s="4">
        <f t="shared" si="96"/>
        <v>5181042.4647165798</v>
      </c>
      <c r="E129" s="4">
        <f t="shared" si="96"/>
        <v>4709252.2475936068</v>
      </c>
      <c r="F129" s="4">
        <f t="shared" si="96"/>
        <v>4792730.5375136063</v>
      </c>
      <c r="G129" s="4">
        <f>G112+G127</f>
        <v>4564418.6946365805</v>
      </c>
      <c r="H129" s="4">
        <f t="shared" si="96"/>
        <v>5986081.7674790146</v>
      </c>
      <c r="I129" s="4">
        <f t="shared" si="96"/>
        <v>4489942.3442381388</v>
      </c>
      <c r="J129" s="4">
        <f t="shared" si="96"/>
        <v>4516859.1551165795</v>
      </c>
      <c r="K129" s="4">
        <f t="shared" si="96"/>
        <v>4535692.4296155293</v>
      </c>
      <c r="L129" s="4">
        <f t="shared" si="96"/>
        <v>4661484.7546317466</v>
      </c>
      <c r="M129" s="13" t="s">
        <v>186</v>
      </c>
      <c r="N129" s="4">
        <f t="shared" ref="N129:O129" si="97">N112+N127</f>
        <v>0</v>
      </c>
      <c r="O129" s="4">
        <f t="shared" si="97"/>
        <v>57335385.136033528</v>
      </c>
      <c r="P129" s="4">
        <f>P112+P127</f>
        <v>57335385.136033528</v>
      </c>
      <c r="Q129" s="4">
        <f>Q112+Q127</f>
        <v>57335385.390751533</v>
      </c>
      <c r="R129" s="4">
        <f>R112+R127</f>
        <v>0.25471799998194911</v>
      </c>
      <c r="S129" s="4">
        <f>S112+S127</f>
        <v>6868992.6052114116</v>
      </c>
      <c r="T129" s="4">
        <f>CEO!T129+CS!T129+CFO!T129+LLA!T129+'C&amp;E'!T129+CES!T129+LLT!T129+GB!T129</f>
        <v>-0.39194171888175333</v>
      </c>
      <c r="U129" s="4">
        <f>S129+Q129+T129</f>
        <v>64204377.604021229</v>
      </c>
      <c r="V129" s="4">
        <f t="shared" si="52"/>
        <v>6868992.4679877013</v>
      </c>
      <c r="W129" s="4"/>
      <c r="X129" s="162">
        <f t="shared" si="54"/>
        <v>0</v>
      </c>
      <c r="Y129" s="4">
        <f t="shared" si="58"/>
        <v>57335385.390751533</v>
      </c>
      <c r="Z129" s="4">
        <f>Z112+Z127</f>
        <v>57292984.739859998</v>
      </c>
      <c r="AA129" s="4">
        <f>AA112+AA127</f>
        <v>60180008.071633413</v>
      </c>
      <c r="AC129" s="295">
        <f t="shared" si="68"/>
        <v>42400.650891534984</v>
      </c>
    </row>
    <row r="130" spans="1:29" ht="5.4" customHeight="1" x14ac:dyDescent="0.3">
      <c r="A130" s="381"/>
      <c r="B130" s="381"/>
      <c r="C130" s="381"/>
      <c r="D130" s="381"/>
      <c r="E130" s="381"/>
      <c r="F130" s="381"/>
      <c r="G130" s="381"/>
      <c r="H130" s="381"/>
      <c r="I130" s="381"/>
      <c r="J130" s="381"/>
      <c r="K130" s="381"/>
      <c r="L130" s="381"/>
      <c r="M130" s="122"/>
      <c r="N130" s="81">
        <f t="shared" ref="N130" si="98">SUM(A130:J130)</f>
        <v>0</v>
      </c>
      <c r="O130" s="81">
        <f t="shared" ref="O130" si="99">SUM(K130:L130)</f>
        <v>0</v>
      </c>
      <c r="P130" s="81">
        <f t="shared" si="51"/>
        <v>0</v>
      </c>
      <c r="Q130" s="81"/>
      <c r="R130" s="81">
        <f t="shared" si="78"/>
        <v>0</v>
      </c>
      <c r="S130" s="81">
        <f>CEO!S130+CS!S130+CFO!S130+LLA!S130+'C&amp;E'!S130+CES!S130+LLT!S130+GB!S130</f>
        <v>0</v>
      </c>
      <c r="T130" s="81">
        <f>CEO!T130+CS!T130+CFO!T130+LLA!T130+'C&amp;E'!T130+CES!T130+LLT!T130+GB!T130</f>
        <v>0</v>
      </c>
      <c r="U130" s="81">
        <f t="shared" ref="U130" si="100">Q130+T130</f>
        <v>0</v>
      </c>
      <c r="V130" s="81">
        <f t="shared" si="52"/>
        <v>0</v>
      </c>
      <c r="W130" s="81"/>
      <c r="Y130" s="81">
        <f t="shared" si="58"/>
        <v>0</v>
      </c>
      <c r="Z130" s="81"/>
      <c r="AA130" s="81"/>
      <c r="AC130" s="295">
        <f t="shared" si="68"/>
        <v>0</v>
      </c>
    </row>
    <row r="131" spans="1:29" x14ac:dyDescent="0.3">
      <c r="A131" s="8">
        <f>0*(110/100)</f>
        <v>0</v>
      </c>
      <c r="B131" s="8">
        <f>346500*1.1</f>
        <v>381150.00000000006</v>
      </c>
      <c r="C131" s="8">
        <f>22000*1.1</f>
        <v>24200.000000000004</v>
      </c>
      <c r="D131" s="8">
        <f>0*(110/100)</f>
        <v>0</v>
      </c>
      <c r="E131" s="8">
        <f>114400*1.1</f>
        <v>125840.00000000001</v>
      </c>
      <c r="F131" s="8">
        <v>0</v>
      </c>
      <c r="G131" s="8">
        <f>182050*1.1</f>
        <v>200255.00000000003</v>
      </c>
      <c r="H131" s="8">
        <f>113300*1.1</f>
        <v>124630.00000000001</v>
      </c>
      <c r="I131" s="8">
        <f>100100*1.1</f>
        <v>110110.00000000001</v>
      </c>
      <c r="J131" s="8">
        <f>46200*1.1</f>
        <v>50820.000000000007</v>
      </c>
      <c r="K131" s="8">
        <f>100100*1.1</f>
        <v>110110.00000000001</v>
      </c>
      <c r="L131" s="8">
        <f>100100*1.1</f>
        <v>110110.00000000001</v>
      </c>
      <c r="M131" s="385" t="s">
        <v>503</v>
      </c>
      <c r="N131" s="8">
        <f t="shared" ref="N131:N160" si="101">SUM(0)</f>
        <v>0</v>
      </c>
      <c r="O131" s="8">
        <f t="shared" ref="O131:O160" si="102">SUM(A131:L131)</f>
        <v>1237225.0000000002</v>
      </c>
      <c r="P131" s="8">
        <f t="shared" si="51"/>
        <v>1237225.0000000002</v>
      </c>
      <c r="Q131" s="8">
        <v>1237225.0000000002</v>
      </c>
      <c r="R131" s="8">
        <f t="shared" ref="R131:R160" si="103">Q131-P131</f>
        <v>0</v>
      </c>
      <c r="S131" s="8"/>
      <c r="T131" s="8">
        <f>CEO!T131+CS!T131+CFO!T131+LLA!T131+'C&amp;E'!T131+CES!T131+LLT!T131+GB!T131</f>
        <v>91071</v>
      </c>
      <c r="U131" s="7">
        <f t="shared" ref="U131:U171" si="104">S131+Q131+T131</f>
        <v>1328296.0000000002</v>
      </c>
      <c r="V131" s="8">
        <f t="shared" si="52"/>
        <v>91071</v>
      </c>
      <c r="W131" s="8"/>
      <c r="X131" s="158">
        <f t="shared" si="54"/>
        <v>0</v>
      </c>
      <c r="Y131" s="8"/>
      <c r="Z131" s="8">
        <v>1237225</v>
      </c>
      <c r="AA131" s="8">
        <f t="shared" ref="AA131:AA160" si="105">Z131*1.1</f>
        <v>1360947.5</v>
      </c>
      <c r="AB131" s="295">
        <f>P131-Z131</f>
        <v>0</v>
      </c>
      <c r="AC131" s="295">
        <f>Q131-Z131</f>
        <v>0</v>
      </c>
    </row>
    <row r="132" spans="1:29" x14ac:dyDescent="0.3">
      <c r="A132" s="7">
        <v>150354.6</v>
      </c>
      <c r="B132" s="7">
        <v>15826.800000000003</v>
      </c>
      <c r="C132" s="7">
        <v>0</v>
      </c>
      <c r="D132" s="7">
        <v>0</v>
      </c>
      <c r="E132" s="7">
        <v>18464.600000000002</v>
      </c>
      <c r="F132" s="7">
        <v>9075</v>
      </c>
      <c r="G132" s="7">
        <v>7913.4000000000015</v>
      </c>
      <c r="H132" s="7">
        <v>7913.4000000000015</v>
      </c>
      <c r="I132" s="7">
        <v>0</v>
      </c>
      <c r="J132" s="7">
        <v>452494.62500000012</v>
      </c>
      <c r="K132" s="7">
        <v>605000</v>
      </c>
      <c r="L132" s="7">
        <v>605000</v>
      </c>
      <c r="M132" s="13" t="s">
        <v>504</v>
      </c>
      <c r="N132" s="7">
        <f t="shared" si="101"/>
        <v>0</v>
      </c>
      <c r="O132" s="7">
        <f t="shared" si="102"/>
        <v>1872042.4250000003</v>
      </c>
      <c r="P132" s="7">
        <f t="shared" si="51"/>
        <v>1872042.4250000003</v>
      </c>
      <c r="Q132" s="7">
        <v>1872042.425</v>
      </c>
      <c r="R132" s="7">
        <f t="shared" si="103"/>
        <v>0</v>
      </c>
      <c r="S132" s="7"/>
      <c r="T132" s="7">
        <f>CEO!T132+CS!T132+CFO!T132+LLA!T132+'C&amp;E'!T132+CES!T132+LLT!T132+GB!T132</f>
        <v>0</v>
      </c>
      <c r="U132" s="7">
        <f t="shared" si="104"/>
        <v>1872042.425</v>
      </c>
      <c r="V132" s="7">
        <f t="shared" si="52"/>
        <v>0</v>
      </c>
      <c r="W132" s="7"/>
      <c r="X132" s="159">
        <f t="shared" si="54"/>
        <v>0</v>
      </c>
      <c r="Y132" s="7"/>
      <c r="Z132" s="7">
        <v>1872042.425</v>
      </c>
      <c r="AA132" s="7">
        <f t="shared" si="105"/>
        <v>2059246.6675000002</v>
      </c>
      <c r="AB132" s="295">
        <f t="shared" ref="AB132:AB160" si="106">P132-Z132</f>
        <v>0</v>
      </c>
      <c r="AC132" s="295">
        <f t="shared" si="68"/>
        <v>0</v>
      </c>
    </row>
    <row r="133" spans="1:29" x14ac:dyDescent="0.3">
      <c r="A133" s="7">
        <v>3303.3000000000006</v>
      </c>
      <c r="B133" s="7">
        <v>0</v>
      </c>
      <c r="C133" s="7">
        <v>0</v>
      </c>
      <c r="D133" s="7">
        <v>0</v>
      </c>
      <c r="E133" s="7">
        <v>2637.8</v>
      </c>
      <c r="F133" s="7">
        <v>0</v>
      </c>
      <c r="G133" s="7">
        <v>4289.4500000000007</v>
      </c>
      <c r="H133" s="7">
        <v>0</v>
      </c>
      <c r="I133" s="7">
        <v>2637.8</v>
      </c>
      <c r="J133" s="7">
        <v>0</v>
      </c>
      <c r="K133" s="7">
        <v>2637.8</v>
      </c>
      <c r="L133" s="7">
        <v>2637.8</v>
      </c>
      <c r="M133" s="13" t="s">
        <v>505</v>
      </c>
      <c r="N133" s="7">
        <f t="shared" si="101"/>
        <v>0</v>
      </c>
      <c r="O133" s="7">
        <f t="shared" si="102"/>
        <v>18143.95</v>
      </c>
      <c r="P133" s="7">
        <f t="shared" si="51"/>
        <v>18143.95</v>
      </c>
      <c r="Q133" s="7">
        <v>18143.95</v>
      </c>
      <c r="R133" s="7">
        <f t="shared" si="103"/>
        <v>0</v>
      </c>
      <c r="S133" s="7"/>
      <c r="T133" s="7">
        <f>CEO!T133+CS!T133+CFO!T133+LLA!T133+'C&amp;E'!T133+CES!T133+LLT!T133+GB!T133</f>
        <v>0</v>
      </c>
      <c r="U133" s="7">
        <f t="shared" si="104"/>
        <v>18143.95</v>
      </c>
      <c r="V133" s="7">
        <f t="shared" si="52"/>
        <v>0</v>
      </c>
      <c r="W133" s="7"/>
      <c r="X133" s="159">
        <f t="shared" si="54"/>
        <v>0</v>
      </c>
      <c r="Y133" s="7"/>
      <c r="Z133" s="7">
        <v>18143.95</v>
      </c>
      <c r="AA133" s="7">
        <f t="shared" si="105"/>
        <v>19958.345000000001</v>
      </c>
      <c r="AB133" s="295">
        <f t="shared" si="106"/>
        <v>0</v>
      </c>
      <c r="AC133" s="295">
        <f t="shared" si="68"/>
        <v>0</v>
      </c>
    </row>
    <row r="134" spans="1:29" x14ac:dyDescent="0.3">
      <c r="A134" s="7">
        <v>116462.50000000003</v>
      </c>
      <c r="B134" s="7">
        <v>184942.45</v>
      </c>
      <c r="C134" s="7">
        <v>42392.350000000006</v>
      </c>
      <c r="D134" s="7">
        <v>51709.350000000013</v>
      </c>
      <c r="E134" s="7">
        <v>148606.15000000002</v>
      </c>
      <c r="F134" s="7">
        <v>230595.75000000006</v>
      </c>
      <c r="G134" s="7">
        <v>140686.70000000004</v>
      </c>
      <c r="H134" s="7">
        <v>241776.15000000005</v>
      </c>
      <c r="I134" s="7">
        <v>140468.90000000002</v>
      </c>
      <c r="J134" s="7">
        <v>115161.75000000003</v>
      </c>
      <c r="K134" s="7">
        <v>140468.90000000002</v>
      </c>
      <c r="L134" s="7">
        <v>140468.90000000002</v>
      </c>
      <c r="M134" s="385" t="s">
        <v>506</v>
      </c>
      <c r="N134" s="7">
        <f t="shared" si="101"/>
        <v>0</v>
      </c>
      <c r="O134" s="7">
        <f t="shared" si="102"/>
        <v>1693739.85</v>
      </c>
      <c r="P134" s="7">
        <f t="shared" si="51"/>
        <v>1693739.85</v>
      </c>
      <c r="Q134" s="7">
        <v>1693739.85</v>
      </c>
      <c r="R134" s="7">
        <f t="shared" si="103"/>
        <v>0</v>
      </c>
      <c r="S134" s="7"/>
      <c r="T134" s="7">
        <f>CEO!T134+CS!T134+CFO!T134+LLA!T134+'C&amp;E'!T134+CES!T134+LLT!T134+GB!T134</f>
        <v>0</v>
      </c>
      <c r="U134" s="7">
        <f t="shared" si="104"/>
        <v>1693739.85</v>
      </c>
      <c r="V134" s="7">
        <f t="shared" si="52"/>
        <v>0</v>
      </c>
      <c r="W134" s="7"/>
      <c r="X134" s="159">
        <f t="shared" si="54"/>
        <v>0</v>
      </c>
      <c r="Y134" s="7"/>
      <c r="Z134" s="7">
        <v>1693739.85</v>
      </c>
      <c r="AA134" s="7">
        <f t="shared" si="105"/>
        <v>1863113.8350000002</v>
      </c>
      <c r="AB134" s="295">
        <f t="shared" si="106"/>
        <v>0</v>
      </c>
      <c r="AC134" s="295">
        <f t="shared" si="68"/>
        <v>0</v>
      </c>
    </row>
    <row r="135" spans="1:29" x14ac:dyDescent="0.3">
      <c r="A135" s="7">
        <v>0</v>
      </c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13" t="s">
        <v>507</v>
      </c>
      <c r="N135" s="7">
        <f t="shared" si="101"/>
        <v>0</v>
      </c>
      <c r="O135" s="7">
        <f t="shared" si="102"/>
        <v>0</v>
      </c>
      <c r="P135" s="7">
        <f t="shared" si="51"/>
        <v>0</v>
      </c>
      <c r="Q135" s="7">
        <v>0</v>
      </c>
      <c r="R135" s="7">
        <f t="shared" si="103"/>
        <v>0</v>
      </c>
      <c r="S135" s="7"/>
      <c r="T135" s="7">
        <f>CEO!T135+CS!T135+CFO!T135+LLA!T135+'C&amp;E'!T135+CES!T135+LLT!T135+GB!T135</f>
        <v>0</v>
      </c>
      <c r="U135" s="7">
        <f t="shared" si="104"/>
        <v>0</v>
      </c>
      <c r="V135" s="7">
        <f t="shared" si="52"/>
        <v>0</v>
      </c>
      <c r="W135" s="7"/>
      <c r="X135" s="159">
        <f t="shared" si="54"/>
        <v>0</v>
      </c>
      <c r="Y135" s="7"/>
      <c r="Z135" s="7">
        <v>0</v>
      </c>
      <c r="AA135" s="7">
        <f t="shared" si="105"/>
        <v>0</v>
      </c>
      <c r="AB135" s="295">
        <f t="shared" si="106"/>
        <v>0</v>
      </c>
      <c r="AC135" s="295">
        <f t="shared" si="68"/>
        <v>0</v>
      </c>
    </row>
    <row r="136" spans="1:29" x14ac:dyDescent="0.3">
      <c r="A136" s="7">
        <v>1609.3000000000004</v>
      </c>
      <c r="B136" s="7">
        <v>5069.9000000000005</v>
      </c>
      <c r="C136" s="7">
        <v>4314.6180000000013</v>
      </c>
      <c r="D136" s="7">
        <v>6122.6</v>
      </c>
      <c r="E136" s="7">
        <v>5856.4000000000005</v>
      </c>
      <c r="F136" s="7">
        <v>3859.900000000001</v>
      </c>
      <c r="G136" s="7">
        <v>4658.5</v>
      </c>
      <c r="H136" s="7">
        <v>3993.0000000000009</v>
      </c>
      <c r="I136" s="7">
        <v>2347.4</v>
      </c>
      <c r="J136" s="7">
        <v>1379.4</v>
      </c>
      <c r="K136" s="7">
        <v>2347.4</v>
      </c>
      <c r="L136" s="7">
        <v>2347.4</v>
      </c>
      <c r="M136" s="13" t="s">
        <v>508</v>
      </c>
      <c r="N136" s="7">
        <f t="shared" si="101"/>
        <v>0</v>
      </c>
      <c r="O136" s="7">
        <f t="shared" si="102"/>
        <v>43905.818000000014</v>
      </c>
      <c r="P136" s="7">
        <f t="shared" ref="P136:P171" si="107">SUM(N136:O136)</f>
        <v>43905.818000000014</v>
      </c>
      <c r="Q136" s="7">
        <v>43905.818000000007</v>
      </c>
      <c r="R136" s="7">
        <f t="shared" si="103"/>
        <v>0</v>
      </c>
      <c r="S136" s="7"/>
      <c r="T136" s="7">
        <f>CEO!T136+CS!T136+CFO!T136+LLA!T136+'C&amp;E'!T136+CES!T136+LLT!T136+GB!T136</f>
        <v>0</v>
      </c>
      <c r="U136" s="7">
        <f t="shared" si="104"/>
        <v>43905.818000000007</v>
      </c>
      <c r="V136" s="7">
        <f t="shared" ref="V136:V172" si="108">U136-P136</f>
        <v>0</v>
      </c>
      <c r="W136" s="7"/>
      <c r="X136" s="159">
        <f t="shared" si="54"/>
        <v>0</v>
      </c>
      <c r="Y136" s="7"/>
      <c r="Z136" s="7">
        <v>43905.818000000007</v>
      </c>
      <c r="AA136" s="7">
        <f t="shared" si="105"/>
        <v>48296.399800000014</v>
      </c>
      <c r="AB136" s="295">
        <f t="shared" si="106"/>
        <v>0</v>
      </c>
      <c r="AC136" s="295">
        <f t="shared" si="68"/>
        <v>0</v>
      </c>
    </row>
    <row r="137" spans="1:29" x14ac:dyDescent="0.3">
      <c r="A137" s="7">
        <v>82522</v>
      </c>
      <c r="B137" s="7">
        <v>133021.35000000003</v>
      </c>
      <c r="C137" s="7">
        <v>122470.15000000002</v>
      </c>
      <c r="D137" s="7">
        <v>133021.35000000003</v>
      </c>
      <c r="E137" s="7">
        <v>162121.85</v>
      </c>
      <c r="F137" s="7">
        <v>131369.70000000004</v>
      </c>
      <c r="G137" s="7">
        <v>90792.35</v>
      </c>
      <c r="H137" s="7">
        <v>103569.95000000003</v>
      </c>
      <c r="I137" s="7">
        <v>37419.25</v>
      </c>
      <c r="J137" s="7">
        <v>90816.55</v>
      </c>
      <c r="K137" s="7">
        <v>37419.25</v>
      </c>
      <c r="L137" s="7">
        <v>37419.25</v>
      </c>
      <c r="M137" s="385" t="s">
        <v>509</v>
      </c>
      <c r="N137" s="7">
        <f t="shared" si="101"/>
        <v>0</v>
      </c>
      <c r="O137" s="7">
        <f t="shared" si="102"/>
        <v>1161963.0000000002</v>
      </c>
      <c r="P137" s="7">
        <f t="shared" si="107"/>
        <v>1161963.0000000002</v>
      </c>
      <c r="Q137" s="7">
        <v>1161963</v>
      </c>
      <c r="R137" s="7">
        <f t="shared" si="103"/>
        <v>0</v>
      </c>
      <c r="S137" s="7"/>
      <c r="T137" s="7">
        <f>CEO!T137+CS!T137+CFO!T137+LLA!T137+'C&amp;E'!T137+CES!T137+LLT!T137+GB!T137</f>
        <v>0</v>
      </c>
      <c r="U137" s="7">
        <f t="shared" si="104"/>
        <v>1161963</v>
      </c>
      <c r="V137" s="7">
        <f t="shared" si="108"/>
        <v>0</v>
      </c>
      <c r="W137" s="7"/>
      <c r="X137" s="159">
        <f t="shared" si="54"/>
        <v>0</v>
      </c>
      <c r="Y137" s="7"/>
      <c r="Z137" s="7">
        <v>1161963</v>
      </c>
      <c r="AA137" s="7">
        <f t="shared" si="105"/>
        <v>1278159.3</v>
      </c>
      <c r="AB137" s="295">
        <f t="shared" si="106"/>
        <v>0</v>
      </c>
      <c r="AC137" s="295">
        <f t="shared" si="68"/>
        <v>0</v>
      </c>
    </row>
    <row r="138" spans="1:29" x14ac:dyDescent="0.3">
      <c r="A138" s="7">
        <v>2577.3000000000002</v>
      </c>
      <c r="B138" s="7">
        <v>0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13" t="s">
        <v>510</v>
      </c>
      <c r="N138" s="7">
        <f t="shared" si="101"/>
        <v>0</v>
      </c>
      <c r="O138" s="7">
        <f t="shared" si="102"/>
        <v>2577.3000000000002</v>
      </c>
      <c r="P138" s="7">
        <f t="shared" si="107"/>
        <v>2577.3000000000002</v>
      </c>
      <c r="Q138" s="7">
        <v>2577.3000000000002</v>
      </c>
      <c r="R138" s="7">
        <f t="shared" si="103"/>
        <v>0</v>
      </c>
      <c r="S138" s="7"/>
      <c r="T138" s="7">
        <f>CEO!T138+CS!T138+CFO!T138+LLA!T138+'C&amp;E'!T138+CES!T138+LLT!T138+GB!T138</f>
        <v>0</v>
      </c>
      <c r="U138" s="7">
        <f t="shared" si="104"/>
        <v>2577.3000000000002</v>
      </c>
      <c r="V138" s="7">
        <f t="shared" si="108"/>
        <v>0</v>
      </c>
      <c r="W138" s="7"/>
      <c r="X138" s="159">
        <f t="shared" ref="X138:X172" si="109">IFERROR(N138/Q138,0)</f>
        <v>0</v>
      </c>
      <c r="Y138" s="7"/>
      <c r="Z138" s="7">
        <v>2577.3000000000002</v>
      </c>
      <c r="AA138" s="7">
        <f t="shared" si="105"/>
        <v>2835.0300000000007</v>
      </c>
      <c r="AB138" s="295">
        <f t="shared" si="106"/>
        <v>0</v>
      </c>
      <c r="AC138" s="295">
        <f t="shared" si="68"/>
        <v>0</v>
      </c>
    </row>
    <row r="139" spans="1:29" x14ac:dyDescent="0.3">
      <c r="A139" s="7">
        <v>1651.6500000000003</v>
      </c>
      <c r="B139" s="7">
        <v>4295.5000000000009</v>
      </c>
      <c r="C139" s="7">
        <v>5941.1</v>
      </c>
      <c r="D139" s="7">
        <v>72.600000000000009</v>
      </c>
      <c r="E139" s="7">
        <v>2577.3000000000002</v>
      </c>
      <c r="F139" s="7">
        <v>1397.5500000000002</v>
      </c>
      <c r="G139" s="7">
        <v>859.10000000000025</v>
      </c>
      <c r="H139" s="7">
        <v>3436.400000000001</v>
      </c>
      <c r="I139" s="7">
        <v>2674.1000000000004</v>
      </c>
      <c r="J139" s="7">
        <v>4495.1500000000005</v>
      </c>
      <c r="K139" s="7">
        <v>2674.1000000000004</v>
      </c>
      <c r="L139" s="7">
        <v>2674.1000000000004</v>
      </c>
      <c r="M139" s="13" t="s">
        <v>511</v>
      </c>
      <c r="N139" s="7">
        <f t="shared" si="101"/>
        <v>0</v>
      </c>
      <c r="O139" s="7">
        <f t="shared" si="102"/>
        <v>32748.65</v>
      </c>
      <c r="P139" s="7">
        <f t="shared" si="107"/>
        <v>32748.65</v>
      </c>
      <c r="Q139" s="7">
        <v>32748.65</v>
      </c>
      <c r="R139" s="7">
        <f t="shared" si="103"/>
        <v>0</v>
      </c>
      <c r="S139" s="7"/>
      <c r="T139" s="7">
        <f>CEO!T139+CS!T139+CFO!T139+LLA!T139+'C&amp;E'!T139+CES!T139+LLT!T139+GB!T139</f>
        <v>0</v>
      </c>
      <c r="U139" s="7">
        <f t="shared" si="104"/>
        <v>32748.65</v>
      </c>
      <c r="V139" s="7">
        <f t="shared" si="108"/>
        <v>0</v>
      </c>
      <c r="W139" s="7"/>
      <c r="X139" s="159">
        <f t="shared" si="109"/>
        <v>0</v>
      </c>
      <c r="Y139" s="7"/>
      <c r="Z139" s="7">
        <v>32748.65</v>
      </c>
      <c r="AA139" s="7">
        <f t="shared" si="105"/>
        <v>36023.515000000007</v>
      </c>
      <c r="AB139" s="295">
        <f t="shared" si="106"/>
        <v>0</v>
      </c>
      <c r="AC139" s="295">
        <f t="shared" si="68"/>
        <v>0</v>
      </c>
    </row>
    <row r="140" spans="1:29" x14ac:dyDescent="0.3">
      <c r="A140" s="7">
        <v>12620.300000000003</v>
      </c>
      <c r="B140" s="7">
        <v>4954.9500000000007</v>
      </c>
      <c r="C140" s="7">
        <v>1651.6500000000003</v>
      </c>
      <c r="D140" s="7">
        <v>0</v>
      </c>
      <c r="E140" s="7">
        <v>8258.2500000000018</v>
      </c>
      <c r="F140" s="7">
        <v>1651.6500000000003</v>
      </c>
      <c r="G140" s="7">
        <v>9468.25</v>
      </c>
      <c r="H140" s="7">
        <v>1210</v>
      </c>
      <c r="I140" s="7">
        <v>6691.3000000000011</v>
      </c>
      <c r="J140" s="7">
        <v>3303.3000000000006</v>
      </c>
      <c r="K140" s="7">
        <v>6691.3000000000011</v>
      </c>
      <c r="L140" s="7">
        <v>6691.3000000000011</v>
      </c>
      <c r="M140" s="385" t="s">
        <v>512</v>
      </c>
      <c r="N140" s="7">
        <f t="shared" si="101"/>
        <v>0</v>
      </c>
      <c r="O140" s="7">
        <f t="shared" si="102"/>
        <v>63192.250000000022</v>
      </c>
      <c r="P140" s="7">
        <f t="shared" si="107"/>
        <v>63192.250000000022</v>
      </c>
      <c r="Q140" s="7">
        <v>63192.250000000007</v>
      </c>
      <c r="R140" s="7">
        <f t="shared" si="103"/>
        <v>0</v>
      </c>
      <c r="S140" s="7"/>
      <c r="T140" s="7">
        <f>CEO!T140+CS!T140+CFO!T140+LLA!T140+'C&amp;E'!T140+CES!T140+LLT!T140+GB!T140</f>
        <v>0</v>
      </c>
      <c r="U140" s="7">
        <f t="shared" si="104"/>
        <v>63192.250000000007</v>
      </c>
      <c r="V140" s="7">
        <f t="shared" si="108"/>
        <v>0</v>
      </c>
      <c r="W140" s="7"/>
      <c r="X140" s="159">
        <f t="shared" si="109"/>
        <v>0</v>
      </c>
      <c r="Y140" s="7"/>
      <c r="Z140" s="7">
        <v>63192.250000000007</v>
      </c>
      <c r="AA140" s="7">
        <f t="shared" si="105"/>
        <v>69511.47500000002</v>
      </c>
      <c r="AB140" s="295">
        <f t="shared" si="106"/>
        <v>0</v>
      </c>
      <c r="AC140" s="295">
        <f t="shared" si="68"/>
        <v>0</v>
      </c>
    </row>
    <row r="141" spans="1:29" x14ac:dyDescent="0.3">
      <c r="A141" s="7">
        <v>17254.600000000002</v>
      </c>
      <c r="B141" s="7">
        <v>20497.400000000001</v>
      </c>
      <c r="C141" s="7">
        <v>21894.95</v>
      </c>
      <c r="D141" s="7">
        <v>16304.750000000004</v>
      </c>
      <c r="E141" s="7">
        <v>24224.2</v>
      </c>
      <c r="F141" s="7">
        <v>18972.800000000003</v>
      </c>
      <c r="G141" s="7">
        <v>16304.750000000004</v>
      </c>
      <c r="H141" s="7">
        <v>20963.25</v>
      </c>
      <c r="I141" s="7">
        <v>17617.600000000002</v>
      </c>
      <c r="J141" s="7">
        <v>10708.5</v>
      </c>
      <c r="K141" s="7">
        <v>17617.600000000002</v>
      </c>
      <c r="L141" s="7">
        <v>17617.600000000002</v>
      </c>
      <c r="M141" s="13" t="s">
        <v>513</v>
      </c>
      <c r="N141" s="7">
        <f t="shared" si="101"/>
        <v>0</v>
      </c>
      <c r="O141" s="7">
        <f t="shared" si="102"/>
        <v>219978.00000000003</v>
      </c>
      <c r="P141" s="7">
        <f t="shared" si="107"/>
        <v>219978.00000000003</v>
      </c>
      <c r="Q141" s="7">
        <v>219978.00000000003</v>
      </c>
      <c r="R141" s="7">
        <f t="shared" si="103"/>
        <v>0</v>
      </c>
      <c r="S141" s="7"/>
      <c r="T141" s="7">
        <f>CEO!T141+CS!T141+CFO!T141+LLA!T141+'C&amp;E'!T141+CES!T141+LLT!T141+GB!T141</f>
        <v>0</v>
      </c>
      <c r="U141" s="7">
        <f t="shared" si="104"/>
        <v>219978.00000000003</v>
      </c>
      <c r="V141" s="7">
        <f t="shared" si="108"/>
        <v>0</v>
      </c>
      <c r="W141" s="7"/>
      <c r="X141" s="159">
        <f t="shared" si="109"/>
        <v>0</v>
      </c>
      <c r="Y141" s="7"/>
      <c r="Z141" s="7">
        <v>219978.00000000003</v>
      </c>
      <c r="AA141" s="7">
        <f t="shared" si="105"/>
        <v>241975.80000000005</v>
      </c>
      <c r="AB141" s="295">
        <f t="shared" si="106"/>
        <v>0</v>
      </c>
      <c r="AC141" s="295">
        <f t="shared" si="68"/>
        <v>0</v>
      </c>
    </row>
    <row r="142" spans="1:29" x14ac:dyDescent="0.3">
      <c r="A142" s="7">
        <v>2238.5000000000005</v>
      </c>
      <c r="B142" s="7">
        <v>16322.900000000003</v>
      </c>
      <c r="C142" s="7">
        <v>19759.300000000003</v>
      </c>
      <c r="D142" s="7">
        <v>20618.400000000001</v>
      </c>
      <c r="E142" s="7">
        <v>35223.100000000006</v>
      </c>
      <c r="F142" s="7">
        <v>33504.900000000009</v>
      </c>
      <c r="G142" s="7">
        <v>28350.300000000007</v>
      </c>
      <c r="H142" s="7">
        <v>22336.600000000002</v>
      </c>
      <c r="I142" s="7">
        <v>16335.000000000004</v>
      </c>
      <c r="J142" s="7">
        <v>9982.5</v>
      </c>
      <c r="K142" s="7">
        <v>16335.000000000004</v>
      </c>
      <c r="L142" s="7">
        <v>16335.000000000004</v>
      </c>
      <c r="M142" s="13" t="s">
        <v>514</v>
      </c>
      <c r="N142" s="7">
        <f t="shared" si="101"/>
        <v>0</v>
      </c>
      <c r="O142" s="7">
        <f t="shared" si="102"/>
        <v>237341.50000000003</v>
      </c>
      <c r="P142" s="7">
        <f t="shared" si="107"/>
        <v>237341.50000000003</v>
      </c>
      <c r="Q142" s="7">
        <v>237341.50000000003</v>
      </c>
      <c r="R142" s="7">
        <f t="shared" si="103"/>
        <v>0</v>
      </c>
      <c r="S142" s="7"/>
      <c r="T142" s="7">
        <f>CEO!T142+CS!T142+CFO!T142+LLA!T142+'C&amp;E'!T142+CES!T142+LLT!T142+GB!T142</f>
        <v>0</v>
      </c>
      <c r="U142" s="7">
        <f t="shared" si="104"/>
        <v>237341.50000000003</v>
      </c>
      <c r="V142" s="7">
        <f t="shared" si="108"/>
        <v>0</v>
      </c>
      <c r="W142" s="7"/>
      <c r="X142" s="159">
        <f t="shared" si="109"/>
        <v>0</v>
      </c>
      <c r="Y142" s="7"/>
      <c r="Z142" s="7">
        <v>237341.50000000003</v>
      </c>
      <c r="AA142" s="7">
        <f t="shared" si="105"/>
        <v>261075.65000000005</v>
      </c>
      <c r="AB142" s="295">
        <f t="shared" si="106"/>
        <v>0</v>
      </c>
      <c r="AC142" s="295">
        <f t="shared" si="68"/>
        <v>0</v>
      </c>
    </row>
    <row r="143" spans="1:29" x14ac:dyDescent="0.3">
      <c r="A143" s="7">
        <v>1718.2000000000005</v>
      </c>
      <c r="B143" s="7">
        <v>4198.7000000000007</v>
      </c>
      <c r="C143" s="7">
        <v>1391.5</v>
      </c>
      <c r="D143" s="7">
        <v>2758.8</v>
      </c>
      <c r="E143" s="7">
        <v>2238.5000000000005</v>
      </c>
      <c r="F143" s="7">
        <v>1064.8000000000002</v>
      </c>
      <c r="G143" s="7">
        <v>1851.3000000000004</v>
      </c>
      <c r="H143" s="7">
        <v>3642.1000000000008</v>
      </c>
      <c r="I143" s="7">
        <v>278.30000000000007</v>
      </c>
      <c r="J143" s="7">
        <v>5783.8</v>
      </c>
      <c r="K143" s="7">
        <v>278.30000000000007</v>
      </c>
      <c r="L143" s="7">
        <v>278.30000000000007</v>
      </c>
      <c r="M143" s="385" t="s">
        <v>515</v>
      </c>
      <c r="N143" s="7">
        <f t="shared" si="101"/>
        <v>0</v>
      </c>
      <c r="O143" s="7">
        <f t="shared" si="102"/>
        <v>25482.6</v>
      </c>
      <c r="P143" s="7">
        <f t="shared" si="107"/>
        <v>25482.6</v>
      </c>
      <c r="Q143" s="7">
        <v>25482.600000000002</v>
      </c>
      <c r="R143" s="7">
        <f t="shared" si="103"/>
        <v>0</v>
      </c>
      <c r="S143" s="7"/>
      <c r="T143" s="7">
        <f>CEO!T143+CS!T143+CFO!T143+LLA!T143+'C&amp;E'!T143+CES!T143+LLT!T143+GB!T143</f>
        <v>0</v>
      </c>
      <c r="U143" s="7">
        <f t="shared" si="104"/>
        <v>25482.600000000002</v>
      </c>
      <c r="V143" s="7">
        <f t="shared" si="108"/>
        <v>0</v>
      </c>
      <c r="W143" s="7"/>
      <c r="X143" s="159">
        <f t="shared" si="109"/>
        <v>0</v>
      </c>
      <c r="Y143" s="7"/>
      <c r="Z143" s="7">
        <v>25482.600000000002</v>
      </c>
      <c r="AA143" s="7">
        <f t="shared" si="105"/>
        <v>28030.860000000004</v>
      </c>
      <c r="AB143" s="295">
        <f t="shared" si="106"/>
        <v>0</v>
      </c>
      <c r="AC143" s="295">
        <f t="shared" si="68"/>
        <v>0</v>
      </c>
    </row>
    <row r="144" spans="1:29" x14ac:dyDescent="0.3">
      <c r="A144" s="7">
        <v>11688.6</v>
      </c>
      <c r="B144" s="7">
        <v>2577.3000000000002</v>
      </c>
      <c r="C144" s="7">
        <v>5154.6000000000004</v>
      </c>
      <c r="D144" s="7">
        <v>1718.2000000000005</v>
      </c>
      <c r="E144" s="7">
        <v>859.10000000000025</v>
      </c>
      <c r="F144" s="7">
        <v>1718.2000000000005</v>
      </c>
      <c r="G144" s="7">
        <v>4295.5000000000009</v>
      </c>
      <c r="H144" s="7">
        <v>2577.3000000000002</v>
      </c>
      <c r="I144" s="7">
        <v>3630.0000000000009</v>
      </c>
      <c r="J144" s="7">
        <v>0</v>
      </c>
      <c r="K144" s="7">
        <v>3630.0000000000009</v>
      </c>
      <c r="L144" s="7">
        <v>3630.0000000000009</v>
      </c>
      <c r="M144" s="13" t="s">
        <v>516</v>
      </c>
      <c r="N144" s="7">
        <f t="shared" si="101"/>
        <v>0</v>
      </c>
      <c r="O144" s="7">
        <f t="shared" si="102"/>
        <v>41478.800000000003</v>
      </c>
      <c r="P144" s="7">
        <f t="shared" si="107"/>
        <v>41478.800000000003</v>
      </c>
      <c r="Q144" s="7">
        <v>41478.800000000003</v>
      </c>
      <c r="R144" s="7">
        <f t="shared" si="103"/>
        <v>0</v>
      </c>
      <c r="S144" s="7"/>
      <c r="T144" s="7">
        <f>CEO!T144+CS!T144+CFO!T144+LLA!T144+'C&amp;E'!T144+CES!T144+LLT!T144+GB!T144</f>
        <v>0</v>
      </c>
      <c r="U144" s="7">
        <f t="shared" si="104"/>
        <v>41478.800000000003</v>
      </c>
      <c r="V144" s="7">
        <f t="shared" si="108"/>
        <v>0</v>
      </c>
      <c r="W144" s="7"/>
      <c r="X144" s="159">
        <f t="shared" si="109"/>
        <v>0</v>
      </c>
      <c r="Y144" s="7"/>
      <c r="Z144" s="7">
        <v>41478.800000000003</v>
      </c>
      <c r="AA144" s="7">
        <f t="shared" si="105"/>
        <v>45626.680000000008</v>
      </c>
      <c r="AB144" s="295">
        <f t="shared" si="106"/>
        <v>0</v>
      </c>
      <c r="AC144" s="295">
        <f t="shared" si="68"/>
        <v>0</v>
      </c>
    </row>
    <row r="145" spans="1:29" x14ac:dyDescent="0.3">
      <c r="A145" s="7">
        <v>4295.5000000000009</v>
      </c>
      <c r="B145" s="7">
        <v>20031.550000000003</v>
      </c>
      <c r="C145" s="7">
        <v>17702.300000000003</v>
      </c>
      <c r="D145" s="7">
        <v>14907.200000000003</v>
      </c>
      <c r="E145" s="7">
        <v>20963.25</v>
      </c>
      <c r="F145" s="7">
        <v>16220.050000000003</v>
      </c>
      <c r="G145" s="7">
        <v>14442.560000000001</v>
      </c>
      <c r="H145" s="7">
        <v>19099.850000000002</v>
      </c>
      <c r="I145" s="7">
        <v>14677.300000000003</v>
      </c>
      <c r="J145" s="7">
        <v>7768.2000000000016</v>
      </c>
      <c r="K145" s="7">
        <v>14677.300000000003</v>
      </c>
      <c r="L145" s="7">
        <v>14677.300000000003</v>
      </c>
      <c r="M145" s="13" t="s">
        <v>517</v>
      </c>
      <c r="N145" s="7">
        <f t="shared" si="101"/>
        <v>0</v>
      </c>
      <c r="O145" s="7">
        <f t="shared" si="102"/>
        <v>179462.36000000004</v>
      </c>
      <c r="P145" s="7">
        <f t="shared" si="107"/>
        <v>179462.36000000004</v>
      </c>
      <c r="Q145" s="7">
        <v>179462.36000000002</v>
      </c>
      <c r="R145" s="7">
        <f t="shared" si="103"/>
        <v>0</v>
      </c>
      <c r="S145" s="7"/>
      <c r="T145" s="7">
        <f>CEO!T145+CS!T145+CFO!T145+LLA!T145+'C&amp;E'!T145+CES!T145+LLT!T145+GB!T145</f>
        <v>0</v>
      </c>
      <c r="U145" s="7">
        <f t="shared" si="104"/>
        <v>179462.36000000002</v>
      </c>
      <c r="V145" s="7">
        <f t="shared" si="108"/>
        <v>0</v>
      </c>
      <c r="W145" s="7"/>
      <c r="X145" s="159">
        <f t="shared" si="109"/>
        <v>0</v>
      </c>
      <c r="Y145" s="7"/>
      <c r="Z145" s="7">
        <v>179462.36000000002</v>
      </c>
      <c r="AA145" s="7">
        <f t="shared" si="105"/>
        <v>197408.59600000002</v>
      </c>
      <c r="AB145" s="295">
        <f t="shared" si="106"/>
        <v>0</v>
      </c>
      <c r="AC145" s="295">
        <f t="shared" si="68"/>
        <v>0</v>
      </c>
    </row>
    <row r="146" spans="1:29" x14ac:dyDescent="0.3">
      <c r="A146" s="7">
        <v>0</v>
      </c>
      <c r="B146" s="7">
        <v>7731.9000000000015</v>
      </c>
      <c r="C146" s="7">
        <v>6872.800000000002</v>
      </c>
      <c r="D146" s="7">
        <v>7731.9000000000015</v>
      </c>
      <c r="E146" s="7">
        <v>41236.800000000003</v>
      </c>
      <c r="F146" s="7">
        <v>8663.6000000000022</v>
      </c>
      <c r="G146" s="7">
        <v>27491.200000000008</v>
      </c>
      <c r="H146" s="7">
        <v>12886.500000000004</v>
      </c>
      <c r="I146" s="7">
        <v>7260.0000000000018</v>
      </c>
      <c r="J146" s="7">
        <v>3630.0000000000009</v>
      </c>
      <c r="K146" s="7">
        <v>7260.0000000000018</v>
      </c>
      <c r="L146" s="7">
        <v>7260.0000000000018</v>
      </c>
      <c r="M146" s="385" t="s">
        <v>518</v>
      </c>
      <c r="N146" s="7">
        <f t="shared" si="101"/>
        <v>0</v>
      </c>
      <c r="O146" s="7">
        <f t="shared" si="102"/>
        <v>138024.70000000004</v>
      </c>
      <c r="P146" s="7">
        <f t="shared" si="107"/>
        <v>138024.70000000004</v>
      </c>
      <c r="Q146" s="7">
        <v>138024.70000000001</v>
      </c>
      <c r="R146" s="7">
        <f t="shared" si="103"/>
        <v>0</v>
      </c>
      <c r="S146" s="7"/>
      <c r="T146" s="7">
        <f>CEO!T146+CS!T146+CFO!T146+LLA!T146+'C&amp;E'!T146+CES!T146+LLT!T146+GB!T146</f>
        <v>0</v>
      </c>
      <c r="U146" s="7">
        <f t="shared" si="104"/>
        <v>138024.70000000001</v>
      </c>
      <c r="V146" s="7">
        <f t="shared" si="108"/>
        <v>0</v>
      </c>
      <c r="W146" s="7"/>
      <c r="X146" s="159">
        <f t="shared" si="109"/>
        <v>0</v>
      </c>
      <c r="Y146" s="7"/>
      <c r="Z146" s="7">
        <v>138024.70000000001</v>
      </c>
      <c r="AA146" s="7">
        <f t="shared" si="105"/>
        <v>151827.17000000001</v>
      </c>
      <c r="AB146" s="295">
        <f t="shared" si="106"/>
        <v>0</v>
      </c>
      <c r="AC146" s="295">
        <f t="shared" si="68"/>
        <v>0</v>
      </c>
    </row>
    <row r="147" spans="1:29" x14ac:dyDescent="0.3">
      <c r="A147" s="7">
        <v>0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13" t="s">
        <v>519</v>
      </c>
      <c r="N147" s="7">
        <f t="shared" si="101"/>
        <v>0</v>
      </c>
      <c r="O147" s="7">
        <f t="shared" si="102"/>
        <v>0</v>
      </c>
      <c r="P147" s="7">
        <f t="shared" si="107"/>
        <v>0</v>
      </c>
      <c r="Q147" s="7">
        <v>0</v>
      </c>
      <c r="R147" s="7">
        <f t="shared" si="103"/>
        <v>0</v>
      </c>
      <c r="S147" s="7"/>
      <c r="T147" s="7">
        <f>CEO!T147+CS!T147+CFO!T147+LLA!T147+'C&amp;E'!T147+CES!T147+LLT!T147+GB!T147</f>
        <v>0</v>
      </c>
      <c r="U147" s="7">
        <f t="shared" si="104"/>
        <v>0</v>
      </c>
      <c r="V147" s="7">
        <f t="shared" si="108"/>
        <v>0</v>
      </c>
      <c r="W147" s="7"/>
      <c r="X147" s="159">
        <f t="shared" si="109"/>
        <v>0</v>
      </c>
      <c r="Y147" s="7"/>
      <c r="Z147" s="7">
        <v>0</v>
      </c>
      <c r="AA147" s="7">
        <f t="shared" si="105"/>
        <v>0</v>
      </c>
      <c r="AB147" s="295">
        <f t="shared" si="106"/>
        <v>0</v>
      </c>
      <c r="AC147" s="295">
        <f t="shared" si="68"/>
        <v>0</v>
      </c>
    </row>
    <row r="148" spans="1:29" x14ac:dyDescent="0.3">
      <c r="A148" s="7">
        <v>0</v>
      </c>
      <c r="B148" s="7">
        <v>1863.4000000000003</v>
      </c>
      <c r="C148" s="7">
        <v>1863.4000000000003</v>
      </c>
      <c r="D148" s="7">
        <v>931.70000000000016</v>
      </c>
      <c r="E148" s="7">
        <v>465.85000000000008</v>
      </c>
      <c r="F148" s="7">
        <v>931.70000000000016</v>
      </c>
      <c r="G148" s="7">
        <v>465.85000000000008</v>
      </c>
      <c r="H148" s="7">
        <v>931.70000000000016</v>
      </c>
      <c r="I148" s="7">
        <v>490.05000000000013</v>
      </c>
      <c r="J148" s="7">
        <v>0</v>
      </c>
      <c r="K148" s="7">
        <v>490.05000000000013</v>
      </c>
      <c r="L148" s="7">
        <v>490.05000000000013</v>
      </c>
      <c r="M148" s="13" t="s">
        <v>520</v>
      </c>
      <c r="N148" s="7">
        <f t="shared" si="101"/>
        <v>0</v>
      </c>
      <c r="O148" s="7">
        <f t="shared" si="102"/>
        <v>8923.75</v>
      </c>
      <c r="P148" s="7">
        <f t="shared" si="107"/>
        <v>8923.75</v>
      </c>
      <c r="Q148" s="7">
        <v>8923.7500000000018</v>
      </c>
      <c r="R148" s="7">
        <f t="shared" si="103"/>
        <v>0</v>
      </c>
      <c r="S148" s="7"/>
      <c r="T148" s="7">
        <f>CEO!T148+CS!T148+CFO!T148+LLA!T148+'C&amp;E'!T148+CES!T148+LLT!T148+GB!T148</f>
        <v>0</v>
      </c>
      <c r="U148" s="7">
        <f t="shared" si="104"/>
        <v>8923.7500000000018</v>
      </c>
      <c r="V148" s="7">
        <f t="shared" si="108"/>
        <v>0</v>
      </c>
      <c r="W148" s="7"/>
      <c r="X148" s="159">
        <f t="shared" si="109"/>
        <v>0</v>
      </c>
      <c r="Y148" s="7"/>
      <c r="Z148" s="7">
        <v>8923.7500000000018</v>
      </c>
      <c r="AA148" s="7">
        <f t="shared" si="105"/>
        <v>9816.1250000000036</v>
      </c>
      <c r="AB148" s="295">
        <f t="shared" si="106"/>
        <v>0</v>
      </c>
      <c r="AC148" s="295">
        <f t="shared" si="68"/>
        <v>0</v>
      </c>
    </row>
    <row r="149" spans="1:29" x14ac:dyDescent="0.3">
      <c r="A149" s="7">
        <v>0</v>
      </c>
      <c r="B149" s="7">
        <v>0</v>
      </c>
      <c r="C149" s="7">
        <v>0</v>
      </c>
      <c r="D149" s="7">
        <v>0</v>
      </c>
      <c r="E149" s="7">
        <v>465.85000000000008</v>
      </c>
      <c r="F149" s="7">
        <v>0</v>
      </c>
      <c r="G149" s="7">
        <v>0</v>
      </c>
      <c r="H149" s="7">
        <v>0</v>
      </c>
      <c r="I149" s="7">
        <v>465.85000000000008</v>
      </c>
      <c r="J149" s="7">
        <v>490.05000000000013</v>
      </c>
      <c r="K149" s="7">
        <v>465.85000000000008</v>
      </c>
      <c r="L149" s="7">
        <v>465.85000000000008</v>
      </c>
      <c r="M149" s="385" t="s">
        <v>521</v>
      </c>
      <c r="N149" s="7">
        <f t="shared" si="101"/>
        <v>0</v>
      </c>
      <c r="O149" s="7">
        <f t="shared" si="102"/>
        <v>2353.4500000000003</v>
      </c>
      <c r="P149" s="7">
        <f t="shared" si="107"/>
        <v>2353.4500000000003</v>
      </c>
      <c r="Q149" s="7">
        <v>2353.4500000000007</v>
      </c>
      <c r="R149" s="7">
        <f t="shared" si="103"/>
        <v>0</v>
      </c>
      <c r="S149" s="7"/>
      <c r="T149" s="7">
        <f>CEO!T149+CS!T149+CFO!T149+LLA!T149+'C&amp;E'!T149+CES!T149+LLT!T149+GB!T149</f>
        <v>0</v>
      </c>
      <c r="U149" s="7">
        <f t="shared" si="104"/>
        <v>2353.4500000000007</v>
      </c>
      <c r="V149" s="7">
        <f t="shared" si="108"/>
        <v>0</v>
      </c>
      <c r="W149" s="7"/>
      <c r="X149" s="159">
        <f t="shared" si="109"/>
        <v>0</v>
      </c>
      <c r="Y149" s="7"/>
      <c r="Z149" s="7">
        <v>2353.4500000000007</v>
      </c>
      <c r="AA149" s="7">
        <f t="shared" si="105"/>
        <v>2588.795000000001</v>
      </c>
      <c r="AB149" s="295">
        <f t="shared" si="106"/>
        <v>0</v>
      </c>
      <c r="AC149" s="295">
        <f t="shared" si="68"/>
        <v>0</v>
      </c>
    </row>
    <row r="150" spans="1:29" x14ac:dyDescent="0.3">
      <c r="A150" s="7">
        <v>0</v>
      </c>
      <c r="B150" s="7">
        <v>0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13" t="s">
        <v>522</v>
      </c>
      <c r="N150" s="7">
        <f t="shared" si="101"/>
        <v>0</v>
      </c>
      <c r="O150" s="7">
        <f t="shared" si="102"/>
        <v>0</v>
      </c>
      <c r="P150" s="7">
        <f t="shared" si="107"/>
        <v>0</v>
      </c>
      <c r="Q150" s="7">
        <v>0</v>
      </c>
      <c r="R150" s="7">
        <f t="shared" si="103"/>
        <v>0</v>
      </c>
      <c r="S150" s="7"/>
      <c r="T150" s="7">
        <f>CEO!T150+CS!T150+CFO!T150+LLA!T150+'C&amp;E'!T150+CES!T150+LLT!T150+GB!T150</f>
        <v>0</v>
      </c>
      <c r="U150" s="7">
        <f t="shared" si="104"/>
        <v>0</v>
      </c>
      <c r="V150" s="7">
        <f t="shared" si="108"/>
        <v>0</v>
      </c>
      <c r="W150" s="7"/>
      <c r="X150" s="159">
        <f t="shared" si="109"/>
        <v>0</v>
      </c>
      <c r="Y150" s="7"/>
      <c r="Z150" s="7">
        <v>0</v>
      </c>
      <c r="AA150" s="7">
        <f t="shared" si="105"/>
        <v>0</v>
      </c>
      <c r="AB150" s="295">
        <f t="shared" si="106"/>
        <v>0</v>
      </c>
      <c r="AC150" s="295">
        <f t="shared" si="68"/>
        <v>0</v>
      </c>
    </row>
    <row r="151" spans="1:29" x14ac:dyDescent="0.3">
      <c r="A151" s="7">
        <v>0</v>
      </c>
      <c r="B151" s="7">
        <v>0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13" t="s">
        <v>523</v>
      </c>
      <c r="N151" s="7">
        <f t="shared" si="101"/>
        <v>0</v>
      </c>
      <c r="O151" s="7">
        <f t="shared" si="102"/>
        <v>0</v>
      </c>
      <c r="P151" s="7">
        <f t="shared" si="107"/>
        <v>0</v>
      </c>
      <c r="Q151" s="7">
        <v>0</v>
      </c>
      <c r="R151" s="7">
        <f t="shared" si="103"/>
        <v>0</v>
      </c>
      <c r="S151" s="7"/>
      <c r="T151" s="7">
        <f>CEO!T151+CS!T151+CFO!T151+LLA!T151+'C&amp;E'!T151+CES!T151+LLT!T151+GB!T151</f>
        <v>0</v>
      </c>
      <c r="U151" s="7">
        <f t="shared" si="104"/>
        <v>0</v>
      </c>
      <c r="V151" s="7">
        <f t="shared" si="108"/>
        <v>0</v>
      </c>
      <c r="W151" s="7"/>
      <c r="X151" s="159">
        <f t="shared" si="109"/>
        <v>0</v>
      </c>
      <c r="Y151" s="7"/>
      <c r="Z151" s="7">
        <v>0</v>
      </c>
      <c r="AA151" s="7">
        <f t="shared" si="105"/>
        <v>0</v>
      </c>
      <c r="AB151" s="295">
        <f t="shared" si="106"/>
        <v>0</v>
      </c>
      <c r="AC151" s="295">
        <f t="shared" si="68"/>
        <v>0</v>
      </c>
    </row>
    <row r="152" spans="1:29" x14ac:dyDescent="0.3">
      <c r="A152" s="7">
        <v>0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385" t="s">
        <v>524</v>
      </c>
      <c r="N152" s="7">
        <f t="shared" si="101"/>
        <v>0</v>
      </c>
      <c r="O152" s="7">
        <f t="shared" si="102"/>
        <v>0</v>
      </c>
      <c r="P152" s="7">
        <f t="shared" si="107"/>
        <v>0</v>
      </c>
      <c r="Q152" s="7">
        <v>0</v>
      </c>
      <c r="R152" s="7">
        <f t="shared" si="103"/>
        <v>0</v>
      </c>
      <c r="S152" s="7"/>
      <c r="T152" s="7">
        <f>CEO!T152+CS!T152+CFO!T152+LLA!T152+'C&amp;E'!T152+CES!T152+LLT!T152+GB!T152</f>
        <v>0</v>
      </c>
      <c r="U152" s="7">
        <f t="shared" si="104"/>
        <v>0</v>
      </c>
      <c r="V152" s="7">
        <f t="shared" si="108"/>
        <v>0</v>
      </c>
      <c r="W152" s="7"/>
      <c r="X152" s="159">
        <f t="shared" si="109"/>
        <v>0</v>
      </c>
      <c r="Y152" s="7"/>
      <c r="Z152" s="7">
        <v>0</v>
      </c>
      <c r="AA152" s="7">
        <f t="shared" si="105"/>
        <v>0</v>
      </c>
      <c r="AB152" s="295">
        <f t="shared" si="106"/>
        <v>0</v>
      </c>
      <c r="AC152" s="295">
        <f t="shared" si="68"/>
        <v>0</v>
      </c>
    </row>
    <row r="153" spans="1:29" x14ac:dyDescent="0.3">
      <c r="A153" s="7">
        <v>1863.4000000000003</v>
      </c>
      <c r="B153" s="7">
        <v>3260.9500000000007</v>
      </c>
      <c r="C153" s="7">
        <v>2329.25</v>
      </c>
      <c r="D153" s="7">
        <v>3260.9500000000007</v>
      </c>
      <c r="E153" s="7">
        <v>3260.9500000000007</v>
      </c>
      <c r="F153" s="7">
        <v>1397.5500000000002</v>
      </c>
      <c r="G153" s="7">
        <v>1863.4000000000003</v>
      </c>
      <c r="H153" s="7">
        <v>1863.4000000000003</v>
      </c>
      <c r="I153" s="7">
        <v>0</v>
      </c>
      <c r="J153" s="7">
        <v>1373.3500000000001</v>
      </c>
      <c r="K153" s="7">
        <v>0</v>
      </c>
      <c r="L153" s="7">
        <v>0</v>
      </c>
      <c r="M153" s="13" t="s">
        <v>525</v>
      </c>
      <c r="N153" s="7">
        <f t="shared" si="101"/>
        <v>0</v>
      </c>
      <c r="O153" s="7">
        <f t="shared" si="102"/>
        <v>20473.200000000004</v>
      </c>
      <c r="P153" s="7">
        <f t="shared" si="107"/>
        <v>20473.200000000004</v>
      </c>
      <c r="Q153" s="7">
        <v>20473.200000000004</v>
      </c>
      <c r="R153" s="7">
        <f t="shared" si="103"/>
        <v>0</v>
      </c>
      <c r="S153" s="7"/>
      <c r="T153" s="7">
        <f>CEO!T153+CS!T153+CFO!T153+LLA!T153+'C&amp;E'!T153+CES!T153+LLT!T153+GB!T153</f>
        <v>0</v>
      </c>
      <c r="U153" s="7">
        <f t="shared" si="104"/>
        <v>20473.200000000004</v>
      </c>
      <c r="V153" s="7">
        <f t="shared" si="108"/>
        <v>0</v>
      </c>
      <c r="W153" s="7"/>
      <c r="X153" s="159">
        <f t="shared" si="109"/>
        <v>0</v>
      </c>
      <c r="Y153" s="7"/>
      <c r="Z153" s="7">
        <v>20473.200000000004</v>
      </c>
      <c r="AA153" s="7">
        <f t="shared" si="105"/>
        <v>22520.520000000008</v>
      </c>
      <c r="AB153" s="295">
        <f t="shared" si="106"/>
        <v>0</v>
      </c>
      <c r="AC153" s="295">
        <f t="shared" si="68"/>
        <v>0</v>
      </c>
    </row>
    <row r="154" spans="1:29" x14ac:dyDescent="0.3">
      <c r="A154" s="7">
        <v>859.10000000000025</v>
      </c>
      <c r="B154" s="7">
        <v>2577.3000000000002</v>
      </c>
      <c r="C154" s="7">
        <v>2577.3000000000002</v>
      </c>
      <c r="D154" s="7">
        <v>5154.6000000000004</v>
      </c>
      <c r="E154" s="7">
        <v>6800.2000000000016</v>
      </c>
      <c r="F154" s="7">
        <v>2577.3000000000002</v>
      </c>
      <c r="G154" s="7">
        <v>7659.300000000002</v>
      </c>
      <c r="H154" s="7">
        <v>6872.800000000002</v>
      </c>
      <c r="I154" s="7">
        <v>859.10000000000025</v>
      </c>
      <c r="J154" s="7">
        <v>1766.6000000000004</v>
      </c>
      <c r="K154" s="7">
        <v>859.10000000000025</v>
      </c>
      <c r="L154" s="7">
        <v>859.10000000000025</v>
      </c>
      <c r="M154" s="13" t="s">
        <v>526</v>
      </c>
      <c r="N154" s="7">
        <f t="shared" si="101"/>
        <v>0</v>
      </c>
      <c r="O154" s="7">
        <f t="shared" si="102"/>
        <v>39421.800000000003</v>
      </c>
      <c r="P154" s="7">
        <f t="shared" si="107"/>
        <v>39421.800000000003</v>
      </c>
      <c r="Q154" s="7">
        <v>39421.800000000003</v>
      </c>
      <c r="R154" s="7">
        <f t="shared" si="103"/>
        <v>0</v>
      </c>
      <c r="S154" s="7"/>
      <c r="T154" s="7">
        <f>CEO!T154+CS!T154+CFO!T154+LLA!T154+'C&amp;E'!T154+CES!T154+LLT!T154+GB!T154</f>
        <v>0</v>
      </c>
      <c r="U154" s="7">
        <f t="shared" si="104"/>
        <v>39421.800000000003</v>
      </c>
      <c r="V154" s="7">
        <f t="shared" si="108"/>
        <v>0</v>
      </c>
      <c r="W154" s="7"/>
      <c r="X154" s="159">
        <f t="shared" si="109"/>
        <v>0</v>
      </c>
      <c r="Y154" s="7"/>
      <c r="Z154" s="7">
        <v>39421.800000000003</v>
      </c>
      <c r="AA154" s="7">
        <f t="shared" si="105"/>
        <v>43363.98</v>
      </c>
      <c r="AB154" s="295">
        <f t="shared" si="106"/>
        <v>0</v>
      </c>
      <c r="AC154" s="295">
        <f t="shared" si="68"/>
        <v>0</v>
      </c>
    </row>
    <row r="155" spans="1:29" x14ac:dyDescent="0.3">
      <c r="A155" s="7">
        <v>97598.6</v>
      </c>
      <c r="B155" s="7">
        <v>96775.8</v>
      </c>
      <c r="C155" s="7">
        <v>89685.200000000012</v>
      </c>
      <c r="D155" s="7">
        <v>161075.20000000001</v>
      </c>
      <c r="E155" s="7">
        <v>187283.80000000002</v>
      </c>
      <c r="F155" s="7">
        <v>81771.8</v>
      </c>
      <c r="G155" s="7">
        <v>123758.80000000003</v>
      </c>
      <c r="H155" s="7">
        <v>112602.60000000002</v>
      </c>
      <c r="I155" s="7">
        <v>45816.65</v>
      </c>
      <c r="J155" s="7">
        <v>98161.250000000015</v>
      </c>
      <c r="K155" s="7">
        <v>100816.65000000001</v>
      </c>
      <c r="L155" s="7">
        <v>100816.65000000001</v>
      </c>
      <c r="M155" s="385" t="s">
        <v>527</v>
      </c>
      <c r="N155" s="7">
        <f t="shared" si="101"/>
        <v>0</v>
      </c>
      <c r="O155" s="7">
        <f t="shared" si="102"/>
        <v>1296163</v>
      </c>
      <c r="P155" s="7">
        <f t="shared" si="107"/>
        <v>1296163</v>
      </c>
      <c r="Q155" s="7">
        <v>1296163</v>
      </c>
      <c r="R155" s="7">
        <f>Q155-P155</f>
        <v>0</v>
      </c>
      <c r="S155" s="7"/>
      <c r="T155" s="7">
        <f>CEO!T155+CS!T155+CFO!T155+LLA!T155+'C&amp;E'!T155+CES!T155+LLT!T155+GB!T155</f>
        <v>0</v>
      </c>
      <c r="U155" s="7">
        <f t="shared" si="104"/>
        <v>1296163</v>
      </c>
      <c r="V155" s="7">
        <f t="shared" si="108"/>
        <v>0</v>
      </c>
      <c r="W155" s="7"/>
      <c r="X155" s="159">
        <f t="shared" si="109"/>
        <v>0</v>
      </c>
      <c r="Y155" s="7"/>
      <c r="Z155" s="7">
        <v>1296163</v>
      </c>
      <c r="AA155" s="7">
        <f t="shared" si="105"/>
        <v>1425779.3</v>
      </c>
      <c r="AB155" s="295">
        <f t="shared" si="106"/>
        <v>0</v>
      </c>
      <c r="AC155" s="295">
        <f t="shared" si="68"/>
        <v>0</v>
      </c>
    </row>
    <row r="156" spans="1:29" x14ac:dyDescent="0.3">
      <c r="A156" s="7">
        <v>199383.80000000005</v>
      </c>
      <c r="B156" s="7">
        <v>208452.75000000006</v>
      </c>
      <c r="C156" s="7">
        <v>109613.90000000002</v>
      </c>
      <c r="D156" s="7">
        <v>166375</v>
      </c>
      <c r="E156" s="7">
        <v>180187.15000000002</v>
      </c>
      <c r="F156" s="7">
        <v>171632.45</v>
      </c>
      <c r="G156" s="7">
        <v>207968.75000000006</v>
      </c>
      <c r="H156" s="7">
        <v>272969.95000000007</v>
      </c>
      <c r="I156" s="7">
        <v>428636.45000000007</v>
      </c>
      <c r="J156" s="7">
        <v>167209.90000000002</v>
      </c>
      <c r="K156" s="7">
        <v>211242.90000000002</v>
      </c>
      <c r="L156" s="7">
        <v>211242.90000000002</v>
      </c>
      <c r="M156" s="13" t="s">
        <v>528</v>
      </c>
      <c r="N156" s="7">
        <f t="shared" si="101"/>
        <v>0</v>
      </c>
      <c r="O156" s="7">
        <f t="shared" si="102"/>
        <v>2534915.9000000004</v>
      </c>
      <c r="P156" s="7">
        <f t="shared" si="107"/>
        <v>2534915.9000000004</v>
      </c>
      <c r="Q156" s="7">
        <v>2534915.9000000004</v>
      </c>
      <c r="R156" s="7">
        <f t="shared" si="103"/>
        <v>0</v>
      </c>
      <c r="S156" s="7">
        <v>371993</v>
      </c>
      <c r="T156" s="7">
        <f>CEO!T156+CS!T156+CFO!T156+LLA!T156+'C&amp;E'!T156+CES!T156+LLT!T156+GB!T156</f>
        <v>0</v>
      </c>
      <c r="U156" s="7">
        <f t="shared" si="104"/>
        <v>2906908.9000000004</v>
      </c>
      <c r="V156" s="7">
        <f t="shared" si="108"/>
        <v>371993</v>
      </c>
      <c r="W156" s="7"/>
      <c r="X156" s="159">
        <f t="shared" si="109"/>
        <v>0</v>
      </c>
      <c r="Y156" s="7"/>
      <c r="Z156" s="7">
        <v>2534915.9000000004</v>
      </c>
      <c r="AA156" s="7">
        <f t="shared" si="105"/>
        <v>2788407.4900000007</v>
      </c>
      <c r="AB156" s="295">
        <f t="shared" si="106"/>
        <v>0</v>
      </c>
      <c r="AC156" s="295">
        <f t="shared" si="68"/>
        <v>0</v>
      </c>
    </row>
    <row r="157" spans="1:29" x14ac:dyDescent="0.3">
      <c r="A157" s="7">
        <v>26426.400000000005</v>
      </c>
      <c r="B157" s="7">
        <v>101621.85000000002</v>
      </c>
      <c r="C157" s="7">
        <v>88190.85</v>
      </c>
      <c r="D157" s="7">
        <v>54921.900000000016</v>
      </c>
      <c r="E157" s="7">
        <v>117987.10000000002</v>
      </c>
      <c r="F157" s="7">
        <v>45084.600000000006</v>
      </c>
      <c r="G157" s="7">
        <v>118985.35000000002</v>
      </c>
      <c r="H157" s="7">
        <v>60669.400000000016</v>
      </c>
      <c r="I157" s="7">
        <v>34769.350000000006</v>
      </c>
      <c r="J157" s="7">
        <v>25639.900000000005</v>
      </c>
      <c r="K157" s="7">
        <v>34769.350000000006</v>
      </c>
      <c r="L157" s="7">
        <v>34769.350000000006</v>
      </c>
      <c r="M157" s="13" t="s">
        <v>529</v>
      </c>
      <c r="N157" s="7">
        <f t="shared" si="101"/>
        <v>0</v>
      </c>
      <c r="O157" s="7">
        <f t="shared" si="102"/>
        <v>743835.4</v>
      </c>
      <c r="P157" s="7">
        <f t="shared" si="107"/>
        <v>743835.4</v>
      </c>
      <c r="Q157" s="7">
        <v>743835.4</v>
      </c>
      <c r="R157" s="7">
        <f t="shared" si="103"/>
        <v>0</v>
      </c>
      <c r="S157" s="7"/>
      <c r="T157" s="7">
        <f>CEO!T157+CS!T157+CFO!T157+LLA!T157+'C&amp;E'!T157+CES!T157+LLT!T157+GB!T157</f>
        <v>0</v>
      </c>
      <c r="U157" s="7">
        <f t="shared" si="104"/>
        <v>743835.4</v>
      </c>
      <c r="V157" s="7">
        <f t="shared" si="108"/>
        <v>0</v>
      </c>
      <c r="W157" s="7"/>
      <c r="X157" s="159">
        <f t="shared" si="109"/>
        <v>0</v>
      </c>
      <c r="Y157" s="7"/>
      <c r="Z157" s="7">
        <v>743835.4</v>
      </c>
      <c r="AA157" s="7">
        <f t="shared" si="105"/>
        <v>818218.94000000006</v>
      </c>
      <c r="AB157" s="295">
        <f t="shared" si="106"/>
        <v>0</v>
      </c>
      <c r="AC157" s="295">
        <f t="shared" si="68"/>
        <v>0</v>
      </c>
    </row>
    <row r="158" spans="1:29" x14ac:dyDescent="0.3">
      <c r="A158" s="7">
        <v>29348.550000000007</v>
      </c>
      <c r="B158" s="7">
        <v>35404.600000000006</v>
      </c>
      <c r="C158" s="7">
        <v>28882.700000000008</v>
      </c>
      <c r="D158" s="7">
        <v>52175.200000000012</v>
      </c>
      <c r="E158" s="7">
        <v>51546.000000000015</v>
      </c>
      <c r="F158" s="7">
        <v>74300.05</v>
      </c>
      <c r="G158" s="7">
        <v>63355.600000000013</v>
      </c>
      <c r="H158" s="7">
        <v>48448.4</v>
      </c>
      <c r="I158" s="7">
        <v>31097.000000000007</v>
      </c>
      <c r="J158" s="7">
        <v>43614.450000000004</v>
      </c>
      <c r="K158" s="7">
        <v>31097.000000000007</v>
      </c>
      <c r="L158" s="7">
        <v>31097.000000000007</v>
      </c>
      <c r="M158" s="385" t="s">
        <v>530</v>
      </c>
      <c r="N158" s="7">
        <f t="shared" si="101"/>
        <v>0</v>
      </c>
      <c r="O158" s="7">
        <f t="shared" si="102"/>
        <v>520366.5500000001</v>
      </c>
      <c r="P158" s="7">
        <f t="shared" si="107"/>
        <v>520366.5500000001</v>
      </c>
      <c r="Q158" s="7">
        <v>520366.5500000001</v>
      </c>
      <c r="R158" s="7">
        <f t="shared" si="103"/>
        <v>0</v>
      </c>
      <c r="S158" s="7"/>
      <c r="T158" s="7">
        <f>CEO!T158+CS!T158+CFO!T158+LLA!T158+'C&amp;E'!T158+CES!T158+LLT!T158+GB!T158</f>
        <v>0</v>
      </c>
      <c r="U158" s="7">
        <f t="shared" si="104"/>
        <v>520366.5500000001</v>
      </c>
      <c r="V158" s="7">
        <f t="shared" si="108"/>
        <v>0</v>
      </c>
      <c r="W158" s="7"/>
      <c r="X158" s="159">
        <f t="shared" si="109"/>
        <v>0</v>
      </c>
      <c r="Y158" s="7"/>
      <c r="Z158" s="7">
        <v>520366.5500000001</v>
      </c>
      <c r="AA158" s="7">
        <f t="shared" si="105"/>
        <v>572403.20500000019</v>
      </c>
      <c r="AB158" s="295">
        <f t="shared" si="106"/>
        <v>0</v>
      </c>
      <c r="AC158" s="295">
        <f t="shared" ref="AC158:AC172" si="110">Q158-Z158</f>
        <v>0</v>
      </c>
    </row>
    <row r="159" spans="1:29" x14ac:dyDescent="0.3">
      <c r="A159" s="7">
        <v>5154.6000000000004</v>
      </c>
      <c r="B159" s="7">
        <v>13600.400000000003</v>
      </c>
      <c r="C159" s="7">
        <v>859.10000000000025</v>
      </c>
      <c r="D159" s="7">
        <v>10309.200000000001</v>
      </c>
      <c r="E159" s="7">
        <v>6872.800000000002</v>
      </c>
      <c r="F159" s="7">
        <v>1718.2000000000005</v>
      </c>
      <c r="G159" s="7">
        <v>3436.400000000001</v>
      </c>
      <c r="H159" s="7">
        <v>859.10000000000025</v>
      </c>
      <c r="I159" s="7">
        <v>0</v>
      </c>
      <c r="J159" s="7">
        <v>859.10000000000025</v>
      </c>
      <c r="K159" s="7">
        <v>0</v>
      </c>
      <c r="L159" s="7">
        <v>0</v>
      </c>
      <c r="M159" s="13" t="s">
        <v>531</v>
      </c>
      <c r="N159" s="7">
        <f t="shared" si="101"/>
        <v>0</v>
      </c>
      <c r="O159" s="7">
        <f t="shared" si="102"/>
        <v>43668.9</v>
      </c>
      <c r="P159" s="7">
        <f t="shared" si="107"/>
        <v>43668.9</v>
      </c>
      <c r="Q159" s="7">
        <v>43668.9</v>
      </c>
      <c r="R159" s="7">
        <f t="shared" si="103"/>
        <v>0</v>
      </c>
      <c r="S159" s="7"/>
      <c r="T159" s="7">
        <f>CEO!T159+CS!T159+CFO!T159+LLA!T159+'C&amp;E'!T159+CES!T159+LLT!T159+GB!T159</f>
        <v>0</v>
      </c>
      <c r="U159" s="7">
        <f t="shared" si="104"/>
        <v>43668.9</v>
      </c>
      <c r="V159" s="7">
        <f t="shared" si="108"/>
        <v>0</v>
      </c>
      <c r="W159" s="7"/>
      <c r="X159" s="159">
        <f t="shared" si="109"/>
        <v>0</v>
      </c>
      <c r="Y159" s="7"/>
      <c r="Z159" s="7">
        <v>43668.9</v>
      </c>
      <c r="AA159" s="7">
        <f t="shared" si="105"/>
        <v>48035.790000000008</v>
      </c>
      <c r="AB159" s="295">
        <f t="shared" si="106"/>
        <v>0</v>
      </c>
      <c r="AC159" s="295">
        <f t="shared" si="110"/>
        <v>0</v>
      </c>
    </row>
    <row r="160" spans="1:29" x14ac:dyDescent="0.3">
      <c r="A160" s="11">
        <v>0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3" t="s">
        <v>532</v>
      </c>
      <c r="N160" s="11">
        <f t="shared" si="101"/>
        <v>0</v>
      </c>
      <c r="O160" s="11">
        <f t="shared" si="102"/>
        <v>0</v>
      </c>
      <c r="P160" s="11">
        <f t="shared" si="107"/>
        <v>0</v>
      </c>
      <c r="Q160" s="11">
        <v>0</v>
      </c>
      <c r="R160" s="11">
        <f t="shared" si="103"/>
        <v>0</v>
      </c>
      <c r="S160" s="11"/>
      <c r="T160" s="11">
        <f>CEO!T160+CS!T160+CFO!T160+LLA!T160+'C&amp;E'!T160+CES!T160+LLT!T160+GB!T160</f>
        <v>0</v>
      </c>
      <c r="U160" s="11">
        <f t="shared" si="104"/>
        <v>0</v>
      </c>
      <c r="V160" s="11">
        <f t="shared" si="108"/>
        <v>0</v>
      </c>
      <c r="W160" s="11"/>
      <c r="X160" s="160">
        <f t="shared" si="109"/>
        <v>0</v>
      </c>
      <c r="Y160" s="11"/>
      <c r="Z160" s="11">
        <v>0</v>
      </c>
      <c r="AA160" s="11">
        <f t="shared" si="105"/>
        <v>0</v>
      </c>
      <c r="AB160" s="295">
        <f t="shared" si="106"/>
        <v>0</v>
      </c>
      <c r="AC160" s="295">
        <f t="shared" si="110"/>
        <v>0</v>
      </c>
    </row>
    <row r="161" spans="1:29" ht="6" customHeight="1" x14ac:dyDescent="0.3">
      <c r="A161" s="81"/>
      <c r="B161" s="81"/>
      <c r="C161" s="81"/>
      <c r="D161" s="82"/>
      <c r="E161" s="81"/>
      <c r="F161" s="81"/>
      <c r="G161" s="81"/>
      <c r="H161" s="81"/>
      <c r="I161" s="81"/>
      <c r="J161" s="81"/>
      <c r="K161" s="81"/>
      <c r="L161" s="81"/>
      <c r="M161" s="13"/>
      <c r="N161" s="81">
        <f t="shared" ref="N161:N171" si="111">SUM(A161:J161)</f>
        <v>0</v>
      </c>
      <c r="O161" s="81">
        <f t="shared" ref="O161:O171" si="112">SUM(K161:L161)</f>
        <v>0</v>
      </c>
      <c r="P161" s="81">
        <f t="shared" si="107"/>
        <v>0</v>
      </c>
      <c r="Q161" s="81"/>
      <c r="R161" s="81">
        <f t="shared" ref="R161:R171" si="113">P161-Q161</f>
        <v>0</v>
      </c>
      <c r="S161" s="81">
        <f>CEO!S161+CS!S161+CFO!S161+LLA!S161+'C&amp;E'!S161+CES!S161+LLT!S161+GB!S161</f>
        <v>0</v>
      </c>
      <c r="T161" s="81">
        <f>CEO!T161+CS!T161+CFO!T161+LLA!T161+'C&amp;E'!T161+CES!T161+LLT!T161+GB!T161</f>
        <v>0</v>
      </c>
      <c r="U161" s="81">
        <f t="shared" si="104"/>
        <v>0</v>
      </c>
      <c r="V161" s="81">
        <f t="shared" si="108"/>
        <v>0</v>
      </c>
      <c r="W161" s="81"/>
      <c r="X161" s="81">
        <f t="shared" si="109"/>
        <v>0</v>
      </c>
      <c r="Y161" s="81"/>
      <c r="Z161" s="81"/>
      <c r="AA161" s="81"/>
      <c r="AC161" s="295">
        <f t="shared" si="110"/>
        <v>0</v>
      </c>
    </row>
    <row r="162" spans="1:29" x14ac:dyDescent="0.3">
      <c r="A162" s="4">
        <f t="shared" ref="A162:F162" si="114">SUM(A131:A160)</f>
        <v>768930.8</v>
      </c>
      <c r="B162" s="4">
        <f t="shared" si="114"/>
        <v>1264177.7500000002</v>
      </c>
      <c r="C162" s="4">
        <f t="shared" si="114"/>
        <v>597747.01800000004</v>
      </c>
      <c r="D162" s="4">
        <f t="shared" si="114"/>
        <v>709168.90000000014</v>
      </c>
      <c r="E162" s="4">
        <f t="shared" si="114"/>
        <v>1153977</v>
      </c>
      <c r="F162" s="4">
        <f t="shared" si="114"/>
        <v>837507.55000000016</v>
      </c>
      <c r="G162" s="4">
        <f t="shared" ref="G162:L162" si="115">SUM(G131:G160)</f>
        <v>1079151.81</v>
      </c>
      <c r="H162" s="4">
        <f t="shared" si="115"/>
        <v>1073251.8500000003</v>
      </c>
      <c r="I162" s="4">
        <f t="shared" si="115"/>
        <v>904281.4</v>
      </c>
      <c r="J162" s="4">
        <f t="shared" si="115"/>
        <v>1095458.3750000002</v>
      </c>
      <c r="K162" s="4">
        <f t="shared" si="115"/>
        <v>1346887.85</v>
      </c>
      <c r="L162" s="4">
        <f t="shared" si="115"/>
        <v>1346887.85</v>
      </c>
      <c r="M162" s="13" t="s">
        <v>217</v>
      </c>
      <c r="N162" s="4">
        <f t="shared" ref="N162:P162" si="116">SUM(N131:N160)</f>
        <v>0</v>
      </c>
      <c r="O162" s="4">
        <f t="shared" si="116"/>
        <v>12177428.153000005</v>
      </c>
      <c r="P162" s="4">
        <f t="shared" si="116"/>
        <v>12177428.153000005</v>
      </c>
      <c r="Q162" s="4">
        <f>SUM(Q131:Q160)</f>
        <v>12177428.153000003</v>
      </c>
      <c r="R162" s="4">
        <f>SUM(R131:R160)</f>
        <v>0</v>
      </c>
      <c r="S162" s="4">
        <f>SUM(S131:S160)</f>
        <v>371993</v>
      </c>
      <c r="T162" s="4">
        <f>CEO!T162+CS!T162+CFO!T162+LLA!T162+'C&amp;E'!T162+CES!T162+LLT!T162+GB!T162</f>
        <v>0</v>
      </c>
      <c r="U162" s="4">
        <f t="shared" si="104"/>
        <v>12549421.153000003</v>
      </c>
      <c r="V162" s="4">
        <f t="shared" si="108"/>
        <v>371992.99999999814</v>
      </c>
      <c r="W162" s="4"/>
      <c r="X162" s="4">
        <f t="shared" si="109"/>
        <v>0</v>
      </c>
      <c r="Y162" s="4"/>
      <c r="Z162" s="4">
        <f>SUM(Z131:Z160)</f>
        <v>12177428.153000001</v>
      </c>
      <c r="AA162" s="4">
        <f>SUM(AA131:AA160)</f>
        <v>13395170.9683</v>
      </c>
      <c r="AC162" s="295">
        <f>P162-Z162</f>
        <v>0</v>
      </c>
    </row>
    <row r="163" spans="1:29" ht="6.6" customHeight="1" x14ac:dyDescent="0.3">
      <c r="A163" s="81"/>
      <c r="B163" s="81"/>
      <c r="C163" s="81"/>
      <c r="D163" s="82"/>
      <c r="E163" s="95"/>
      <c r="F163" s="95"/>
      <c r="G163" s="95"/>
      <c r="H163" s="95"/>
      <c r="I163" s="95"/>
      <c r="J163" s="95"/>
      <c r="K163" s="95"/>
      <c r="L163" s="95"/>
      <c r="M163" s="122"/>
      <c r="N163" s="95">
        <f t="shared" si="111"/>
        <v>0</v>
      </c>
      <c r="O163" s="95">
        <f t="shared" si="112"/>
        <v>0</v>
      </c>
      <c r="P163" s="95">
        <f t="shared" si="107"/>
        <v>0</v>
      </c>
      <c r="Q163" s="95"/>
      <c r="R163" s="95">
        <f t="shared" si="113"/>
        <v>0</v>
      </c>
      <c r="S163" s="95">
        <f>CEO!S163+CS!S163+CFO!S163+LLA!S163+'C&amp;E'!S163+CES!S163+LLT!S163+GB!S163</f>
        <v>0</v>
      </c>
      <c r="T163" s="95">
        <f>CEO!T163+CS!T163+CFO!T163+LLA!T163+'C&amp;E'!T163+CES!T163+LLT!T163+GB!T163</f>
        <v>0</v>
      </c>
      <c r="U163" s="95">
        <f t="shared" si="104"/>
        <v>0</v>
      </c>
      <c r="V163" s="95">
        <f t="shared" si="108"/>
        <v>0</v>
      </c>
      <c r="W163" s="81"/>
      <c r="X163" s="95">
        <f t="shared" si="109"/>
        <v>0</v>
      </c>
      <c r="Y163" s="95"/>
      <c r="Z163" s="95"/>
      <c r="AA163" s="95"/>
      <c r="AC163" s="295">
        <f t="shared" si="110"/>
        <v>0</v>
      </c>
    </row>
    <row r="164" spans="1:29" x14ac:dyDescent="0.3">
      <c r="A164" s="8">
        <f>(42079.89+12394.27)*1.1</f>
        <v>59921.576000000008</v>
      </c>
      <c r="B164" s="8">
        <f>(38698.04+4696.58)*1.1</f>
        <v>47734.082000000009</v>
      </c>
      <c r="C164" s="8">
        <v>49370.541000000005</v>
      </c>
      <c r="D164" s="8">
        <v>40101.589</v>
      </c>
      <c r="E164" s="8">
        <v>67126.62</v>
      </c>
      <c r="F164" s="8">
        <v>44292.754000000001</v>
      </c>
      <c r="G164" s="8">
        <v>80315.796000000002</v>
      </c>
      <c r="H164" s="8">
        <v>69348.257000000012</v>
      </c>
      <c r="I164" s="8">
        <v>110042.944</v>
      </c>
      <c r="J164" s="8">
        <f>(130.52+206445.5+30470.82)*1.1</f>
        <v>260751.524</v>
      </c>
      <c r="K164" s="8">
        <v>77000</v>
      </c>
      <c r="L164" s="8">
        <v>77000</v>
      </c>
      <c r="M164" s="13" t="s">
        <v>218</v>
      </c>
      <c r="N164" s="8">
        <f t="shared" ref="N164:N168" si="117">SUM(0)</f>
        <v>0</v>
      </c>
      <c r="O164" s="8">
        <f t="shared" ref="O164:O168" si="118">SUM(A164:L164)</f>
        <v>983005.68300000008</v>
      </c>
      <c r="P164" s="8">
        <f t="shared" si="107"/>
        <v>983005.68300000008</v>
      </c>
      <c r="Q164" s="8">
        <v>983005.68299999996</v>
      </c>
      <c r="R164" s="8">
        <f t="shared" ref="R164:R168" si="119">Q164-P164</f>
        <v>0</v>
      </c>
      <c r="S164" s="8">
        <v>150000</v>
      </c>
      <c r="T164" s="8">
        <f>CEO!T164+CS!T164+CFO!T164+LLA!T164+'C&amp;E'!T164+CES!T164+LLT!T164+GB!T164</f>
        <v>0</v>
      </c>
      <c r="U164" s="8">
        <f t="shared" si="104"/>
        <v>1133005.683</v>
      </c>
      <c r="V164" s="8">
        <f t="shared" si="108"/>
        <v>149999.99999999988</v>
      </c>
      <c r="W164" s="8"/>
      <c r="X164" s="158">
        <f t="shared" si="109"/>
        <v>0</v>
      </c>
      <c r="Y164" s="8"/>
      <c r="Z164" s="8">
        <v>983005.68299999996</v>
      </c>
      <c r="AA164" s="8">
        <f t="shared" ref="AA164" si="120">Z164*1.1</f>
        <v>1081306.2513000001</v>
      </c>
      <c r="AC164" s="295">
        <f t="shared" si="110"/>
        <v>0</v>
      </c>
    </row>
    <row r="165" spans="1:29" x14ac:dyDescent="0.3">
      <c r="A165" s="7">
        <v>0</v>
      </c>
      <c r="B165" s="7">
        <v>0</v>
      </c>
      <c r="C165" s="7">
        <f>Z165/4</f>
        <v>11036000</v>
      </c>
      <c r="D165" s="7">
        <v>0</v>
      </c>
      <c r="E165" s="7">
        <v>11036000</v>
      </c>
      <c r="F165" s="7">
        <v>0</v>
      </c>
      <c r="G165" s="7">
        <v>0</v>
      </c>
      <c r="H165" s="7">
        <v>11036000</v>
      </c>
      <c r="I165" s="7">
        <v>0</v>
      </c>
      <c r="J165" s="7">
        <v>0</v>
      </c>
      <c r="K165" s="7">
        <v>11036000</v>
      </c>
      <c r="L165" s="7">
        <v>0</v>
      </c>
      <c r="M165" s="385" t="s">
        <v>219</v>
      </c>
      <c r="N165" s="7">
        <f t="shared" si="117"/>
        <v>0</v>
      </c>
      <c r="O165" s="7">
        <f t="shared" si="118"/>
        <v>44144000</v>
      </c>
      <c r="P165" s="7">
        <f t="shared" si="107"/>
        <v>44144000</v>
      </c>
      <c r="Q165" s="7">
        <v>44144000</v>
      </c>
      <c r="R165" s="7">
        <f t="shared" si="119"/>
        <v>0</v>
      </c>
      <c r="S165" s="7">
        <f>CEO!S165+CS!S165+CFO!S165+LLA!S165+'C&amp;E'!S165+CES!S165+LLT!S165+GB!S165</f>
        <v>0</v>
      </c>
      <c r="T165" s="7">
        <f>CEO!T165+CS!T165+CFO!T165+LLA!T165+'C&amp;E'!T165+CES!T165+LLT!T165+GB!T165</f>
        <v>0</v>
      </c>
      <c r="U165" s="7">
        <f t="shared" si="104"/>
        <v>44144000</v>
      </c>
      <c r="V165" s="7">
        <f t="shared" si="108"/>
        <v>0</v>
      </c>
      <c r="W165" s="7"/>
      <c r="X165" s="159">
        <f t="shared" si="109"/>
        <v>0</v>
      </c>
      <c r="Y165" s="7"/>
      <c r="Z165" s="7">
        <v>44144000</v>
      </c>
      <c r="AA165" s="7">
        <v>45688000</v>
      </c>
      <c r="AC165" s="295">
        <f t="shared" si="110"/>
        <v>0</v>
      </c>
    </row>
    <row r="166" spans="1:29" x14ac:dyDescent="0.3">
      <c r="A166" s="7">
        <v>0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13" t="s">
        <v>220</v>
      </c>
      <c r="N166" s="7">
        <f t="shared" si="117"/>
        <v>0</v>
      </c>
      <c r="O166" s="7">
        <f t="shared" si="118"/>
        <v>0</v>
      </c>
      <c r="P166" s="7">
        <f t="shared" si="107"/>
        <v>0</v>
      </c>
      <c r="Q166" s="7">
        <v>0</v>
      </c>
      <c r="R166" s="7">
        <f t="shared" si="119"/>
        <v>0</v>
      </c>
      <c r="S166" s="7">
        <v>2819000</v>
      </c>
      <c r="T166" s="7">
        <f>CEO!T166+CS!T166+CFO!T166+LLA!T166+'C&amp;E'!T166+CES!T166+LLT!T166+GB!T166</f>
        <v>0</v>
      </c>
      <c r="U166" s="7">
        <f t="shared" si="104"/>
        <v>2819000</v>
      </c>
      <c r="V166" s="7">
        <f t="shared" si="108"/>
        <v>2819000</v>
      </c>
      <c r="W166" s="7"/>
      <c r="X166" s="159">
        <f t="shared" si="109"/>
        <v>0</v>
      </c>
      <c r="Y166" s="7"/>
      <c r="Z166" s="7">
        <v>0</v>
      </c>
      <c r="AA166" s="7">
        <v>0</v>
      </c>
      <c r="AC166" s="295">
        <f t="shared" si="110"/>
        <v>0</v>
      </c>
    </row>
    <row r="167" spans="1:29" x14ac:dyDescent="0.3">
      <c r="A167" s="7">
        <v>0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13" t="s">
        <v>221</v>
      </c>
      <c r="N167" s="7">
        <f t="shared" si="117"/>
        <v>0</v>
      </c>
      <c r="O167" s="7">
        <f t="shared" si="118"/>
        <v>0</v>
      </c>
      <c r="P167" s="7">
        <f t="shared" si="107"/>
        <v>0</v>
      </c>
      <c r="Q167" s="7">
        <v>0</v>
      </c>
      <c r="R167" s="7">
        <f t="shared" si="119"/>
        <v>0</v>
      </c>
      <c r="S167" s="7">
        <f>3528000</f>
        <v>3528000</v>
      </c>
      <c r="T167" s="7">
        <f>CEO!T167+CS!T167+CFO!T167+LLA!T167+'C&amp;E'!T167+CES!T167+LLT!T167+GB!T167</f>
        <v>0</v>
      </c>
      <c r="U167" s="7">
        <f t="shared" si="104"/>
        <v>3528000</v>
      </c>
      <c r="V167" s="7">
        <f t="shared" si="108"/>
        <v>3528000</v>
      </c>
      <c r="W167" s="7"/>
      <c r="X167" s="159">
        <f t="shared" si="109"/>
        <v>0</v>
      </c>
      <c r="Y167" s="7"/>
      <c r="Z167" s="7">
        <v>0</v>
      </c>
      <c r="AA167" s="7">
        <v>0</v>
      </c>
      <c r="AC167" s="295">
        <f t="shared" si="110"/>
        <v>0</v>
      </c>
    </row>
    <row r="168" spans="1:29" x14ac:dyDescent="0.3">
      <c r="A168" s="11">
        <v>0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385" t="s">
        <v>222</v>
      </c>
      <c r="N168" s="11">
        <f t="shared" si="117"/>
        <v>0</v>
      </c>
      <c r="O168" s="11">
        <f t="shared" si="118"/>
        <v>0</v>
      </c>
      <c r="P168" s="11">
        <f t="shared" si="107"/>
        <v>0</v>
      </c>
      <c r="Q168" s="11"/>
      <c r="R168" s="11">
        <f t="shared" si="119"/>
        <v>0</v>
      </c>
      <c r="S168" s="11">
        <f>CEO!S168+CS!S168+CFO!S168+LLA!S168+'C&amp;E'!S168+CES!S168+LLT!S168+GB!S168</f>
        <v>0</v>
      </c>
      <c r="T168" s="11">
        <f>CEO!T168+CS!T168+CFO!T168+LLA!T168+'C&amp;E'!T168+CES!T168+LLT!T168+GB!T168</f>
        <v>0</v>
      </c>
      <c r="U168" s="11">
        <f t="shared" si="104"/>
        <v>0</v>
      </c>
      <c r="V168" s="11">
        <f t="shared" si="108"/>
        <v>0</v>
      </c>
      <c r="W168" s="11"/>
      <c r="X168" s="160">
        <f t="shared" si="109"/>
        <v>0</v>
      </c>
      <c r="Y168" s="11"/>
      <c r="Z168" s="11"/>
      <c r="AA168" s="11"/>
      <c r="AC168" s="295">
        <f t="shared" si="110"/>
        <v>0</v>
      </c>
    </row>
    <row r="169" spans="1:29" ht="4.2" customHeight="1" x14ac:dyDescent="0.3">
      <c r="A169" s="81"/>
      <c r="B169" s="81"/>
      <c r="C169" s="81"/>
      <c r="D169" s="82"/>
      <c r="E169" s="97"/>
      <c r="F169" s="96"/>
      <c r="G169" s="96"/>
      <c r="H169" s="96"/>
      <c r="I169" s="96"/>
      <c r="J169" s="96"/>
      <c r="K169" s="96"/>
      <c r="L169" s="96"/>
      <c r="M169" s="13"/>
      <c r="N169" s="96">
        <f t="shared" si="111"/>
        <v>0</v>
      </c>
      <c r="O169" s="96">
        <f t="shared" si="112"/>
        <v>0</v>
      </c>
      <c r="P169" s="96">
        <f t="shared" si="107"/>
        <v>0</v>
      </c>
      <c r="Q169" s="96"/>
      <c r="R169" s="96">
        <f t="shared" si="113"/>
        <v>0</v>
      </c>
      <c r="S169" s="96">
        <f>CEO!S169+CS!S169+CFO!S169+LLA!S169+'C&amp;E'!S169+CES!S169+LLT!S169+GB!S169</f>
        <v>0</v>
      </c>
      <c r="T169" s="96">
        <f>CEO!T169+CS!T169+CFO!T169+LLA!T169+'C&amp;E'!T169+CES!T169+LLT!T169+GB!T169</f>
        <v>0</v>
      </c>
      <c r="U169" s="96">
        <f t="shared" si="104"/>
        <v>0</v>
      </c>
      <c r="V169" s="96">
        <f t="shared" si="108"/>
        <v>0</v>
      </c>
      <c r="W169" s="81"/>
      <c r="X169" s="96">
        <f t="shared" si="109"/>
        <v>0</v>
      </c>
      <c r="Y169" s="96"/>
      <c r="Z169" s="96"/>
      <c r="AA169" s="96"/>
      <c r="AC169" s="295">
        <f t="shared" si="110"/>
        <v>0</v>
      </c>
    </row>
    <row r="170" spans="1:29" x14ac:dyDescent="0.3">
      <c r="A170" s="4">
        <f>A162+SUM(A164:A168)</f>
        <v>828852.37600000005</v>
      </c>
      <c r="B170" s="4">
        <f t="shared" ref="B170:O170" si="121">B162+SUM(B164:B168)</f>
        <v>1311911.8320000002</v>
      </c>
      <c r="C170" s="4">
        <f t="shared" si="121"/>
        <v>11683117.558999998</v>
      </c>
      <c r="D170" s="4">
        <f t="shared" si="121"/>
        <v>749270.48900000018</v>
      </c>
      <c r="E170" s="4">
        <f t="shared" si="121"/>
        <v>12257103.619999999</v>
      </c>
      <c r="F170" s="4">
        <f t="shared" si="121"/>
        <v>881800.30400000012</v>
      </c>
      <c r="G170" s="4">
        <f t="shared" si="121"/>
        <v>1159467.6060000001</v>
      </c>
      <c r="H170" s="4">
        <f>H162+SUM(H164:H168)</f>
        <v>12178600.106999999</v>
      </c>
      <c r="I170" s="4">
        <f t="shared" si="121"/>
        <v>1014324.344</v>
      </c>
      <c r="J170" s="4">
        <f t="shared" si="121"/>
        <v>1356209.8990000002</v>
      </c>
      <c r="K170" s="4">
        <f t="shared" si="121"/>
        <v>12459887.85</v>
      </c>
      <c r="L170" s="4">
        <f t="shared" si="121"/>
        <v>1423887.85</v>
      </c>
      <c r="M170" s="13" t="s">
        <v>223</v>
      </c>
      <c r="N170" s="4">
        <f>N162+SUM(N164:N168)</f>
        <v>0</v>
      </c>
      <c r="O170" s="4">
        <f t="shared" si="121"/>
        <v>57304433.836000003</v>
      </c>
      <c r="P170" s="4">
        <f>P162+SUM(P164:P168)</f>
        <v>57304433.836000003</v>
      </c>
      <c r="Q170" s="4">
        <f>SUM(Q162:Q168)</f>
        <v>57304433.836000003</v>
      </c>
      <c r="R170" s="4">
        <f>SUM(R162:R168)</f>
        <v>0</v>
      </c>
      <c r="S170" s="4">
        <f>SUM(S162:S168)</f>
        <v>6868993</v>
      </c>
      <c r="T170" s="4">
        <f>CEO!T170+CS!T170+CFO!T170+LLA!T170+'C&amp;E'!T170+CES!T170+LLT!T170+GB!T170</f>
        <v>0</v>
      </c>
      <c r="U170" s="4">
        <f t="shared" si="104"/>
        <v>64173426.836000003</v>
      </c>
      <c r="V170" s="4">
        <f t="shared" si="108"/>
        <v>6868993</v>
      </c>
      <c r="W170" s="4"/>
      <c r="X170" s="4">
        <f t="shared" si="109"/>
        <v>0</v>
      </c>
      <c r="Y170" s="4"/>
      <c r="Z170" s="4">
        <f>SUM(Z162:Z168)</f>
        <v>57304433.836000003</v>
      </c>
      <c r="AA170" s="4">
        <f>SUM(AA162:AA168)</f>
        <v>60164477.219599999</v>
      </c>
      <c r="AC170" s="295">
        <f t="shared" si="110"/>
        <v>0</v>
      </c>
    </row>
    <row r="171" spans="1:29" ht="7.95" customHeight="1" x14ac:dyDescent="0.3">
      <c r="A171" s="99"/>
      <c r="B171" s="99"/>
      <c r="C171" s="99"/>
      <c r="D171" s="100"/>
      <c r="E171" s="98"/>
      <c r="I171" s="78"/>
      <c r="K171" s="78"/>
      <c r="L171" s="78"/>
      <c r="M171" s="13"/>
      <c r="N171" s="78">
        <f t="shared" si="111"/>
        <v>0</v>
      </c>
      <c r="O171" s="78">
        <f t="shared" si="112"/>
        <v>0</v>
      </c>
      <c r="P171" s="78">
        <f t="shared" si="107"/>
        <v>0</v>
      </c>
      <c r="Q171" s="78"/>
      <c r="R171" s="78">
        <f t="shared" si="113"/>
        <v>0</v>
      </c>
      <c r="S171" s="78">
        <f>CEO!S171+CS!S171+CFO!S171+LLA!S171+'C&amp;E'!S171+CES!S171+LLT!S171+GB!S171</f>
        <v>0</v>
      </c>
      <c r="T171" s="78">
        <f>CEO!T171+CS!T171+CFO!T171+LLA!T171+'C&amp;E'!T171+CES!T171+LLT!T171+GB!T171</f>
        <v>0</v>
      </c>
      <c r="U171" s="78">
        <f t="shared" si="104"/>
        <v>0</v>
      </c>
      <c r="V171" s="78">
        <f t="shared" si="108"/>
        <v>0</v>
      </c>
      <c r="W171" s="99"/>
      <c r="X171" s="78">
        <f t="shared" si="109"/>
        <v>0</v>
      </c>
      <c r="Y171" s="78"/>
      <c r="Z171" s="78"/>
      <c r="AA171" s="78"/>
      <c r="AC171" s="295">
        <f t="shared" si="110"/>
        <v>0</v>
      </c>
    </row>
    <row r="172" spans="1:29" x14ac:dyDescent="0.3">
      <c r="A172" s="4">
        <f>A129-A170</f>
        <v>3420533.908269166</v>
      </c>
      <c r="B172" s="4">
        <f>B129-B170</f>
        <v>3353509.0623893784</v>
      </c>
      <c r="C172" s="4">
        <f>C129-C170</f>
        <v>-6700043.9971663924</v>
      </c>
      <c r="D172" s="4">
        <f>D129-D170</f>
        <v>4431771.9757165797</v>
      </c>
      <c r="E172" s="4">
        <f>E129-E170</f>
        <v>-7547851.3724063924</v>
      </c>
      <c r="F172" s="4">
        <f t="shared" ref="F172:L172" si="122">F129-F170</f>
        <v>3910930.2335136062</v>
      </c>
      <c r="G172" s="4">
        <f>G129-G170</f>
        <v>3404951.0886365804</v>
      </c>
      <c r="H172" s="4">
        <f t="shared" si="122"/>
        <v>-6192518.3395209843</v>
      </c>
      <c r="I172" s="4">
        <f>I129-I170</f>
        <v>3475618.0002381387</v>
      </c>
      <c r="J172" s="4">
        <f t="shared" si="122"/>
        <v>3160649.2561165793</v>
      </c>
      <c r="K172" s="4">
        <f t="shared" si="122"/>
        <v>-7924195.4203844704</v>
      </c>
      <c r="L172" s="4">
        <f t="shared" si="122"/>
        <v>3237596.9046317465</v>
      </c>
      <c r="M172" s="13" t="s">
        <v>224</v>
      </c>
      <c r="N172" s="4">
        <f>N129-N170</f>
        <v>0</v>
      </c>
      <c r="O172" s="4">
        <f>O129-O170</f>
        <v>30951.300033524632</v>
      </c>
      <c r="P172" s="4">
        <f t="shared" ref="P172" si="123">P129-P170</f>
        <v>30951.300033524632</v>
      </c>
      <c r="Q172" s="4">
        <f>Q129-Q170</f>
        <v>30951.55475153029</v>
      </c>
      <c r="R172" s="4">
        <f>R129-R170</f>
        <v>0.25471799998194911</v>
      </c>
      <c r="S172" s="4">
        <f>S129-S170</f>
        <v>-0.39478858839720488</v>
      </c>
      <c r="T172" s="4">
        <f t="shared" ref="T172" si="124">T129-T170</f>
        <v>-0.39194171888175333</v>
      </c>
      <c r="U172" s="4">
        <f>U129-U170</f>
        <v>30950.768021225929</v>
      </c>
      <c r="V172" s="4">
        <f t="shared" si="108"/>
        <v>-0.53201229870319366</v>
      </c>
      <c r="W172" s="4"/>
      <c r="X172" s="4">
        <f t="shared" si="109"/>
        <v>0</v>
      </c>
      <c r="Y172" s="4"/>
      <c r="Z172" s="4">
        <f>Z129-Z170</f>
        <v>-11449.096140004694</v>
      </c>
      <c r="AA172" s="4">
        <f>AA129-AA170</f>
        <v>15530.852033413947</v>
      </c>
      <c r="AC172" s="295">
        <f t="shared" si="110"/>
        <v>42400.650891534984</v>
      </c>
    </row>
    <row r="173" spans="1:29" x14ac:dyDescent="0.3">
      <c r="A173" s="101"/>
      <c r="B173" s="101"/>
      <c r="C173" s="101"/>
      <c r="D173" s="102"/>
      <c r="E173" s="98"/>
      <c r="M173" s="123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</row>
    <row r="174" spans="1:29" x14ac:dyDescent="0.3">
      <c r="A174" s="103"/>
      <c r="B174" s="103"/>
      <c r="C174" s="103"/>
      <c r="D174" s="104"/>
      <c r="M174" s="12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</row>
    <row r="175" spans="1:29" x14ac:dyDescent="0.3">
      <c r="A175" s="103"/>
      <c r="B175" s="103"/>
      <c r="C175" s="103"/>
      <c r="D175" s="104"/>
      <c r="M175" s="12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</row>
    <row r="176" spans="1:29" x14ac:dyDescent="0.3">
      <c r="A176" s="105"/>
      <c r="B176" s="105"/>
      <c r="C176" s="105"/>
      <c r="D176" s="104"/>
      <c r="G176" s="98"/>
      <c r="L176" s="329"/>
      <c r="M176" s="123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</row>
    <row r="177" spans="1:23" x14ac:dyDescent="0.3">
      <c r="A177" s="103"/>
      <c r="B177" s="103"/>
      <c r="C177" s="103"/>
      <c r="D177" s="104"/>
      <c r="G177" s="98"/>
      <c r="L177" s="330"/>
      <c r="M177" s="12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</row>
    <row r="178" spans="1:23" x14ac:dyDescent="0.3">
      <c r="A178" s="105"/>
      <c r="B178" s="105"/>
      <c r="C178" s="105"/>
      <c r="D178" s="104"/>
      <c r="G178" s="98"/>
      <c r="L178" s="330"/>
      <c r="M178" s="123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</row>
    <row r="179" spans="1:23" x14ac:dyDescent="0.3">
      <c r="A179" s="15"/>
      <c r="B179" s="15"/>
      <c r="C179" s="15"/>
      <c r="D179" s="106"/>
      <c r="L179" s="78"/>
      <c r="M179" s="123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:23" x14ac:dyDescent="0.3">
      <c r="A180" s="15"/>
      <c r="B180" s="15"/>
      <c r="C180" s="15"/>
      <c r="D180" s="106"/>
      <c r="L180" s="78"/>
      <c r="M180" s="123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310" spans="194:194" x14ac:dyDescent="0.3">
      <c r="GL310" s="167" t="s">
        <v>404</v>
      </c>
    </row>
  </sheetData>
  <mergeCells count="4">
    <mergeCell ref="M1:N1"/>
    <mergeCell ref="A3:L3"/>
    <mergeCell ref="N3:W3"/>
    <mergeCell ref="M4:M5"/>
  </mergeCells>
  <pageMargins left="0.70866141732283472" right="0.70866141732283472" top="0.74803149606299213" bottom="0.74803149606299213" header="0.31496062992125984" footer="0.31496062992125984"/>
  <pageSetup paperSize="8"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S130"/>
  <sheetViews>
    <sheetView workbookViewId="0">
      <selection activeCell="A7" sqref="A7:A16"/>
    </sheetView>
  </sheetViews>
  <sheetFormatPr defaultRowHeight="14.4" x14ac:dyDescent="0.3"/>
  <cols>
    <col min="1" max="2" width="11" bestFit="1" customWidth="1"/>
    <col min="3" max="3" width="12.109375" bestFit="1" customWidth="1"/>
    <col min="4" max="4" width="11" bestFit="1" customWidth="1"/>
    <col min="5" max="5" width="12.109375" bestFit="1" customWidth="1"/>
    <col min="6" max="7" width="11" bestFit="1" customWidth="1"/>
    <col min="8" max="9" width="10" customWidth="1"/>
    <col min="10" max="10" width="61.33203125" bestFit="1" customWidth="1"/>
    <col min="11" max="12" width="11" bestFit="1" customWidth="1"/>
    <col min="13" max="13" width="12.109375" bestFit="1" customWidth="1"/>
    <col min="14" max="14" width="11" bestFit="1" customWidth="1"/>
    <col min="15" max="15" width="12.109375" bestFit="1" customWidth="1"/>
    <col min="16" max="17" width="11" bestFit="1" customWidth="1"/>
    <col min="18" max="19" width="7.33203125" bestFit="1" customWidth="1"/>
  </cols>
  <sheetData>
    <row r="3" spans="1:19" x14ac:dyDescent="0.3">
      <c r="A3" s="408" t="s">
        <v>231</v>
      </c>
      <c r="B3" s="408"/>
      <c r="C3" s="408"/>
      <c r="D3" s="408"/>
      <c r="E3" s="408"/>
      <c r="F3" s="408"/>
      <c r="G3" s="408"/>
      <c r="H3" s="408"/>
      <c r="I3" s="408"/>
      <c r="J3" s="14" t="s">
        <v>69</v>
      </c>
      <c r="K3" s="408" t="s">
        <v>3</v>
      </c>
      <c r="L3" s="408"/>
      <c r="M3" s="408"/>
      <c r="N3" s="408"/>
      <c r="O3" s="408"/>
      <c r="P3" s="408"/>
      <c r="Q3" s="408"/>
      <c r="R3" s="408"/>
      <c r="S3" s="408"/>
    </row>
    <row r="4" spans="1:19" x14ac:dyDescent="0.3">
      <c r="A4" s="125">
        <v>43191</v>
      </c>
      <c r="B4" s="125">
        <v>43191</v>
      </c>
      <c r="C4" s="125">
        <v>43191</v>
      </c>
      <c r="D4" s="125">
        <v>43191</v>
      </c>
      <c r="E4" s="125">
        <v>43191</v>
      </c>
      <c r="F4" s="125">
        <v>43191</v>
      </c>
      <c r="G4" s="125">
        <v>43191</v>
      </c>
      <c r="H4" s="125">
        <v>43191</v>
      </c>
      <c r="I4" s="125">
        <v>43191</v>
      </c>
      <c r="J4" s="395" t="s">
        <v>230</v>
      </c>
      <c r="K4" s="125">
        <v>43191</v>
      </c>
      <c r="L4" s="125">
        <v>43191</v>
      </c>
      <c r="M4" s="125">
        <v>43191</v>
      </c>
      <c r="N4" s="125">
        <v>43191</v>
      </c>
      <c r="O4" s="125">
        <v>43191</v>
      </c>
      <c r="P4" s="125">
        <v>43191</v>
      </c>
      <c r="Q4" s="125">
        <v>43191</v>
      </c>
      <c r="R4" s="125">
        <v>43191</v>
      </c>
      <c r="S4" s="125">
        <v>43191</v>
      </c>
    </row>
    <row r="5" spans="1:19" x14ac:dyDescent="0.3">
      <c r="A5" s="10" t="s">
        <v>259</v>
      </c>
      <c r="B5" s="10" t="s">
        <v>260</v>
      </c>
      <c r="C5" s="10" t="s">
        <v>261</v>
      </c>
      <c r="D5" s="10" t="s">
        <v>263</v>
      </c>
      <c r="E5" s="10" t="s">
        <v>262</v>
      </c>
      <c r="F5" s="10" t="s">
        <v>264</v>
      </c>
      <c r="G5" s="10" t="s">
        <v>265</v>
      </c>
      <c r="H5" s="10" t="s">
        <v>266</v>
      </c>
      <c r="I5" s="10" t="s">
        <v>52</v>
      </c>
      <c r="J5" s="396"/>
      <c r="K5" s="10" t="s">
        <v>259</v>
      </c>
      <c r="L5" s="10" t="s">
        <v>260</v>
      </c>
      <c r="M5" s="10" t="s">
        <v>261</v>
      </c>
      <c r="N5" s="10" t="s">
        <v>263</v>
      </c>
      <c r="O5" s="10" t="s">
        <v>262</v>
      </c>
      <c r="P5" s="10" t="s">
        <v>264</v>
      </c>
      <c r="Q5" s="10" t="s">
        <v>265</v>
      </c>
      <c r="R5" s="10" t="s">
        <v>266</v>
      </c>
      <c r="S5" s="10" t="s">
        <v>52</v>
      </c>
    </row>
    <row r="6" spans="1:19" x14ac:dyDescent="0.3">
      <c r="A6" s="1"/>
      <c r="B6" s="1"/>
      <c r="C6" s="1"/>
      <c r="D6" s="1"/>
      <c r="E6" s="1"/>
      <c r="F6" s="1"/>
      <c r="G6" s="1"/>
      <c r="H6" s="1"/>
      <c r="I6" s="1"/>
      <c r="J6" s="124"/>
      <c r="K6" s="1"/>
      <c r="L6" s="1"/>
      <c r="M6" s="1"/>
      <c r="N6" s="1"/>
      <c r="O6" s="1"/>
      <c r="P6" s="1"/>
      <c r="Q6" s="1"/>
      <c r="R6" s="1"/>
      <c r="S6" s="1"/>
    </row>
    <row r="7" spans="1:19" x14ac:dyDescent="0.3">
      <c r="A7" s="8">
        <f>CEO!A7+CS!A7+CFO!A7+LLA!A7+'C&amp;E'!A7+CES!A7+LLT!A7+GB!A7</f>
        <v>0</v>
      </c>
      <c r="B7" s="8"/>
      <c r="C7" s="8"/>
      <c r="D7" s="8">
        <v>24548.11</v>
      </c>
      <c r="E7" s="8">
        <v>36645.800000000003</v>
      </c>
      <c r="F7" s="8">
        <v>35704.910000000003</v>
      </c>
      <c r="G7" s="8">
        <v>40778.230000000003</v>
      </c>
      <c r="H7" s="8"/>
      <c r="I7" s="8"/>
      <c r="J7" s="187" t="s">
        <v>77</v>
      </c>
      <c r="K7" s="8">
        <v>27635.07</v>
      </c>
      <c r="L7" s="8"/>
      <c r="M7" s="8"/>
      <c r="N7" s="8">
        <v>24548.11</v>
      </c>
      <c r="O7" s="8">
        <v>36645.800000000003</v>
      </c>
      <c r="P7" s="8">
        <v>35704.910000000003</v>
      </c>
      <c r="Q7" s="8">
        <v>40778.230000000003</v>
      </c>
      <c r="R7" s="8"/>
      <c r="S7" s="8"/>
    </row>
    <row r="8" spans="1:19" x14ac:dyDescent="0.3">
      <c r="A8" s="7">
        <f>CEO!A8+CS!A8+CFO!A8+LLA!A8+'C&amp;E'!A8+CES!A8+LLT!A8+GB!A8</f>
        <v>2610331.1068600002</v>
      </c>
      <c r="B8" s="7">
        <f>1544231.06+391835.5+242078.66+2480+19069.3</f>
        <v>2199694.52</v>
      </c>
      <c r="C8" s="7">
        <f>1551818.39+465327.44+349454.96+4800+40487.16</f>
        <v>2411887.9500000002</v>
      </c>
      <c r="D8" s="7">
        <f>1907174.28+265427.56</f>
        <v>2172601.84</v>
      </c>
      <c r="E8" s="7">
        <v>2140564.63</v>
      </c>
      <c r="F8" s="7">
        <f>1524817.96-42342+235748.99+2400+19799.12+444486.9-12000-8658</f>
        <v>2164252.9700000002</v>
      </c>
      <c r="G8" s="7">
        <v>2174325.7399999998</v>
      </c>
      <c r="H8" s="7"/>
      <c r="I8" s="7"/>
      <c r="J8" s="13" t="s">
        <v>78</v>
      </c>
      <c r="K8" s="7">
        <f>1377749.2+391835.5+220209.55+2480-19217.4</f>
        <v>1973056.85</v>
      </c>
      <c r="L8" s="7">
        <f>1544231.06+391835.5+242078.66+2480+19069.3</f>
        <v>2199694.52</v>
      </c>
      <c r="M8" s="7">
        <f>1551818.39+465327.44+349454.96+4800+40487.16</f>
        <v>2411887.9500000002</v>
      </c>
      <c r="N8" s="7">
        <f>1907174.28+265427.56</f>
        <v>2172601.84</v>
      </c>
      <c r="O8" s="7">
        <v>2140564.63</v>
      </c>
      <c r="P8" s="7">
        <f>1524817.96-42342+235748.99+2400+19799.12+444486.9-12000-8658</f>
        <v>2164252.9700000002</v>
      </c>
      <c r="Q8" s="7">
        <v>2174325.7399999998</v>
      </c>
      <c r="R8" s="7"/>
      <c r="S8" s="7"/>
    </row>
    <row r="9" spans="1:19" x14ac:dyDescent="0.3">
      <c r="A9" s="7">
        <f>CEO!A9+CS!A9+CFO!A9+LLA!A9+'C&amp;E'!A9+CES!A9+LLT!A9+GB!A9</f>
        <v>0</v>
      </c>
      <c r="B9" s="7"/>
      <c r="C9" s="7"/>
      <c r="D9" s="7">
        <v>0</v>
      </c>
      <c r="E9" s="7"/>
      <c r="F9" s="7"/>
      <c r="G9" s="7"/>
      <c r="H9" s="7"/>
      <c r="I9" s="7"/>
      <c r="J9" s="13" t="s">
        <v>80</v>
      </c>
      <c r="K9" s="7">
        <v>0</v>
      </c>
      <c r="L9" s="7"/>
      <c r="M9" s="7"/>
      <c r="N9" s="7">
        <v>0</v>
      </c>
      <c r="O9" s="7"/>
      <c r="P9" s="7"/>
      <c r="Q9" s="7"/>
      <c r="R9" s="7"/>
      <c r="S9" s="7"/>
    </row>
    <row r="10" spans="1:19" x14ac:dyDescent="0.3">
      <c r="A10" s="7">
        <f>CEO!A10+CS!A10+CFO!A10+LLA!A10+'C&amp;E'!A10+CES!A10+LLT!A10+GB!A10</f>
        <v>0</v>
      </c>
      <c r="B10" s="7"/>
      <c r="C10" s="7"/>
      <c r="D10" s="7">
        <v>4097.1400000000003</v>
      </c>
      <c r="E10" s="7">
        <v>4871.3399999999992</v>
      </c>
      <c r="F10" s="7">
        <v>6637.52</v>
      </c>
      <c r="G10" s="7">
        <v>6352.73</v>
      </c>
      <c r="H10" s="7"/>
      <c r="I10" s="7"/>
      <c r="J10" s="13" t="s">
        <v>81</v>
      </c>
      <c r="K10" s="7">
        <v>4488.76</v>
      </c>
      <c r="L10" s="7"/>
      <c r="M10" s="7"/>
      <c r="N10" s="7">
        <v>4097.1400000000003</v>
      </c>
      <c r="O10" s="7">
        <v>4871.3399999999992</v>
      </c>
      <c r="P10" s="7">
        <v>6637.52</v>
      </c>
      <c r="Q10" s="7">
        <v>6352.73</v>
      </c>
      <c r="R10" s="7"/>
      <c r="S10" s="7"/>
    </row>
    <row r="11" spans="1:19" x14ac:dyDescent="0.3">
      <c r="A11" s="7">
        <f>CEO!A11+CS!A11+CFO!A11+LLA!A11+'C&amp;E'!A11+CES!A11+LLT!A11+GB!A11</f>
        <v>0</v>
      </c>
      <c r="B11" s="7"/>
      <c r="C11" s="7"/>
      <c r="D11" s="7">
        <v>0</v>
      </c>
      <c r="E11" s="7"/>
      <c r="F11" s="7"/>
      <c r="G11" s="7"/>
      <c r="H11" s="7"/>
      <c r="I11" s="7"/>
      <c r="J11" s="13" t="s">
        <v>82</v>
      </c>
      <c r="K11" s="7"/>
      <c r="L11" s="7"/>
      <c r="M11" s="7"/>
      <c r="N11" s="7">
        <v>0</v>
      </c>
      <c r="O11" s="7"/>
      <c r="P11" s="7"/>
      <c r="Q11" s="7"/>
      <c r="R11" s="7"/>
      <c r="S11" s="7"/>
    </row>
    <row r="12" spans="1:19" x14ac:dyDescent="0.3">
      <c r="A12" s="7">
        <f>CEO!A12+CS!A12+CFO!A12+LLA!A12+'C&amp;E'!A12+CES!A12+LLT!A12+GB!A12</f>
        <v>24881.540460159998</v>
      </c>
      <c r="B12" s="7">
        <f>19217.4+1137.98</f>
        <v>20355.38</v>
      </c>
      <c r="C12" s="7"/>
      <c r="D12" s="7">
        <v>24081.1</v>
      </c>
      <c r="E12" s="7">
        <v>20828.389999999992</v>
      </c>
      <c r="F12" s="7">
        <f>20758.81+548.99</f>
        <v>21307.800000000003</v>
      </c>
      <c r="G12" s="7">
        <f>21512.62+557.24</f>
        <v>22069.86</v>
      </c>
      <c r="H12" s="7"/>
      <c r="I12" s="7"/>
      <c r="J12" s="13" t="s">
        <v>83</v>
      </c>
      <c r="K12" s="7">
        <v>19217.400000000001</v>
      </c>
      <c r="L12" s="7">
        <f>19217.4+1137.98</f>
        <v>20355.38</v>
      </c>
      <c r="M12" s="7"/>
      <c r="N12" s="7">
        <v>24081.1</v>
      </c>
      <c r="O12" s="7">
        <v>20828.389999999992</v>
      </c>
      <c r="P12" s="7">
        <f>20758.81+548.99</f>
        <v>21307.800000000003</v>
      </c>
      <c r="Q12" s="7">
        <f>21512.62+557.24</f>
        <v>22069.86</v>
      </c>
      <c r="R12" s="7"/>
      <c r="S12" s="7"/>
    </row>
    <row r="13" spans="1:19" x14ac:dyDescent="0.3">
      <c r="A13" s="7">
        <f>CEO!A13+CS!A13+CFO!A13+LLA!A13+'C&amp;E'!A13+CES!A13+LLT!A13+GB!A13</f>
        <v>5735.0437600000005</v>
      </c>
      <c r="B13" s="7">
        <v>4172.4799999999996</v>
      </c>
      <c r="C13" s="7">
        <v>10850.1</v>
      </c>
      <c r="D13" s="7">
        <v>16481.27</v>
      </c>
      <c r="E13" s="7">
        <f>11891.54+1127.87</f>
        <v>13019.41</v>
      </c>
      <c r="F13" s="7">
        <v>8657.869999999999</v>
      </c>
      <c r="G13" s="7">
        <v>8032.02</v>
      </c>
      <c r="H13" s="7"/>
      <c r="I13" s="7"/>
      <c r="J13" s="13" t="s">
        <v>84</v>
      </c>
      <c r="K13" s="7">
        <v>6745.43</v>
      </c>
      <c r="L13" s="7">
        <v>4172.4799999999996</v>
      </c>
      <c r="M13" s="7">
        <v>10850.1</v>
      </c>
      <c r="N13" s="7">
        <v>16481.27</v>
      </c>
      <c r="O13" s="7">
        <f>11891.54+1127.87</f>
        <v>13019.41</v>
      </c>
      <c r="P13" s="7">
        <v>8657.869999999999</v>
      </c>
      <c r="Q13" s="7">
        <v>8032.02</v>
      </c>
      <c r="R13" s="7"/>
      <c r="S13" s="7"/>
    </row>
    <row r="14" spans="1:19" x14ac:dyDescent="0.3">
      <c r="A14" s="7">
        <f>CEO!A14+CS!A14+CFO!A14+LLA!A14+'C&amp;E'!A14+CES!A14+LLT!A14+GB!A14</f>
        <v>0</v>
      </c>
      <c r="B14" s="7"/>
      <c r="C14" s="7"/>
      <c r="D14" s="7">
        <v>0</v>
      </c>
      <c r="E14" s="7">
        <v>0</v>
      </c>
      <c r="F14" s="7"/>
      <c r="G14" s="7"/>
      <c r="H14" s="7"/>
      <c r="I14" s="7"/>
      <c r="J14" s="13" t="s">
        <v>86</v>
      </c>
      <c r="K14" s="7"/>
      <c r="L14" s="7"/>
      <c r="M14" s="7"/>
      <c r="N14" s="7">
        <v>0</v>
      </c>
      <c r="O14" s="7">
        <v>0</v>
      </c>
      <c r="P14" s="7"/>
      <c r="Q14" s="7"/>
      <c r="R14" s="7"/>
      <c r="S14" s="7"/>
    </row>
    <row r="15" spans="1:19" x14ac:dyDescent="0.3">
      <c r="A15" s="7">
        <f>CEO!A15+CS!A15+CFO!A15+LLA!A15+'C&amp;E'!A15+CES!A15+LLT!A15+GB!A15</f>
        <v>0</v>
      </c>
      <c r="B15" s="7">
        <v>6000</v>
      </c>
      <c r="C15" s="7"/>
      <c r="D15" s="7">
        <v>3000</v>
      </c>
      <c r="E15" s="7">
        <v>9000</v>
      </c>
      <c r="F15" s="7">
        <v>12000</v>
      </c>
      <c r="G15" s="7">
        <v>0</v>
      </c>
      <c r="H15" s="7"/>
      <c r="I15" s="7"/>
      <c r="J15" s="13" t="s">
        <v>87</v>
      </c>
      <c r="K15" s="7"/>
      <c r="L15" s="7">
        <v>6000</v>
      </c>
      <c r="M15" s="7"/>
      <c r="N15" s="7">
        <v>3000</v>
      </c>
      <c r="O15" s="7">
        <v>9000</v>
      </c>
      <c r="P15" s="7">
        <v>12000</v>
      </c>
      <c r="Q15" s="7">
        <v>0</v>
      </c>
      <c r="R15" s="7"/>
      <c r="S15" s="7"/>
    </row>
    <row r="16" spans="1:19" x14ac:dyDescent="0.3">
      <c r="A16" s="11">
        <f>CEO!A16+CS!A16+CFO!A16+LLA!A16+'C&amp;E'!A16+CES!A16+LLT!A16+GB!A16</f>
        <v>0</v>
      </c>
      <c r="B16" s="11"/>
      <c r="C16" s="11"/>
      <c r="D16" s="11"/>
      <c r="E16" s="11">
        <v>0</v>
      </c>
      <c r="F16" s="11"/>
      <c r="G16" s="11"/>
      <c r="H16" s="11"/>
      <c r="I16" s="11"/>
      <c r="J16" s="13" t="s">
        <v>88</v>
      </c>
      <c r="K16" s="11"/>
      <c r="L16" s="11"/>
      <c r="M16" s="11"/>
      <c r="N16" s="11"/>
      <c r="O16" s="11">
        <v>0</v>
      </c>
      <c r="P16" s="11"/>
      <c r="Q16" s="11"/>
      <c r="R16" s="11"/>
      <c r="S16" s="11"/>
    </row>
    <row r="17" spans="1:19" x14ac:dyDescent="0.3">
      <c r="A17" s="81">
        <f>CEO!A17+CS!A17+CFO!A17+LLA!A17+'C&amp;E'!A17+CES!A17+LLT!A17+GB!A17</f>
        <v>0</v>
      </c>
      <c r="B17" s="81"/>
      <c r="C17" s="81"/>
      <c r="D17" s="85"/>
      <c r="E17" s="83"/>
      <c r="F17" s="83"/>
      <c r="G17" s="83"/>
      <c r="H17" s="83"/>
      <c r="I17" s="83"/>
      <c r="J17" s="13"/>
      <c r="K17" s="81"/>
      <c r="L17" s="81"/>
      <c r="M17" s="81"/>
      <c r="N17" s="85"/>
      <c r="O17" s="83"/>
      <c r="P17" s="83"/>
      <c r="Q17" s="83"/>
      <c r="R17" s="83"/>
      <c r="S17" s="83"/>
    </row>
    <row r="18" spans="1:19" x14ac:dyDescent="0.3">
      <c r="A18" s="4">
        <f>CEO!A18+CS!A18+CFO!A18+LLA!A18+'C&amp;E'!A18+CES!A18+LLT!A18+GB!A18</f>
        <v>2640947.69108016</v>
      </c>
      <c r="B18" s="4">
        <f>SUM(B7:B16)</f>
        <v>2230222.38</v>
      </c>
      <c r="C18" s="4">
        <f t="shared" ref="C18:I18" si="0">SUM(C7:C16)</f>
        <v>2422738.0500000003</v>
      </c>
      <c r="D18" s="4">
        <f>SUM(D7:D16)</f>
        <v>2244809.46</v>
      </c>
      <c r="E18" s="4">
        <f t="shared" si="0"/>
        <v>2224929.5699999998</v>
      </c>
      <c r="F18" s="4">
        <f t="shared" si="0"/>
        <v>2248561.0700000003</v>
      </c>
      <c r="G18" s="4">
        <f t="shared" si="0"/>
        <v>2251558.5799999996</v>
      </c>
      <c r="H18" s="4">
        <f t="shared" si="0"/>
        <v>0</v>
      </c>
      <c r="I18" s="4">
        <f t="shared" si="0"/>
        <v>0</v>
      </c>
      <c r="J18" s="13" t="s">
        <v>89</v>
      </c>
      <c r="K18" s="4">
        <f>SUM(K7:K16)</f>
        <v>2031143.51</v>
      </c>
      <c r="L18" s="4">
        <f>SUM(L7:L16)</f>
        <v>2230222.38</v>
      </c>
      <c r="M18" s="4">
        <f t="shared" ref="M18" si="1">SUM(M7:M16)</f>
        <v>2422738.0500000003</v>
      </c>
      <c r="N18" s="4">
        <f>SUM(N7:N16)</f>
        <v>2244809.46</v>
      </c>
      <c r="O18" s="4">
        <f t="shared" ref="O18:S18" si="2">SUM(O7:O16)</f>
        <v>2224929.5699999998</v>
      </c>
      <c r="P18" s="4">
        <f t="shared" si="2"/>
        <v>2248561.0700000003</v>
      </c>
      <c r="Q18" s="4">
        <f t="shared" si="2"/>
        <v>2251558.5799999996</v>
      </c>
      <c r="R18" s="4">
        <f t="shared" si="2"/>
        <v>0</v>
      </c>
      <c r="S18" s="4">
        <f t="shared" si="2"/>
        <v>0</v>
      </c>
    </row>
    <row r="19" spans="1:19" x14ac:dyDescent="0.3">
      <c r="A19" s="81">
        <f>CEO!A19+CS!A19+CFO!A19+LLA!A19+'C&amp;E'!A19+CES!A19+LLT!A19+GB!A19</f>
        <v>0</v>
      </c>
      <c r="B19" s="81"/>
      <c r="C19" s="81"/>
      <c r="D19" s="82"/>
      <c r="E19" s="86"/>
      <c r="F19" s="86"/>
      <c r="G19" s="86"/>
      <c r="H19" s="87"/>
      <c r="I19" s="87"/>
      <c r="J19" s="122"/>
      <c r="K19" s="81"/>
      <c r="L19" s="81"/>
      <c r="M19" s="81"/>
      <c r="N19" s="82"/>
      <c r="O19" s="86"/>
      <c r="P19" s="86"/>
      <c r="Q19" s="86"/>
      <c r="R19" s="87"/>
      <c r="S19" s="87"/>
    </row>
    <row r="20" spans="1:19" x14ac:dyDescent="0.3">
      <c r="A20" s="8">
        <f>CEO!A20+CS!A20+CFO!A20+LLA!A20+'C&amp;E'!A20+CES!A20+LLT!A20+GB!A20</f>
        <v>10825.84</v>
      </c>
      <c r="B20" s="8"/>
      <c r="C20" s="8"/>
      <c r="D20" s="8"/>
      <c r="E20" s="8">
        <v>26970.720000000001</v>
      </c>
      <c r="F20" s="8"/>
      <c r="G20" s="8">
        <v>26970.720000000001</v>
      </c>
      <c r="H20" s="8"/>
      <c r="I20" s="8"/>
      <c r="J20" s="187" t="s">
        <v>90</v>
      </c>
      <c r="K20" s="8">
        <v>12357.21</v>
      </c>
      <c r="L20" s="8"/>
      <c r="M20" s="8"/>
      <c r="N20" s="8"/>
      <c r="O20" s="8">
        <v>26970.720000000001</v>
      </c>
      <c r="P20" s="8"/>
      <c r="Q20" s="8">
        <v>26970.720000000001</v>
      </c>
      <c r="R20" s="8"/>
      <c r="S20" s="8"/>
    </row>
    <row r="21" spans="1:19" x14ac:dyDescent="0.3">
      <c r="A21" s="7">
        <f>CEO!A21+CS!A21+CFO!A21+LLA!A21+'C&amp;E'!A21+CES!A21+LLT!A21+GB!A21</f>
        <v>142166.44</v>
      </c>
      <c r="B21" s="7"/>
      <c r="C21" s="7">
        <v>1063104.31</v>
      </c>
      <c r="D21" s="7">
        <v>676967.18</v>
      </c>
      <c r="E21" s="7">
        <v>21986.06</v>
      </c>
      <c r="F21" s="7">
        <v>305208.46999999997</v>
      </c>
      <c r="G21" s="7">
        <v>414722.76</v>
      </c>
      <c r="H21" s="7"/>
      <c r="I21" s="7"/>
      <c r="J21" s="13" t="s">
        <v>91</v>
      </c>
      <c r="K21" s="7">
        <v>252.2</v>
      </c>
      <c r="L21" s="7"/>
      <c r="M21" s="7">
        <v>1063104.31</v>
      </c>
      <c r="N21" s="7">
        <v>676967.18</v>
      </c>
      <c r="O21" s="7">
        <v>21986.06</v>
      </c>
      <c r="P21" s="7">
        <v>305208.46999999997</v>
      </c>
      <c r="Q21" s="7">
        <v>414722.76</v>
      </c>
      <c r="R21" s="7"/>
      <c r="S21" s="7"/>
    </row>
    <row r="22" spans="1:19" x14ac:dyDescent="0.3">
      <c r="A22" s="7">
        <f>CEO!A22+CS!A22+CFO!A22+LLA!A22+'C&amp;E'!A22+CES!A22+LLT!A22+GB!A22</f>
        <v>13768.624</v>
      </c>
      <c r="B22" s="7"/>
      <c r="C22" s="7">
        <v>5698.5</v>
      </c>
      <c r="D22" s="7"/>
      <c r="E22" s="7"/>
      <c r="F22" s="7"/>
      <c r="G22" s="7"/>
      <c r="H22" s="7"/>
      <c r="I22" s="7"/>
      <c r="J22" s="13" t="s">
        <v>92</v>
      </c>
      <c r="K22" s="7">
        <v>10800</v>
      </c>
      <c r="L22" s="7"/>
      <c r="M22" s="7">
        <v>5698.5</v>
      </c>
      <c r="N22" s="7"/>
      <c r="O22" s="7"/>
      <c r="P22" s="7"/>
      <c r="Q22" s="7"/>
      <c r="R22" s="7"/>
      <c r="S22" s="7"/>
    </row>
    <row r="23" spans="1:19" x14ac:dyDescent="0.3">
      <c r="A23" s="7">
        <f>CEO!A23+CS!A23+CFO!A23+LLA!A23+'C&amp;E'!A23+CES!A23+LLT!A23+GB!A23</f>
        <v>0</v>
      </c>
      <c r="B23" s="7"/>
      <c r="C23" s="7"/>
      <c r="D23" s="7"/>
      <c r="E23" s="7"/>
      <c r="F23" s="7"/>
      <c r="G23" s="7"/>
      <c r="H23" s="7"/>
      <c r="I23" s="7"/>
      <c r="J23" s="125" t="s">
        <v>93</v>
      </c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3">
      <c r="A24" s="7">
        <f>CEO!A24+CS!A24+CFO!A24+LLA!A24+'C&amp;E'!A24+CES!A24+LLT!A24+GB!A24</f>
        <v>23328.48</v>
      </c>
      <c r="B24" s="7"/>
      <c r="C24" s="7"/>
      <c r="D24" s="7"/>
      <c r="E24" s="7"/>
      <c r="F24" s="7"/>
      <c r="G24" s="7">
        <v>47149.95</v>
      </c>
      <c r="H24" s="7"/>
      <c r="I24" s="7"/>
      <c r="J24" s="125" t="s">
        <v>94</v>
      </c>
      <c r="K24" s="7"/>
      <c r="L24" s="7"/>
      <c r="M24" s="7"/>
      <c r="N24" s="7"/>
      <c r="O24" s="7"/>
      <c r="P24" s="7"/>
      <c r="Q24" s="7">
        <v>47149.95</v>
      </c>
      <c r="R24" s="7"/>
      <c r="S24" s="7"/>
    </row>
    <row r="25" spans="1:19" x14ac:dyDescent="0.3">
      <c r="A25" s="7">
        <f>CEO!A25+CS!A25+CFO!A25+LLA!A25+'C&amp;E'!A25+CES!A25+LLT!A25+GB!A25</f>
        <v>1290.0880000000002</v>
      </c>
      <c r="B25" s="7"/>
      <c r="C25" s="7"/>
      <c r="D25" s="7">
        <v>1700</v>
      </c>
      <c r="E25" s="7"/>
      <c r="F25" s="7"/>
      <c r="G25" s="7"/>
      <c r="H25" s="7"/>
      <c r="I25" s="7"/>
      <c r="J25" s="13" t="s">
        <v>95</v>
      </c>
      <c r="K25" s="7">
        <v>13820</v>
      </c>
      <c r="L25" s="7"/>
      <c r="M25" s="7"/>
      <c r="N25" s="7">
        <v>1700</v>
      </c>
      <c r="O25" s="7"/>
      <c r="P25" s="7"/>
      <c r="Q25" s="7"/>
      <c r="R25" s="7"/>
      <c r="S25" s="7"/>
    </row>
    <row r="26" spans="1:19" x14ac:dyDescent="0.3">
      <c r="A26" s="11">
        <f>CEO!A26+CS!A26+CFO!A26+LLA!A26+'C&amp;E'!A26+CES!A26+LLT!A26+GB!A26</f>
        <v>0</v>
      </c>
      <c r="B26" s="11"/>
      <c r="C26" s="11"/>
      <c r="D26" s="11"/>
      <c r="E26" s="11"/>
      <c r="F26" s="11"/>
      <c r="G26" s="11"/>
      <c r="H26" s="11"/>
      <c r="I26" s="11"/>
      <c r="J26" s="13" t="s">
        <v>96</v>
      </c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">
      <c r="A27" s="81">
        <f>CEO!A27+CS!A27+CFO!A27+LLA!A27+'C&amp;E'!A27+CES!A27+LLT!A27+GB!A27</f>
        <v>0</v>
      </c>
      <c r="B27" s="81"/>
      <c r="C27" s="81"/>
      <c r="D27" s="85"/>
      <c r="E27" s="83"/>
      <c r="F27" s="83"/>
      <c r="G27" s="83"/>
      <c r="H27" s="83"/>
      <c r="I27" s="83"/>
      <c r="J27" s="13"/>
      <c r="K27" s="81"/>
      <c r="L27" s="81"/>
      <c r="M27" s="81"/>
      <c r="N27" s="85"/>
      <c r="O27" s="83"/>
      <c r="P27" s="83"/>
      <c r="Q27" s="83"/>
      <c r="R27" s="83"/>
      <c r="S27" s="83"/>
    </row>
    <row r="28" spans="1:19" x14ac:dyDescent="0.3">
      <c r="A28" s="4">
        <f>CEO!A28+CS!A28+CFO!A28+LLA!A28+'C&amp;E'!A28+CES!A28+LLT!A28+GB!A28</f>
        <v>191379.47199999998</v>
      </c>
      <c r="B28" s="4">
        <f>SUM(B20:B26)</f>
        <v>0</v>
      </c>
      <c r="C28" s="4">
        <f t="shared" ref="C28:I28" si="3">SUM(C20:C26)</f>
        <v>1068802.81</v>
      </c>
      <c r="D28" s="4">
        <f t="shared" si="3"/>
        <v>678667.18</v>
      </c>
      <c r="E28" s="4">
        <f t="shared" si="3"/>
        <v>48956.78</v>
      </c>
      <c r="F28" s="4">
        <f t="shared" si="3"/>
        <v>305208.46999999997</v>
      </c>
      <c r="G28" s="4">
        <f t="shared" si="3"/>
        <v>488843.43</v>
      </c>
      <c r="H28" s="4">
        <f t="shared" si="3"/>
        <v>0</v>
      </c>
      <c r="I28" s="4">
        <f t="shared" si="3"/>
        <v>0</v>
      </c>
      <c r="J28" s="13" t="s">
        <v>97</v>
      </c>
      <c r="K28" s="4">
        <f>SUM(K20:K26)</f>
        <v>37229.410000000003</v>
      </c>
      <c r="L28" s="4">
        <f>SUM(L20:L26)</f>
        <v>0</v>
      </c>
      <c r="M28" s="4">
        <f t="shared" ref="M28:S28" si="4">SUM(M20:M26)</f>
        <v>1068802.81</v>
      </c>
      <c r="N28" s="4">
        <f t="shared" si="4"/>
        <v>678667.18</v>
      </c>
      <c r="O28" s="4">
        <f t="shared" si="4"/>
        <v>48956.78</v>
      </c>
      <c r="P28" s="4">
        <f t="shared" si="4"/>
        <v>305208.46999999997</v>
      </c>
      <c r="Q28" s="4">
        <f t="shared" si="4"/>
        <v>488843.43</v>
      </c>
      <c r="R28" s="4">
        <f t="shared" si="4"/>
        <v>0</v>
      </c>
      <c r="S28" s="4">
        <f t="shared" si="4"/>
        <v>0</v>
      </c>
    </row>
    <row r="29" spans="1:19" x14ac:dyDescent="0.3">
      <c r="A29" s="81">
        <f>CEO!A29+CS!A29+CFO!A29+LLA!A29+'C&amp;E'!A29+CES!A29+LLT!A29+GB!A29</f>
        <v>0</v>
      </c>
      <c r="B29" s="81"/>
      <c r="C29" s="81"/>
      <c r="D29" s="82"/>
      <c r="E29" s="86"/>
      <c r="F29" s="86"/>
      <c r="G29" s="86"/>
      <c r="H29" s="87"/>
      <c r="I29" s="87"/>
      <c r="J29" s="80"/>
      <c r="K29" s="81"/>
      <c r="L29" s="81"/>
      <c r="M29" s="81"/>
      <c r="N29" s="82"/>
      <c r="O29" s="86"/>
      <c r="P29" s="86"/>
      <c r="Q29" s="86"/>
      <c r="R29" s="87"/>
      <c r="S29" s="87"/>
    </row>
    <row r="30" spans="1:19" x14ac:dyDescent="0.3">
      <c r="A30" s="8">
        <f>CEO!A30+CS!A30+CFO!A30+LLA!A30+'C&amp;E'!A30+CES!A30+LLT!A30+GB!A30</f>
        <v>0</v>
      </c>
      <c r="B30" s="8">
        <v>281980.15999999997</v>
      </c>
      <c r="C30" s="8">
        <v>449522.95</v>
      </c>
      <c r="D30" s="8"/>
      <c r="E30" s="8">
        <v>637282.17000000004</v>
      </c>
      <c r="F30" s="8"/>
      <c r="G30" s="8">
        <v>526767.29</v>
      </c>
      <c r="H30" s="8"/>
      <c r="I30" s="8"/>
      <c r="J30" s="187" t="s">
        <v>98</v>
      </c>
      <c r="K30" s="8"/>
      <c r="L30" s="8">
        <v>281980.15999999997</v>
      </c>
      <c r="M30" s="8">
        <v>449522.95</v>
      </c>
      <c r="N30" s="8"/>
      <c r="O30" s="8">
        <v>637282.17000000004</v>
      </c>
      <c r="P30" s="8"/>
      <c r="Q30" s="8">
        <v>526767.29</v>
      </c>
      <c r="R30" s="8"/>
      <c r="S30" s="8"/>
    </row>
    <row r="31" spans="1:19" x14ac:dyDescent="0.3">
      <c r="A31" s="7">
        <f>CEO!A31+CS!A31+CFO!A31+LLA!A31+'C&amp;E'!A31+CES!A31+LLT!A31+GB!A31</f>
        <v>9215.0640000000003</v>
      </c>
      <c r="B31" s="7">
        <v>1347.09</v>
      </c>
      <c r="C31" s="7">
        <v>3623.84</v>
      </c>
      <c r="D31" s="7">
        <v>1473.35</v>
      </c>
      <c r="E31" s="7">
        <v>2822.6</v>
      </c>
      <c r="F31" s="7">
        <v>1844.66</v>
      </c>
      <c r="G31" s="7">
        <v>3036.08</v>
      </c>
      <c r="H31" s="7"/>
      <c r="I31" s="7"/>
      <c r="J31" s="13" t="s">
        <v>99</v>
      </c>
      <c r="K31" s="7">
        <v>1724.39</v>
      </c>
      <c r="L31" s="7">
        <v>1347.09</v>
      </c>
      <c r="M31" s="7">
        <v>3623.84</v>
      </c>
      <c r="N31" s="7">
        <v>1473.35</v>
      </c>
      <c r="O31" s="7">
        <v>2822.6</v>
      </c>
      <c r="P31" s="7">
        <v>1844.66</v>
      </c>
      <c r="Q31" s="7">
        <v>3036.08</v>
      </c>
      <c r="R31" s="7"/>
      <c r="S31" s="7"/>
    </row>
    <row r="32" spans="1:19" x14ac:dyDescent="0.3">
      <c r="A32" s="7">
        <f>CEO!A32+CS!A32+CFO!A32+LLA!A32+'C&amp;E'!A32+CES!A32+LLT!A32+GB!A32</f>
        <v>74534.808000000005</v>
      </c>
      <c r="B32" s="7">
        <v>10773.2</v>
      </c>
      <c r="C32" s="7"/>
      <c r="D32" s="7"/>
      <c r="E32" s="7">
        <v>55865.14</v>
      </c>
      <c r="F32" s="7">
        <v>81501.649999999994</v>
      </c>
      <c r="G32" s="7"/>
      <c r="H32" s="7"/>
      <c r="I32" s="7"/>
      <c r="J32" s="13" t="s">
        <v>100</v>
      </c>
      <c r="K32" s="7"/>
      <c r="L32" s="7">
        <v>10773.2</v>
      </c>
      <c r="M32" s="7"/>
      <c r="N32" s="7"/>
      <c r="O32" s="7">
        <v>55865.14</v>
      </c>
      <c r="P32" s="7">
        <v>81501.649999999994</v>
      </c>
      <c r="Q32" s="7"/>
      <c r="R32" s="7"/>
      <c r="S32" s="7"/>
    </row>
    <row r="33" spans="1:19" x14ac:dyDescent="0.3">
      <c r="A33" s="7">
        <f>CEO!A33+CS!A33+CFO!A33+LLA!A33+'C&amp;E'!A33+CES!A33+LLT!A33+GB!A33</f>
        <v>4377.4960000000001</v>
      </c>
      <c r="B33" s="7"/>
      <c r="C33" s="7"/>
      <c r="D33" s="7"/>
      <c r="E33" s="7"/>
      <c r="F33" s="7">
        <v>48000</v>
      </c>
      <c r="G33" s="7"/>
      <c r="H33" s="7"/>
      <c r="I33" s="7"/>
      <c r="J33" s="13" t="s">
        <v>101</v>
      </c>
      <c r="K33" s="7"/>
      <c r="L33" s="7"/>
      <c r="M33" s="7"/>
      <c r="N33" s="7"/>
      <c r="O33" s="7"/>
      <c r="P33" s="7">
        <v>48000</v>
      </c>
      <c r="Q33" s="7"/>
      <c r="R33" s="7"/>
      <c r="S33" s="7"/>
    </row>
    <row r="34" spans="1:19" x14ac:dyDescent="0.3">
      <c r="A34" s="7">
        <f>CEO!A34+CS!A34+CFO!A34+LLA!A34+'C&amp;E'!A34+CES!A34+LLT!A34+GB!A34</f>
        <v>34273.792000000001</v>
      </c>
      <c r="B34" s="7">
        <v>45050.37</v>
      </c>
      <c r="C34" s="7">
        <v>29830.97</v>
      </c>
      <c r="D34" s="7">
        <v>41117.800000000003</v>
      </c>
      <c r="E34" s="7">
        <v>50893.01</v>
      </c>
      <c r="F34" s="7">
        <v>48089.94</v>
      </c>
      <c r="G34" s="7">
        <v>35872.93</v>
      </c>
      <c r="H34" s="7"/>
      <c r="I34" s="7"/>
      <c r="J34" s="13" t="s">
        <v>102</v>
      </c>
      <c r="K34" s="7"/>
      <c r="L34" s="7">
        <v>45050.37</v>
      </c>
      <c r="M34" s="7">
        <v>29830.97</v>
      </c>
      <c r="N34" s="7">
        <v>41117.800000000003</v>
      </c>
      <c r="O34" s="7">
        <v>50893.01</v>
      </c>
      <c r="P34" s="7">
        <v>48089.94</v>
      </c>
      <c r="Q34" s="7">
        <v>35872.93</v>
      </c>
      <c r="R34" s="7"/>
      <c r="S34" s="7"/>
    </row>
    <row r="35" spans="1:19" x14ac:dyDescent="0.3">
      <c r="A35" s="7">
        <f>CEO!A35+CS!A35+CFO!A35+LLA!A35+'C&amp;E'!A35+CES!A35+LLT!A35+GB!A35</f>
        <v>0</v>
      </c>
      <c r="B35" s="7"/>
      <c r="C35" s="7"/>
      <c r="D35" s="7"/>
      <c r="E35" s="7"/>
      <c r="F35" s="7"/>
      <c r="G35" s="7"/>
      <c r="H35" s="7"/>
      <c r="I35" s="7"/>
      <c r="J35" s="13" t="s">
        <v>104</v>
      </c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3">
      <c r="A36" s="7">
        <f>CEO!A36+CS!A36+CFO!A36+LLA!A36+'C&amp;E'!A36+CES!A36+LLT!A36+GB!A36</f>
        <v>0</v>
      </c>
      <c r="B36" s="7">
        <v>7379.18</v>
      </c>
      <c r="C36" s="7">
        <v>1086.5999999999999</v>
      </c>
      <c r="D36" s="7"/>
      <c r="E36" s="7">
        <v>8488.1</v>
      </c>
      <c r="F36" s="7">
        <v>4244.0600000000004</v>
      </c>
      <c r="G36" s="7">
        <v>26324.05</v>
      </c>
      <c r="H36" s="7"/>
      <c r="I36" s="7"/>
      <c r="J36" s="13" t="s">
        <v>105</v>
      </c>
      <c r="K36" s="7">
        <v>3259.8</v>
      </c>
      <c r="L36" s="7">
        <v>7379.18</v>
      </c>
      <c r="M36" s="7">
        <v>1086.5999999999999</v>
      </c>
      <c r="N36" s="7"/>
      <c r="O36" s="7">
        <v>8488.1</v>
      </c>
      <c r="P36" s="7">
        <v>4244.0600000000004</v>
      </c>
      <c r="Q36" s="7">
        <v>26324.05</v>
      </c>
      <c r="R36" s="7"/>
      <c r="S36" s="7"/>
    </row>
    <row r="37" spans="1:19" x14ac:dyDescent="0.3">
      <c r="A37" s="7">
        <f>CEO!A37+CS!A37+CFO!A37+LLA!A37+'C&amp;E'!A37+CES!A37+LLT!A37+GB!A37</f>
        <v>23763.4</v>
      </c>
      <c r="B37" s="7">
        <v>25200.12</v>
      </c>
      <c r="C37" s="7">
        <v>25200.12</v>
      </c>
      <c r="D37" s="7">
        <v>25200.12</v>
      </c>
      <c r="E37" s="7">
        <v>25207.69</v>
      </c>
      <c r="F37" s="7">
        <v>25207.69</v>
      </c>
      <c r="G37" s="7">
        <v>25207.69</v>
      </c>
      <c r="H37" s="7"/>
      <c r="I37" s="7"/>
      <c r="J37" s="187" t="s">
        <v>106</v>
      </c>
      <c r="K37" s="7">
        <v>25200</v>
      </c>
      <c r="L37" s="7">
        <v>25200.12</v>
      </c>
      <c r="M37" s="7">
        <v>25200.12</v>
      </c>
      <c r="N37" s="7">
        <v>25200.12</v>
      </c>
      <c r="O37" s="7">
        <v>25207.69</v>
      </c>
      <c r="P37" s="7">
        <v>25207.69</v>
      </c>
      <c r="Q37" s="7">
        <v>25207.69</v>
      </c>
      <c r="R37" s="7"/>
      <c r="S37" s="7"/>
    </row>
    <row r="38" spans="1:19" x14ac:dyDescent="0.3">
      <c r="A38" s="7">
        <f>CEO!A38+CS!A38+CFO!A38+LLA!A38+'C&amp;E'!A38+CES!A38+LLT!A38+GB!A38</f>
        <v>249170.38400000002</v>
      </c>
      <c r="B38" s="7">
        <v>240730.44</v>
      </c>
      <c r="C38" s="7">
        <v>240730.44</v>
      </c>
      <c r="D38" s="7"/>
      <c r="E38" s="7">
        <v>240730.44</v>
      </c>
      <c r="F38" s="7">
        <v>240730.44</v>
      </c>
      <c r="G38" s="7">
        <v>240730.44</v>
      </c>
      <c r="H38" s="7"/>
      <c r="I38" s="7"/>
      <c r="J38" s="13" t="s">
        <v>107</v>
      </c>
      <c r="K38" s="7">
        <v>445796.92</v>
      </c>
      <c r="L38" s="7">
        <v>240730.44</v>
      </c>
      <c r="M38" s="7">
        <v>240730.44</v>
      </c>
      <c r="N38" s="7"/>
      <c r="O38" s="7">
        <v>240730.44</v>
      </c>
      <c r="P38" s="7">
        <v>240730.44</v>
      </c>
      <c r="Q38" s="7">
        <v>240730.44</v>
      </c>
      <c r="R38" s="7"/>
      <c r="S38" s="7"/>
    </row>
    <row r="39" spans="1:19" x14ac:dyDescent="0.3">
      <c r="A39" s="7">
        <f>CEO!A39+CS!A39+CFO!A39+LLA!A39+'C&amp;E'!A39+CES!A39+LLT!A39+GB!A39</f>
        <v>60451.784</v>
      </c>
      <c r="B39" s="7">
        <v>58402.95</v>
      </c>
      <c r="C39" s="7">
        <v>53109.51</v>
      </c>
      <c r="D39" s="7"/>
      <c r="E39" s="7">
        <v>58159.27</v>
      </c>
      <c r="F39" s="7">
        <v>62771.46</v>
      </c>
      <c r="G39" s="7">
        <v>65475.46</v>
      </c>
      <c r="H39" s="7"/>
      <c r="I39" s="7"/>
      <c r="J39" s="13" t="s">
        <v>108</v>
      </c>
      <c r="K39" s="7">
        <v>58356.04</v>
      </c>
      <c r="L39" s="7">
        <v>58402.95</v>
      </c>
      <c r="M39" s="7">
        <v>53109.51</v>
      </c>
      <c r="N39" s="7"/>
      <c r="O39" s="7">
        <v>58159.27</v>
      </c>
      <c r="P39" s="7">
        <v>62771.46</v>
      </c>
      <c r="Q39" s="7">
        <v>65475.46</v>
      </c>
      <c r="R39" s="7"/>
      <c r="S39" s="7"/>
    </row>
    <row r="40" spans="1:19" x14ac:dyDescent="0.3">
      <c r="A40" s="7">
        <f>CEO!A40+CS!A40+CFO!A40+LLA!A40+'C&amp;E'!A40+CES!A40+LLT!A40+GB!A40</f>
        <v>1180.048</v>
      </c>
      <c r="B40" s="7">
        <v>1162.0899999999999</v>
      </c>
      <c r="C40" s="7">
        <v>1162.0899999999999</v>
      </c>
      <c r="D40" s="7"/>
      <c r="E40" s="7">
        <v>1193.76</v>
      </c>
      <c r="F40" s="7">
        <v>1182.07</v>
      </c>
      <c r="G40" s="7">
        <v>1271.53</v>
      </c>
      <c r="H40" s="7"/>
      <c r="I40" s="7"/>
      <c r="J40" s="13" t="s">
        <v>109</v>
      </c>
      <c r="K40" s="7">
        <v>1185.05</v>
      </c>
      <c r="L40" s="7">
        <v>1162.0899999999999</v>
      </c>
      <c r="M40" s="7">
        <v>1162.0899999999999</v>
      </c>
      <c r="N40" s="7"/>
      <c r="O40" s="7">
        <v>1193.76</v>
      </c>
      <c r="P40" s="7">
        <v>1182.07</v>
      </c>
      <c r="Q40" s="7">
        <v>1271.53</v>
      </c>
      <c r="R40" s="7"/>
      <c r="S40" s="7"/>
    </row>
    <row r="41" spans="1:19" x14ac:dyDescent="0.3">
      <c r="A41" s="7">
        <f>CEO!A41+CS!A41+CFO!A41+LLA!A41+'C&amp;E'!A41+CES!A41+LLT!A41+GB!A41</f>
        <v>19656.288</v>
      </c>
      <c r="B41" s="7">
        <v>19068.38</v>
      </c>
      <c r="C41" s="7">
        <v>19068.38</v>
      </c>
      <c r="D41" s="7"/>
      <c r="E41" s="7">
        <v>22472.41</v>
      </c>
      <c r="F41" s="7">
        <v>20770.39</v>
      </c>
      <c r="G41" s="7">
        <v>20770.39</v>
      </c>
      <c r="H41" s="7"/>
      <c r="I41" s="7"/>
      <c r="J41" s="13" t="s">
        <v>110</v>
      </c>
      <c r="K41" s="7">
        <v>19068.38</v>
      </c>
      <c r="L41" s="7">
        <v>19068.38</v>
      </c>
      <c r="M41" s="7">
        <v>19068.38</v>
      </c>
      <c r="N41" s="7"/>
      <c r="O41" s="7">
        <v>22472.41</v>
      </c>
      <c r="P41" s="7">
        <v>20770.39</v>
      </c>
      <c r="Q41" s="7">
        <v>20770.39</v>
      </c>
      <c r="R41" s="7"/>
      <c r="S41" s="7"/>
    </row>
    <row r="42" spans="1:19" x14ac:dyDescent="0.3">
      <c r="A42" s="7">
        <f>CEO!A42+CS!A42+CFO!A42+LLA!A42+'C&amp;E'!A42+CES!A42+LLT!A42+GB!A42</f>
        <v>13516.056</v>
      </c>
      <c r="B42" s="7">
        <v>7175.43</v>
      </c>
      <c r="C42" s="7">
        <v>9073.5</v>
      </c>
      <c r="D42" s="7">
        <v>3750</v>
      </c>
      <c r="E42" s="7">
        <v>10981.61</v>
      </c>
      <c r="F42" s="7">
        <v>16610</v>
      </c>
      <c r="G42" s="7">
        <v>7175.43</v>
      </c>
      <c r="H42" s="7"/>
      <c r="I42" s="7"/>
      <c r="J42" s="13" t="s">
        <v>111</v>
      </c>
      <c r="K42" s="7"/>
      <c r="L42" s="7">
        <v>7175.43</v>
      </c>
      <c r="M42" s="7">
        <v>9073.5</v>
      </c>
      <c r="N42" s="7">
        <v>3750</v>
      </c>
      <c r="O42" s="7">
        <v>10981.61</v>
      </c>
      <c r="P42" s="7">
        <v>16610</v>
      </c>
      <c r="Q42" s="7">
        <v>7175.43</v>
      </c>
      <c r="R42" s="7"/>
      <c r="S42" s="7"/>
    </row>
    <row r="43" spans="1:19" x14ac:dyDescent="0.3">
      <c r="A43" s="7">
        <f>CEO!A43+CS!A43+CFO!A43+LLA!A43+'C&amp;E'!A43+CES!A43+LLT!A43+GB!A43</f>
        <v>12851.624</v>
      </c>
      <c r="B43" s="7">
        <v>11111.14</v>
      </c>
      <c r="C43" s="7">
        <v>12236.69</v>
      </c>
      <c r="D43" s="7">
        <v>9849.93</v>
      </c>
      <c r="E43" s="7">
        <v>12299.67</v>
      </c>
      <c r="F43" s="7">
        <v>12046.12</v>
      </c>
      <c r="G43" s="7">
        <v>11588.83</v>
      </c>
      <c r="H43" s="7"/>
      <c r="I43" s="7"/>
      <c r="J43" s="13" t="s">
        <v>112</v>
      </c>
      <c r="K43" s="7">
        <v>9890.34</v>
      </c>
      <c r="L43" s="7">
        <v>11111.14</v>
      </c>
      <c r="M43" s="7">
        <v>12236.69</v>
      </c>
      <c r="N43" s="7">
        <v>9849.93</v>
      </c>
      <c r="O43" s="7">
        <v>12299.67</v>
      </c>
      <c r="P43" s="7">
        <v>12046.12</v>
      </c>
      <c r="Q43" s="7">
        <v>11588.83</v>
      </c>
      <c r="R43" s="7"/>
      <c r="S43" s="7"/>
    </row>
    <row r="44" spans="1:19" x14ac:dyDescent="0.3">
      <c r="A44" s="11">
        <f>CEO!A44+CS!A44+CFO!A44+LLA!A44+'C&amp;E'!A44+CES!A44+LLT!A44+GB!A44</f>
        <v>0</v>
      </c>
      <c r="B44" s="11"/>
      <c r="C44" s="11"/>
      <c r="D44" s="11"/>
      <c r="E44" s="11"/>
      <c r="F44" s="11"/>
      <c r="G44" s="11"/>
      <c r="H44" s="11"/>
      <c r="I44" s="11"/>
      <c r="J44" s="187" t="s">
        <v>113</v>
      </c>
      <c r="K44" s="11"/>
      <c r="L44" s="11"/>
      <c r="M44" s="11"/>
      <c r="N44" s="11"/>
      <c r="O44" s="11"/>
      <c r="P44" s="11"/>
      <c r="Q44" s="11"/>
      <c r="R44" s="11"/>
      <c r="S44" s="11"/>
    </row>
    <row r="45" spans="1:19" x14ac:dyDescent="0.3">
      <c r="A45" s="86">
        <f>CEO!A45+CS!A45+CFO!A45+LLA!A45+'C&amp;E'!A45+CES!A45+LLT!A45+GB!A45</f>
        <v>0</v>
      </c>
      <c r="B45" s="86"/>
      <c r="C45" s="86"/>
      <c r="D45" s="85"/>
      <c r="E45" s="83"/>
      <c r="F45" s="83"/>
      <c r="G45" s="83"/>
      <c r="H45" s="83"/>
      <c r="I45" s="83"/>
      <c r="J45" s="13"/>
      <c r="K45" s="86"/>
      <c r="L45" s="86"/>
      <c r="M45" s="86"/>
      <c r="N45" s="85"/>
      <c r="O45" s="83"/>
      <c r="P45" s="83"/>
      <c r="Q45" s="83"/>
      <c r="R45" s="83"/>
      <c r="S45" s="83"/>
    </row>
    <row r="46" spans="1:19" x14ac:dyDescent="0.3">
      <c r="A46" s="4">
        <f>CEO!A46+CS!A46+CFO!A46+LLA!A46+'C&amp;E'!A46+CES!A46+LLT!A46+GB!A46</f>
        <v>502990.74400000001</v>
      </c>
      <c r="B46" s="4">
        <f>SUM(B30:B44)</f>
        <v>709380.55</v>
      </c>
      <c r="C46" s="4">
        <f>SUM(C30:C44)</f>
        <v>844645.08999999985</v>
      </c>
      <c r="D46" s="4">
        <f t="shared" ref="D46:I46" si="5">SUM(D30:D44)</f>
        <v>81391.200000000012</v>
      </c>
      <c r="E46" s="4">
        <f t="shared" si="5"/>
        <v>1126395.8699999999</v>
      </c>
      <c r="F46" s="4">
        <f t="shared" si="5"/>
        <v>562998.48</v>
      </c>
      <c r="G46" s="4">
        <f t="shared" si="5"/>
        <v>964220.12</v>
      </c>
      <c r="H46" s="4">
        <f t="shared" si="5"/>
        <v>0</v>
      </c>
      <c r="I46" s="4">
        <f t="shared" si="5"/>
        <v>0</v>
      </c>
      <c r="J46" s="13" t="s">
        <v>114</v>
      </c>
      <c r="K46" s="4">
        <f>SUM(K30:K44)</f>
        <v>564480.92000000004</v>
      </c>
      <c r="L46" s="4">
        <f>SUM(L30:L44)</f>
        <v>709380.55</v>
      </c>
      <c r="M46" s="4">
        <f>SUM(M30:M44)</f>
        <v>844645.08999999985</v>
      </c>
      <c r="N46" s="4">
        <f t="shared" ref="N46:S46" si="6">SUM(N30:N44)</f>
        <v>81391.200000000012</v>
      </c>
      <c r="O46" s="4">
        <f t="shared" si="6"/>
        <v>1126395.8699999999</v>
      </c>
      <c r="P46" s="4">
        <f t="shared" si="6"/>
        <v>562998.48</v>
      </c>
      <c r="Q46" s="4">
        <f t="shared" si="6"/>
        <v>964220.12</v>
      </c>
      <c r="R46" s="4">
        <f t="shared" si="6"/>
        <v>0</v>
      </c>
      <c r="S46" s="4">
        <f t="shared" si="6"/>
        <v>0</v>
      </c>
    </row>
    <row r="47" spans="1:19" x14ac:dyDescent="0.3">
      <c r="A47" s="81">
        <f>CEO!A47+CS!A47+CFO!A47+LLA!A47+'C&amp;E'!A47+CES!A47+LLT!A47+GB!A47</f>
        <v>0</v>
      </c>
      <c r="B47" s="81"/>
      <c r="C47" s="81"/>
      <c r="D47" s="82"/>
      <c r="E47" s="86"/>
      <c r="F47" s="86"/>
      <c r="G47" s="86"/>
      <c r="H47" s="87"/>
      <c r="I47" s="87"/>
      <c r="J47" s="80"/>
      <c r="K47" s="81"/>
      <c r="L47" s="81"/>
      <c r="M47" s="81"/>
      <c r="N47" s="82"/>
      <c r="O47" s="86"/>
      <c r="P47" s="86"/>
      <c r="Q47" s="86"/>
      <c r="R47" s="87"/>
      <c r="S47" s="87"/>
    </row>
    <row r="48" spans="1:19" x14ac:dyDescent="0.3">
      <c r="A48" s="8">
        <f>CEO!A48+CS!A48+CFO!A48+LLA!A48+'C&amp;E'!A48+CES!A48+LLT!A48+GB!A48</f>
        <v>0</v>
      </c>
      <c r="B48" s="8"/>
      <c r="C48" s="8"/>
      <c r="D48" s="8"/>
      <c r="E48" s="8"/>
      <c r="F48" s="8"/>
      <c r="G48" s="8"/>
      <c r="H48" s="8"/>
      <c r="I48" s="8"/>
      <c r="J48" s="187" t="s">
        <v>115</v>
      </c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3">
      <c r="A49" s="7">
        <f>CEO!A49+CS!A49+CFO!A49+LLA!A49+'C&amp;E'!A49+CES!A49+LLT!A49+GB!A49</f>
        <v>2300.36</v>
      </c>
      <c r="B49" s="7">
        <v>895</v>
      </c>
      <c r="C49" s="7">
        <v>9916.4</v>
      </c>
      <c r="D49" s="7">
        <v>1921.59</v>
      </c>
      <c r="E49" s="7">
        <v>3410</v>
      </c>
      <c r="F49" s="7"/>
      <c r="G49" s="7">
        <v>34984.93</v>
      </c>
      <c r="H49" s="7"/>
      <c r="I49" s="7"/>
      <c r="J49" s="13" t="s">
        <v>116</v>
      </c>
      <c r="K49" s="7"/>
      <c r="L49" s="7">
        <v>895</v>
      </c>
      <c r="M49" s="7">
        <v>9916.4</v>
      </c>
      <c r="N49" s="7">
        <v>1921.59</v>
      </c>
      <c r="O49" s="7">
        <v>3410</v>
      </c>
      <c r="P49" s="7"/>
      <c r="Q49" s="7">
        <v>34984.93</v>
      </c>
      <c r="R49" s="7"/>
      <c r="S49" s="7"/>
    </row>
    <row r="50" spans="1:19" x14ac:dyDescent="0.3">
      <c r="A50" s="7">
        <f>CEO!A50+CS!A50+CFO!A50+LLA!A50+'C&amp;E'!A50+CES!A50+LLT!A50+GB!A50</f>
        <v>4308.3280000000004</v>
      </c>
      <c r="B50" s="7"/>
      <c r="C50" s="7">
        <v>1167.1099999999999</v>
      </c>
      <c r="D50" s="7"/>
      <c r="E50" s="7"/>
      <c r="F50" s="7"/>
      <c r="G50" s="7">
        <v>1607.7</v>
      </c>
      <c r="H50" s="7"/>
      <c r="I50" s="7"/>
      <c r="J50" s="13" t="s">
        <v>117</v>
      </c>
      <c r="K50" s="7">
        <v>14101.6</v>
      </c>
      <c r="L50" s="7"/>
      <c r="M50" s="7">
        <v>1167.1099999999999</v>
      </c>
      <c r="N50" s="7"/>
      <c r="O50" s="7"/>
      <c r="P50" s="7"/>
      <c r="Q50" s="7">
        <v>1607.7</v>
      </c>
      <c r="R50" s="7"/>
      <c r="S50" s="7"/>
    </row>
    <row r="51" spans="1:19" x14ac:dyDescent="0.3">
      <c r="A51" s="7">
        <f>CEO!A51+CS!A51+CFO!A51+LLA!A51+'C&amp;E'!A51+CES!A51+LLT!A51+GB!A51</f>
        <v>0</v>
      </c>
      <c r="B51" s="7"/>
      <c r="C51" s="7"/>
      <c r="D51" s="7"/>
      <c r="E51" s="7"/>
      <c r="F51" s="7"/>
      <c r="G51" s="7"/>
      <c r="H51" s="7"/>
      <c r="I51" s="7"/>
      <c r="J51" s="13" t="s">
        <v>118</v>
      </c>
      <c r="K51" s="7"/>
      <c r="L51" s="7"/>
      <c r="M51" s="7"/>
      <c r="N51" s="7"/>
      <c r="O51" s="7"/>
      <c r="P51" s="7"/>
      <c r="Q51" s="7"/>
      <c r="R51" s="7"/>
      <c r="S51" s="7"/>
    </row>
    <row r="52" spans="1:19" x14ac:dyDescent="0.3">
      <c r="A52" s="7">
        <f>CEO!A52+CS!A52+CFO!A52+LLA!A52+'C&amp;E'!A52+CES!A52+LLT!A52+GB!A52</f>
        <v>1210.4400000000003</v>
      </c>
      <c r="B52" s="7"/>
      <c r="C52" s="7"/>
      <c r="D52" s="7">
        <v>184</v>
      </c>
      <c r="E52" s="7"/>
      <c r="F52" s="7"/>
      <c r="G52" s="7">
        <v>10297.91</v>
      </c>
      <c r="H52" s="7"/>
      <c r="I52" s="7"/>
      <c r="J52" s="13" t="s">
        <v>119</v>
      </c>
      <c r="K52" s="7">
        <v>17418.89</v>
      </c>
      <c r="L52" s="7"/>
      <c r="M52" s="7"/>
      <c r="N52" s="7">
        <v>184</v>
      </c>
      <c r="O52" s="7"/>
      <c r="P52" s="7"/>
      <c r="Q52" s="7">
        <v>10297.91</v>
      </c>
      <c r="R52" s="7"/>
      <c r="S52" s="7"/>
    </row>
    <row r="53" spans="1:19" x14ac:dyDescent="0.3">
      <c r="A53" s="7">
        <f>CEO!A53+CS!A53+CFO!A53+LLA!A53+'C&amp;E'!A53+CES!A53+LLT!A53+GB!A53</f>
        <v>8247.6726666666709</v>
      </c>
      <c r="B53" s="7"/>
      <c r="C53" s="7"/>
      <c r="D53" s="7">
        <v>49051.7</v>
      </c>
      <c r="E53" s="7"/>
      <c r="F53" s="7">
        <v>510</v>
      </c>
      <c r="G53" s="7">
        <v>17077.64</v>
      </c>
      <c r="H53" s="7"/>
      <c r="I53" s="7"/>
      <c r="J53" s="13" t="s">
        <v>120</v>
      </c>
      <c r="K53" s="7"/>
      <c r="L53" s="7"/>
      <c r="M53" s="7"/>
      <c r="N53" s="7">
        <v>49051.7</v>
      </c>
      <c r="O53" s="7"/>
      <c r="P53" s="7">
        <v>510</v>
      </c>
      <c r="Q53" s="7">
        <v>17077.64</v>
      </c>
      <c r="R53" s="7"/>
      <c r="S53" s="7"/>
    </row>
    <row r="54" spans="1:19" x14ac:dyDescent="0.3">
      <c r="A54" s="7">
        <f>CEO!A54+CS!A54+CFO!A54+LLA!A54+'C&amp;E'!A54+CES!A54+LLT!A54+GB!A54</f>
        <v>0</v>
      </c>
      <c r="B54" s="7"/>
      <c r="C54" s="7"/>
      <c r="D54" s="7">
        <v>0</v>
      </c>
      <c r="E54" s="7"/>
      <c r="F54" s="7"/>
      <c r="G54" s="7"/>
      <c r="H54" s="7"/>
      <c r="I54" s="7"/>
      <c r="J54" s="13" t="s">
        <v>121</v>
      </c>
      <c r="K54" s="7"/>
      <c r="L54" s="7"/>
      <c r="M54" s="7"/>
      <c r="N54" s="7">
        <v>0</v>
      </c>
      <c r="O54" s="7"/>
      <c r="P54" s="7"/>
      <c r="Q54" s="7"/>
      <c r="R54" s="7"/>
      <c r="S54" s="7"/>
    </row>
    <row r="55" spans="1:19" x14ac:dyDescent="0.3">
      <c r="A55" s="7">
        <f>CEO!A55+CS!A55+CFO!A55+LLA!A55+'C&amp;E'!A55+CES!A55+LLT!A55+GB!A55</f>
        <v>3265.1194214666671</v>
      </c>
      <c r="B55" s="7"/>
      <c r="C55" s="7"/>
      <c r="D55" s="7">
        <v>13950</v>
      </c>
      <c r="E55" s="7"/>
      <c r="F55" s="7"/>
      <c r="G55" s="7">
        <v>12555</v>
      </c>
      <c r="H55" s="7"/>
      <c r="I55" s="7"/>
      <c r="J55" s="187" t="s">
        <v>122</v>
      </c>
      <c r="K55" s="7"/>
      <c r="L55" s="7"/>
      <c r="M55" s="7"/>
      <c r="N55" s="7">
        <v>13950</v>
      </c>
      <c r="O55" s="7"/>
      <c r="P55" s="7"/>
      <c r="Q55" s="7">
        <v>12555</v>
      </c>
      <c r="R55" s="7"/>
      <c r="S55" s="7"/>
    </row>
    <row r="56" spans="1:19" x14ac:dyDescent="0.3">
      <c r="A56" s="7">
        <f>CEO!A56+CS!A56+CFO!A56+LLA!A56+'C&amp;E'!A56+CES!A56+LLT!A56+GB!A56</f>
        <v>8.0111324981165429E-14</v>
      </c>
      <c r="B56" s="7"/>
      <c r="C56" s="7"/>
      <c r="D56" s="7"/>
      <c r="E56" s="7"/>
      <c r="F56" s="7"/>
      <c r="G56" s="7"/>
      <c r="H56" s="7"/>
      <c r="I56" s="7"/>
      <c r="J56" s="13" t="s">
        <v>123</v>
      </c>
      <c r="K56" s="7"/>
      <c r="L56" s="7"/>
      <c r="M56" s="7"/>
      <c r="N56" s="7"/>
      <c r="O56" s="7"/>
      <c r="P56" s="7"/>
      <c r="Q56" s="7"/>
      <c r="R56" s="7"/>
      <c r="S56" s="7"/>
    </row>
    <row r="57" spans="1:19" x14ac:dyDescent="0.3">
      <c r="A57" s="7">
        <f>CEO!A57+CS!A57+CFO!A57+LLA!A57+'C&amp;E'!A57+CES!A57+LLT!A57+GB!A57</f>
        <v>8663.8160000000007</v>
      </c>
      <c r="B57" s="7"/>
      <c r="C57" s="7"/>
      <c r="D57" s="7"/>
      <c r="E57" s="7"/>
      <c r="F57" s="7"/>
      <c r="G57" s="7">
        <v>54800</v>
      </c>
      <c r="H57" s="7"/>
      <c r="I57" s="7"/>
      <c r="J57" s="13" t="s">
        <v>124</v>
      </c>
      <c r="K57" s="7"/>
      <c r="L57" s="7"/>
      <c r="M57" s="7"/>
      <c r="N57" s="7"/>
      <c r="O57" s="7"/>
      <c r="P57" s="7"/>
      <c r="Q57" s="7">
        <v>54800</v>
      </c>
      <c r="R57" s="7"/>
      <c r="S57" s="7"/>
    </row>
    <row r="58" spans="1:19" x14ac:dyDescent="0.3">
      <c r="A58" s="7">
        <f>CEO!A58+CS!A58+CFO!A58+LLA!A58+'C&amp;E'!A58+CES!A58+LLT!A58+GB!A58</f>
        <v>12692.153333333334</v>
      </c>
      <c r="B58" s="7">
        <v>9780.82</v>
      </c>
      <c r="C58" s="7">
        <v>12202.03</v>
      </c>
      <c r="D58" s="7"/>
      <c r="E58" s="7">
        <v>28030.25</v>
      </c>
      <c r="F58" s="7">
        <v>13486.05</v>
      </c>
      <c r="G58" s="7">
        <v>8207.08</v>
      </c>
      <c r="H58" s="7"/>
      <c r="I58" s="7"/>
      <c r="J58" s="13" t="s">
        <v>125</v>
      </c>
      <c r="K58" s="7"/>
      <c r="L58" s="7">
        <v>9780.82</v>
      </c>
      <c r="M58" s="7">
        <v>12202.03</v>
      </c>
      <c r="N58" s="7"/>
      <c r="O58" s="7">
        <v>28030.25</v>
      </c>
      <c r="P58" s="7">
        <v>13486.05</v>
      </c>
      <c r="Q58" s="7">
        <v>8207.08</v>
      </c>
      <c r="R58" s="7"/>
      <c r="S58" s="7"/>
    </row>
    <row r="59" spans="1:19" x14ac:dyDescent="0.3">
      <c r="A59" s="7">
        <f>CEO!A59+CS!A59+CFO!A59+LLA!A59+'C&amp;E'!A59+CES!A59+LLT!A59+GB!A59</f>
        <v>0</v>
      </c>
      <c r="B59" s="7"/>
      <c r="C59" s="7">
        <v>2300</v>
      </c>
      <c r="D59" s="7">
        <v>2300</v>
      </c>
      <c r="E59" s="7"/>
      <c r="F59" s="7"/>
      <c r="G59" s="7">
        <v>2300</v>
      </c>
      <c r="H59" s="7"/>
      <c r="I59" s="7"/>
      <c r="J59" s="13" t="s">
        <v>126</v>
      </c>
      <c r="K59" s="7"/>
      <c r="L59" s="7"/>
      <c r="M59" s="7">
        <v>2300</v>
      </c>
      <c r="N59" s="7">
        <v>2300</v>
      </c>
      <c r="O59" s="7"/>
      <c r="P59" s="7"/>
      <c r="Q59" s="7">
        <v>2300</v>
      </c>
      <c r="R59" s="7"/>
      <c r="S59" s="7"/>
    </row>
    <row r="60" spans="1:19" x14ac:dyDescent="0.3">
      <c r="A60" s="7">
        <f>CEO!A60+CS!A60+CFO!A60+LLA!A60+'C&amp;E'!A60+CES!A60+LLT!A60+GB!A60</f>
        <v>3406</v>
      </c>
      <c r="B60" s="7"/>
      <c r="C60" s="7"/>
      <c r="D60" s="7">
        <v>8410</v>
      </c>
      <c r="E60" s="7">
        <f>8872+500</f>
        <v>9372</v>
      </c>
      <c r="F60" s="7">
        <v>344</v>
      </c>
      <c r="G60" s="7">
        <v>3391</v>
      </c>
      <c r="H60" s="7"/>
      <c r="I60" s="7"/>
      <c r="J60" s="13" t="s">
        <v>128</v>
      </c>
      <c r="K60" s="7"/>
      <c r="L60" s="7"/>
      <c r="M60" s="7"/>
      <c r="N60" s="7">
        <v>8410</v>
      </c>
      <c r="O60" s="7">
        <f>8872+500</f>
        <v>9372</v>
      </c>
      <c r="P60" s="7">
        <v>344</v>
      </c>
      <c r="Q60" s="7">
        <v>3391</v>
      </c>
      <c r="R60" s="7"/>
      <c r="S60" s="7"/>
    </row>
    <row r="61" spans="1:19" x14ac:dyDescent="0.3">
      <c r="A61" s="7">
        <f>CEO!A61+CS!A61+CFO!A61+LLA!A61+'C&amp;E'!A61+CES!A61+LLT!A61+GB!A61</f>
        <v>9720.2000000000007</v>
      </c>
      <c r="B61" s="7"/>
      <c r="C61" s="7"/>
      <c r="D61" s="7"/>
      <c r="E61" s="7"/>
      <c r="F61" s="7"/>
      <c r="G61" s="7"/>
      <c r="H61" s="7"/>
      <c r="I61" s="7"/>
      <c r="J61" s="13" t="s">
        <v>129</v>
      </c>
      <c r="K61" s="7"/>
      <c r="L61" s="7"/>
      <c r="M61" s="7"/>
      <c r="N61" s="7"/>
      <c r="O61" s="7"/>
      <c r="P61" s="7"/>
      <c r="Q61" s="7"/>
      <c r="R61" s="7"/>
      <c r="S61" s="7"/>
    </row>
    <row r="62" spans="1:19" x14ac:dyDescent="0.3">
      <c r="A62" s="7">
        <f>CEO!A62+CS!A62+CFO!A62+LLA!A62+'C&amp;E'!A62+CES!A62+LLT!A62+GB!A62</f>
        <v>5335.4204</v>
      </c>
      <c r="B62" s="7"/>
      <c r="C62" s="7"/>
      <c r="D62" s="7"/>
      <c r="E62" s="7"/>
      <c r="F62" s="7"/>
      <c r="G62" s="7"/>
      <c r="H62" s="7"/>
      <c r="I62" s="7"/>
      <c r="J62" s="187" t="s">
        <v>130</v>
      </c>
      <c r="K62" s="7"/>
      <c r="L62" s="7"/>
      <c r="M62" s="7"/>
      <c r="N62" s="7"/>
      <c r="O62" s="7"/>
      <c r="P62" s="7"/>
      <c r="Q62" s="7"/>
      <c r="R62" s="7"/>
      <c r="S62" s="7"/>
    </row>
    <row r="63" spans="1:19" x14ac:dyDescent="0.3">
      <c r="A63" s="11">
        <f>CEO!A63+CS!A63+CFO!A63+LLA!A63+'C&amp;E'!A63+CES!A63+LLT!A63+GB!A63</f>
        <v>13189.08</v>
      </c>
      <c r="B63" s="11">
        <v>2100</v>
      </c>
      <c r="C63" s="11">
        <v>5830</v>
      </c>
      <c r="D63" s="11">
        <v>39044.25</v>
      </c>
      <c r="E63" s="11">
        <v>22528.75</v>
      </c>
      <c r="F63" s="11">
        <v>7995</v>
      </c>
      <c r="G63" s="11">
        <v>24840</v>
      </c>
      <c r="H63" s="11"/>
      <c r="I63" s="11"/>
      <c r="J63" s="187" t="s">
        <v>131</v>
      </c>
      <c r="K63" s="11">
        <v>20480</v>
      </c>
      <c r="L63" s="11">
        <v>2100</v>
      </c>
      <c r="M63" s="11">
        <v>5830</v>
      </c>
      <c r="N63" s="11">
        <v>39044.25</v>
      </c>
      <c r="O63" s="11">
        <v>22528.75</v>
      </c>
      <c r="P63" s="11">
        <v>7995</v>
      </c>
      <c r="Q63" s="11">
        <v>24840</v>
      </c>
      <c r="R63" s="11"/>
      <c r="S63" s="11"/>
    </row>
    <row r="64" spans="1:19" ht="15" thickBot="1" x14ac:dyDescent="0.35">
      <c r="A64" s="89">
        <f>CEO!A64+CS!A64+CFO!A64+LLA!A64+'C&amp;E'!A64+CES!A64+LLT!A64+GB!A64</f>
        <v>0</v>
      </c>
      <c r="B64" s="89"/>
      <c r="C64" s="89"/>
      <c r="D64" s="90"/>
      <c r="E64" s="91"/>
      <c r="F64" s="91"/>
      <c r="G64" s="91"/>
      <c r="H64" s="91"/>
      <c r="I64" s="91"/>
      <c r="J64" s="13"/>
      <c r="K64" s="89"/>
      <c r="L64" s="89"/>
      <c r="M64" s="89"/>
      <c r="N64" s="90"/>
      <c r="O64" s="91"/>
      <c r="P64" s="91"/>
      <c r="Q64" s="91"/>
      <c r="R64" s="91"/>
      <c r="S64" s="91"/>
    </row>
    <row r="65" spans="1:19" x14ac:dyDescent="0.3">
      <c r="A65" s="4">
        <f>CEO!A65+CS!A65+CFO!A65+LLA!A65+'C&amp;E'!A65+CES!A65+LLT!A65+GB!A65</f>
        <v>72338.589821466681</v>
      </c>
      <c r="B65" s="4">
        <f>SUM(B48:B63)</f>
        <v>12775.82</v>
      </c>
      <c r="C65" s="4">
        <f t="shared" ref="C65:I65" si="7">SUM(C48:C63)</f>
        <v>31415.54</v>
      </c>
      <c r="D65" s="4">
        <f t="shared" si="7"/>
        <v>114861.54</v>
      </c>
      <c r="E65" s="4">
        <f t="shared" si="7"/>
        <v>63341</v>
      </c>
      <c r="F65" s="4">
        <f t="shared" si="7"/>
        <v>22335.05</v>
      </c>
      <c r="G65" s="4">
        <f t="shared" si="7"/>
        <v>170061.25999999998</v>
      </c>
      <c r="H65" s="4">
        <f t="shared" si="7"/>
        <v>0</v>
      </c>
      <c r="I65" s="4">
        <f t="shared" si="7"/>
        <v>0</v>
      </c>
      <c r="J65" s="13" t="s">
        <v>132</v>
      </c>
      <c r="K65" s="4">
        <f>SUM(K48:K63)</f>
        <v>52000.49</v>
      </c>
      <c r="L65" s="4">
        <f>SUM(L48:L63)</f>
        <v>12775.82</v>
      </c>
      <c r="M65" s="4">
        <f t="shared" ref="M65:S65" si="8">SUM(M48:M63)</f>
        <v>31415.54</v>
      </c>
      <c r="N65" s="4">
        <f t="shared" si="8"/>
        <v>114861.54</v>
      </c>
      <c r="O65" s="4">
        <f t="shared" si="8"/>
        <v>63341</v>
      </c>
      <c r="P65" s="4">
        <f t="shared" si="8"/>
        <v>22335.05</v>
      </c>
      <c r="Q65" s="4">
        <f t="shared" si="8"/>
        <v>170061.25999999998</v>
      </c>
      <c r="R65" s="4">
        <f t="shared" si="8"/>
        <v>0</v>
      </c>
      <c r="S65" s="4">
        <f t="shared" si="8"/>
        <v>0</v>
      </c>
    </row>
    <row r="66" spans="1:19" x14ac:dyDescent="0.3">
      <c r="A66" s="81">
        <f>CEO!A66+CS!A66+CFO!A66+LLA!A66+'C&amp;E'!A66+CES!A66+LLT!A66+GB!A66</f>
        <v>0</v>
      </c>
      <c r="B66" s="81"/>
      <c r="C66" s="81"/>
      <c r="D66" s="82"/>
      <c r="E66" s="86"/>
      <c r="F66" s="86"/>
      <c r="G66" s="86"/>
      <c r="H66" s="87"/>
      <c r="I66" s="87"/>
      <c r="J66" s="80"/>
      <c r="K66" s="81"/>
      <c r="L66" s="81"/>
      <c r="M66" s="81"/>
      <c r="N66" s="82"/>
      <c r="O66" s="86"/>
      <c r="P66" s="86"/>
      <c r="Q66" s="86"/>
      <c r="R66" s="87"/>
      <c r="S66" s="87"/>
    </row>
    <row r="67" spans="1:19" x14ac:dyDescent="0.3">
      <c r="A67" s="8">
        <f>CEO!A67+CS!A67+CFO!A67+LLA!A67+'C&amp;E'!A67+CES!A67+LLT!A67+GB!A67</f>
        <v>0</v>
      </c>
      <c r="B67" s="8"/>
      <c r="C67" s="8">
        <v>54395</v>
      </c>
      <c r="D67" s="8"/>
      <c r="E67" s="8"/>
      <c r="F67" s="8"/>
      <c r="G67" s="8"/>
      <c r="H67" s="8"/>
      <c r="I67" s="8"/>
      <c r="J67" s="187" t="s">
        <v>133</v>
      </c>
      <c r="K67" s="8"/>
      <c r="L67" s="8"/>
      <c r="M67" s="8">
        <v>54395</v>
      </c>
      <c r="N67" s="8"/>
      <c r="O67" s="8"/>
      <c r="P67" s="8"/>
      <c r="Q67" s="8"/>
      <c r="R67" s="8"/>
      <c r="S67" s="8"/>
    </row>
    <row r="68" spans="1:19" x14ac:dyDescent="0.3">
      <c r="A68" s="7">
        <f>CEO!A68+CS!A68+CFO!A68+LLA!A68+'C&amp;E'!A68+CES!A68+LLT!A68+GB!A68</f>
        <v>20954.6897796333</v>
      </c>
      <c r="B68" s="7"/>
      <c r="C68" s="7"/>
      <c r="D68" s="7"/>
      <c r="E68" s="7"/>
      <c r="F68" s="7">
        <v>107383.17</v>
      </c>
      <c r="G68" s="7"/>
      <c r="H68" s="7"/>
      <c r="I68" s="7"/>
      <c r="J68" s="13" t="s">
        <v>134</v>
      </c>
      <c r="K68" s="7"/>
      <c r="L68" s="7"/>
      <c r="M68" s="7"/>
      <c r="N68" s="7"/>
      <c r="O68" s="7"/>
      <c r="P68" s="7">
        <v>107383.17</v>
      </c>
      <c r="Q68" s="7"/>
      <c r="R68" s="7"/>
      <c r="S68" s="7"/>
    </row>
    <row r="69" spans="1:19" x14ac:dyDescent="0.3">
      <c r="A69" s="7">
        <f>CEO!A69+CS!A69+CFO!A69+LLA!A69+'C&amp;E'!A69+CES!A69+LLT!A69+GB!A69</f>
        <v>3492.9839999999999</v>
      </c>
      <c r="B69" s="7"/>
      <c r="C69" s="7"/>
      <c r="D69" s="7"/>
      <c r="E69" s="7"/>
      <c r="F69" s="7"/>
      <c r="G69" s="7"/>
      <c r="H69" s="7"/>
      <c r="I69" s="7"/>
      <c r="J69" s="13" t="s">
        <v>135</v>
      </c>
      <c r="K69" s="7"/>
      <c r="L69" s="7"/>
      <c r="M69" s="7"/>
      <c r="N69" s="7"/>
      <c r="O69" s="7"/>
      <c r="P69" s="7"/>
      <c r="Q69" s="7"/>
      <c r="R69" s="7"/>
      <c r="S69" s="7"/>
    </row>
    <row r="70" spans="1:19" x14ac:dyDescent="0.3">
      <c r="A70" s="7">
        <f>CEO!A70+CS!A70+CFO!A70+LLA!A70+'C&amp;E'!A70+CES!A70+LLT!A70+GB!A70</f>
        <v>0</v>
      </c>
      <c r="B70" s="7"/>
      <c r="C70" s="7"/>
      <c r="D70" s="7"/>
      <c r="E70" s="7"/>
      <c r="F70" s="7"/>
      <c r="G70" s="7"/>
      <c r="H70" s="7"/>
      <c r="I70" s="7"/>
      <c r="J70" s="13" t="s">
        <v>136</v>
      </c>
      <c r="K70" s="7"/>
      <c r="L70" s="7"/>
      <c r="M70" s="7"/>
      <c r="N70" s="7"/>
      <c r="O70" s="7"/>
      <c r="P70" s="7"/>
      <c r="Q70" s="7"/>
      <c r="R70" s="7"/>
      <c r="S70" s="7"/>
    </row>
    <row r="71" spans="1:19" x14ac:dyDescent="0.3">
      <c r="A71" s="7">
        <f>CEO!A71+CS!A71+CFO!A71+LLA!A71+'C&amp;E'!A71+CES!A71+LLT!A71+GB!A71</f>
        <v>108537.92466666667</v>
      </c>
      <c r="B71" s="7"/>
      <c r="C71" s="7">
        <v>575</v>
      </c>
      <c r="D71" s="7">
        <v>326185.61</v>
      </c>
      <c r="E71" s="7">
        <v>208960.02</v>
      </c>
      <c r="F71" s="7"/>
      <c r="G71" s="7">
        <v>104480.01</v>
      </c>
      <c r="H71" s="7"/>
      <c r="I71" s="7"/>
      <c r="J71" s="13" t="s">
        <v>137</v>
      </c>
      <c r="K71" s="7"/>
      <c r="L71" s="7"/>
      <c r="M71" s="7">
        <v>575</v>
      </c>
      <c r="N71" s="7">
        <v>326185.61</v>
      </c>
      <c r="O71" s="7">
        <v>208960.02</v>
      </c>
      <c r="P71" s="7"/>
      <c r="Q71" s="7">
        <v>104480.01</v>
      </c>
      <c r="R71" s="7"/>
      <c r="S71" s="7"/>
    </row>
    <row r="72" spans="1:19" x14ac:dyDescent="0.3">
      <c r="A72" s="7">
        <f>CEO!A72+CS!A72+CFO!A72+LLA!A72+'C&amp;E'!A72+CES!A72+LLT!A72+GB!A72</f>
        <v>2380.0080000000003</v>
      </c>
      <c r="B72" s="7">
        <v>340</v>
      </c>
      <c r="C72" s="7"/>
      <c r="D72" s="7"/>
      <c r="E72" s="7"/>
      <c r="F72" s="7"/>
      <c r="G72" s="7">
        <v>26911</v>
      </c>
      <c r="H72" s="7"/>
      <c r="I72" s="7"/>
      <c r="J72" s="13" t="s">
        <v>138</v>
      </c>
      <c r="K72" s="7"/>
      <c r="L72" s="7">
        <v>340</v>
      </c>
      <c r="M72" s="7"/>
      <c r="N72" s="7"/>
      <c r="O72" s="7"/>
      <c r="P72" s="7"/>
      <c r="Q72" s="7">
        <v>26911</v>
      </c>
      <c r="R72" s="7"/>
      <c r="S72" s="7"/>
    </row>
    <row r="73" spans="1:19" x14ac:dyDescent="0.3">
      <c r="A73" s="7">
        <f>CEO!A73+CS!A73+CFO!A73+LLA!A73+'C&amp;E'!A73+CES!A73+LLT!A73+GB!A73</f>
        <v>0</v>
      </c>
      <c r="B73" s="7"/>
      <c r="C73" s="7"/>
      <c r="D73" s="7"/>
      <c r="E73" s="7"/>
      <c r="F73" s="7"/>
      <c r="G73" s="7"/>
      <c r="H73" s="7"/>
      <c r="I73" s="7"/>
      <c r="J73" s="13" t="s">
        <v>123</v>
      </c>
      <c r="K73" s="7"/>
      <c r="L73" s="7"/>
      <c r="M73" s="7"/>
      <c r="N73" s="7"/>
      <c r="O73" s="7"/>
      <c r="P73" s="7"/>
      <c r="Q73" s="7"/>
      <c r="R73" s="7"/>
      <c r="S73" s="7"/>
    </row>
    <row r="74" spans="1:19" x14ac:dyDescent="0.3">
      <c r="A74" s="7">
        <f>CEO!A74+CS!A74+CFO!A74+LLA!A74+'C&amp;E'!A74+CES!A74+LLT!A74+GB!A74</f>
        <v>293473.53600000002</v>
      </c>
      <c r="B74" s="7">
        <v>248966.79</v>
      </c>
      <c r="C74" s="7">
        <f>167003.11-10138-5434</f>
        <v>151431.10999999999</v>
      </c>
      <c r="D74" s="7">
        <v>350071.45</v>
      </c>
      <c r="E74" s="7">
        <v>338121.77</v>
      </c>
      <c r="F74" s="7">
        <v>392800.56</v>
      </c>
      <c r="G74" s="7">
        <v>329878.03000000003</v>
      </c>
      <c r="H74" s="7"/>
      <c r="I74" s="7"/>
      <c r="J74" s="187" t="s">
        <v>139</v>
      </c>
      <c r="K74" s="7">
        <v>176313.13</v>
      </c>
      <c r="L74" s="7">
        <v>248966.79</v>
      </c>
      <c r="M74" s="7">
        <f>167003.11-10138-5434</f>
        <v>151431.10999999999</v>
      </c>
      <c r="N74" s="7">
        <v>350071.45</v>
      </c>
      <c r="O74" s="7">
        <v>338121.77</v>
      </c>
      <c r="P74" s="7">
        <v>392800.56</v>
      </c>
      <c r="Q74" s="7">
        <v>329878.03000000003</v>
      </c>
      <c r="R74" s="7"/>
      <c r="S74" s="7"/>
    </row>
    <row r="75" spans="1:19" x14ac:dyDescent="0.3">
      <c r="A75" s="7">
        <f>CEO!A75+CS!A75+CFO!A75+LLA!A75+'C&amp;E'!A75+CES!A75+LLT!A75+GB!A75</f>
        <v>12241.688</v>
      </c>
      <c r="B75" s="7"/>
      <c r="C75" s="7">
        <v>10138.39</v>
      </c>
      <c r="D75" s="7"/>
      <c r="E75" s="7">
        <v>27082.98</v>
      </c>
      <c r="F75" s="7"/>
      <c r="G75" s="7"/>
      <c r="H75" s="7"/>
      <c r="I75" s="7"/>
      <c r="J75" s="13" t="s">
        <v>140</v>
      </c>
      <c r="K75" s="7"/>
      <c r="L75" s="7"/>
      <c r="M75" s="7">
        <v>10138.39</v>
      </c>
      <c r="N75" s="7"/>
      <c r="O75" s="7">
        <v>27082.98</v>
      </c>
      <c r="P75" s="7"/>
      <c r="Q75" s="7"/>
      <c r="R75" s="7"/>
      <c r="S75" s="7"/>
    </row>
    <row r="76" spans="1:19" x14ac:dyDescent="0.3">
      <c r="A76" s="7">
        <f>CEO!A76+CS!A76+CFO!A76+LLA!A76+'C&amp;E'!A76+CES!A76+LLT!A76+GB!A76</f>
        <v>2356.9520000000002</v>
      </c>
      <c r="B76" s="7"/>
      <c r="C76" s="7">
        <v>5434.12</v>
      </c>
      <c r="D76" s="7"/>
      <c r="E76" s="7"/>
      <c r="F76" s="7"/>
      <c r="G76" s="7"/>
      <c r="H76" s="7"/>
      <c r="I76" s="7"/>
      <c r="J76" s="13" t="s">
        <v>141</v>
      </c>
      <c r="K76" s="7"/>
      <c r="L76" s="7"/>
      <c r="M76" s="7">
        <v>5434.12</v>
      </c>
      <c r="N76" s="7"/>
      <c r="O76" s="7"/>
      <c r="P76" s="7"/>
      <c r="Q76" s="7"/>
      <c r="R76" s="7"/>
      <c r="S76" s="7"/>
    </row>
    <row r="77" spans="1:19" x14ac:dyDescent="0.3">
      <c r="A77" s="7">
        <f>CEO!A77+CS!A77+CFO!A77+LLA!A77+'C&amp;E'!A77+CES!A77+LLT!A77+GB!A77</f>
        <v>0</v>
      </c>
      <c r="B77" s="7"/>
      <c r="C77" s="7"/>
      <c r="D77" s="7"/>
      <c r="E77" s="7"/>
      <c r="F77" s="7"/>
      <c r="G77" s="7"/>
      <c r="H77" s="7"/>
      <c r="I77" s="7"/>
      <c r="J77" s="13" t="s">
        <v>142</v>
      </c>
      <c r="K77" s="7"/>
      <c r="L77" s="7"/>
      <c r="M77" s="7"/>
      <c r="N77" s="7"/>
      <c r="O77" s="7"/>
      <c r="P77" s="7"/>
      <c r="Q77" s="7"/>
      <c r="R77" s="7"/>
      <c r="S77" s="7"/>
    </row>
    <row r="78" spans="1:19" x14ac:dyDescent="0.3">
      <c r="A78" s="7">
        <f>CEO!A78+CS!A78+CFO!A78+LLA!A78+'C&amp;E'!A78+CES!A78+LLT!A78+GB!A78</f>
        <v>0</v>
      </c>
      <c r="B78" s="7"/>
      <c r="C78" s="7"/>
      <c r="D78" s="7"/>
      <c r="E78" s="7"/>
      <c r="F78" s="7"/>
      <c r="G78" s="7"/>
      <c r="H78" s="7"/>
      <c r="I78" s="7"/>
      <c r="J78" s="13" t="s">
        <v>143</v>
      </c>
      <c r="K78" s="7"/>
      <c r="L78" s="7"/>
      <c r="M78" s="7"/>
      <c r="N78" s="7"/>
      <c r="O78" s="7"/>
      <c r="P78" s="7"/>
      <c r="Q78" s="7"/>
      <c r="R78" s="7"/>
      <c r="S78" s="7"/>
    </row>
    <row r="79" spans="1:19" x14ac:dyDescent="0.3">
      <c r="A79" s="7">
        <f>CEO!A79+CS!A79+CFO!A79+LLA!A79+'C&amp;E'!A79+CES!A79+LLT!A79+GB!A79</f>
        <v>8732.9840000000004</v>
      </c>
      <c r="B79" s="7"/>
      <c r="C79" s="7"/>
      <c r="D79" s="7"/>
      <c r="E79" s="7"/>
      <c r="F79" s="7"/>
      <c r="G79" s="7"/>
      <c r="H79" s="7"/>
      <c r="I79" s="7"/>
      <c r="J79" s="13" t="s">
        <v>144</v>
      </c>
      <c r="K79" s="7"/>
      <c r="L79" s="7"/>
      <c r="M79" s="7"/>
      <c r="N79" s="7"/>
      <c r="O79" s="7"/>
      <c r="P79" s="7"/>
      <c r="Q79" s="7"/>
      <c r="R79" s="7"/>
      <c r="S79" s="7"/>
    </row>
    <row r="80" spans="1:19" x14ac:dyDescent="0.3">
      <c r="A80" s="7">
        <f>CEO!A80+CS!A80+CFO!A80+LLA!A80+'C&amp;E'!A80+CES!A80+LLT!A80+GB!A80</f>
        <v>0</v>
      </c>
      <c r="B80" s="7"/>
      <c r="C80" s="7"/>
      <c r="D80" s="7"/>
      <c r="E80" s="7"/>
      <c r="F80" s="7"/>
      <c r="G80" s="7"/>
      <c r="H80" s="7"/>
      <c r="I80" s="7"/>
      <c r="J80" s="13" t="s">
        <v>145</v>
      </c>
      <c r="K80" s="7"/>
      <c r="L80" s="7"/>
      <c r="M80" s="7"/>
      <c r="N80" s="7"/>
      <c r="O80" s="7"/>
      <c r="P80" s="7"/>
      <c r="Q80" s="7"/>
      <c r="R80" s="7"/>
      <c r="S80" s="7"/>
    </row>
    <row r="81" spans="1:19" x14ac:dyDescent="0.3">
      <c r="A81" s="7">
        <f>CEO!A81+CS!A81+CFO!A81+LLA!A81+'C&amp;E'!A81+CES!A81+LLT!A81+GB!A81</f>
        <v>0</v>
      </c>
      <c r="B81" s="7"/>
      <c r="C81" s="7"/>
      <c r="D81" s="7"/>
      <c r="E81" s="7">
        <v>11220.01</v>
      </c>
      <c r="F81" s="7"/>
      <c r="G81" s="7">
        <v>38450.06</v>
      </c>
      <c r="H81" s="7"/>
      <c r="I81" s="7"/>
      <c r="J81" s="187" t="s">
        <v>146</v>
      </c>
      <c r="K81" s="7"/>
      <c r="L81" s="7"/>
      <c r="M81" s="7"/>
      <c r="N81" s="7"/>
      <c r="O81" s="7">
        <v>11220.01</v>
      </c>
      <c r="P81" s="7"/>
      <c r="Q81" s="7">
        <v>38450.06</v>
      </c>
      <c r="R81" s="7"/>
      <c r="S81" s="7"/>
    </row>
    <row r="82" spans="1:19" x14ac:dyDescent="0.3">
      <c r="A82" s="7">
        <f>CEO!A82+CS!A82+CFO!A82+LLA!A82+'C&amp;E'!A82+CES!A82+LLT!A82+GB!A82</f>
        <v>126291.33600000001</v>
      </c>
      <c r="B82" s="7"/>
      <c r="C82" s="7"/>
      <c r="D82" s="7">
        <v>31490.7</v>
      </c>
      <c r="E82" s="7">
        <v>106557.4</v>
      </c>
      <c r="F82" s="7">
        <v>47633.15</v>
      </c>
      <c r="G82" s="7">
        <v>53459.83</v>
      </c>
      <c r="H82" s="7"/>
      <c r="I82" s="7"/>
      <c r="J82" s="187" t="s">
        <v>147</v>
      </c>
      <c r="K82" s="7"/>
      <c r="L82" s="7"/>
      <c r="M82" s="7"/>
      <c r="N82" s="7">
        <v>31490.7</v>
      </c>
      <c r="O82" s="7">
        <v>106557.4</v>
      </c>
      <c r="P82" s="7">
        <v>47633.15</v>
      </c>
      <c r="Q82" s="7">
        <v>53459.83</v>
      </c>
      <c r="R82" s="7"/>
      <c r="S82" s="7"/>
    </row>
    <row r="83" spans="1:19" x14ac:dyDescent="0.3">
      <c r="A83" s="7">
        <f>CEO!A83+CS!A83+CFO!A83+LLA!A83+'C&amp;E'!A83+CES!A83+LLT!A83+GB!A83</f>
        <v>0</v>
      </c>
      <c r="B83" s="7"/>
      <c r="C83" s="7"/>
      <c r="D83" s="7"/>
      <c r="E83" s="7"/>
      <c r="F83" s="7"/>
      <c r="G83" s="7"/>
      <c r="H83" s="7"/>
      <c r="I83" s="7"/>
      <c r="J83" s="187" t="s">
        <v>148</v>
      </c>
      <c r="K83" s="7"/>
      <c r="L83" s="7"/>
      <c r="M83" s="7"/>
      <c r="N83" s="7"/>
      <c r="O83" s="7"/>
      <c r="P83" s="7"/>
      <c r="Q83" s="7"/>
      <c r="R83" s="7"/>
      <c r="S83" s="7"/>
    </row>
    <row r="84" spans="1:19" x14ac:dyDescent="0.3">
      <c r="A84" s="7">
        <f>CEO!A84+CS!A84+CFO!A84+LLA!A84+'C&amp;E'!A84+CES!A84+LLT!A84+GB!A84</f>
        <v>0</v>
      </c>
      <c r="B84" s="7"/>
      <c r="C84" s="7"/>
      <c r="D84" s="7"/>
      <c r="E84" s="7"/>
      <c r="F84" s="7"/>
      <c r="G84" s="7"/>
      <c r="H84" s="7"/>
      <c r="I84" s="7"/>
      <c r="J84" s="13" t="s">
        <v>149</v>
      </c>
      <c r="K84" s="7"/>
      <c r="L84" s="7"/>
      <c r="M84" s="7"/>
      <c r="N84" s="7"/>
      <c r="O84" s="7"/>
      <c r="P84" s="7"/>
      <c r="Q84" s="7"/>
      <c r="R84" s="7"/>
      <c r="S84" s="7"/>
    </row>
    <row r="85" spans="1:19" x14ac:dyDescent="0.3">
      <c r="A85" s="7">
        <f>CEO!A85+CS!A85+CFO!A85+LLA!A85+'C&amp;E'!A85+CES!A85+LLT!A85+GB!A85</f>
        <v>0</v>
      </c>
      <c r="B85" s="7"/>
      <c r="C85" s="7"/>
      <c r="D85" s="7"/>
      <c r="E85" s="7"/>
      <c r="F85" s="7"/>
      <c r="G85" s="7"/>
      <c r="H85" s="7"/>
      <c r="I85" s="7"/>
      <c r="J85" s="13" t="s">
        <v>150</v>
      </c>
      <c r="K85" s="7"/>
      <c r="L85" s="7"/>
      <c r="M85" s="7"/>
      <c r="N85" s="7"/>
      <c r="O85" s="7"/>
      <c r="P85" s="7"/>
      <c r="Q85" s="7"/>
      <c r="R85" s="7"/>
      <c r="S85" s="7"/>
    </row>
    <row r="86" spans="1:19" x14ac:dyDescent="0.3">
      <c r="A86" s="7">
        <f>CEO!A86+CS!A86+CFO!A86+LLA!A86+'C&amp;E'!A86+CES!A86+LLT!A86+GB!A86</f>
        <v>0</v>
      </c>
      <c r="B86" s="7"/>
      <c r="C86" s="7"/>
      <c r="D86" s="7"/>
      <c r="E86" s="7"/>
      <c r="F86" s="7"/>
      <c r="G86" s="7"/>
      <c r="H86" s="7"/>
      <c r="I86" s="7"/>
      <c r="J86" s="13" t="s">
        <v>151</v>
      </c>
      <c r="K86" s="7"/>
      <c r="L86" s="7"/>
      <c r="M86" s="7"/>
      <c r="N86" s="7"/>
      <c r="O86" s="7"/>
      <c r="P86" s="7"/>
      <c r="Q86" s="7"/>
      <c r="R86" s="7"/>
      <c r="S86" s="7"/>
    </row>
    <row r="87" spans="1:19" x14ac:dyDescent="0.3">
      <c r="A87" s="7">
        <f>CEO!A87+CS!A87+CFO!A87+LLA!A87+'C&amp;E'!A87+CES!A87+LLT!A87+GB!A87</f>
        <v>4318.808</v>
      </c>
      <c r="B87" s="7"/>
      <c r="C87" s="7"/>
      <c r="D87" s="7"/>
      <c r="E87" s="7"/>
      <c r="F87" s="7">
        <v>20606.3</v>
      </c>
      <c r="G87" s="7">
        <v>4121.26</v>
      </c>
      <c r="H87" s="7"/>
      <c r="I87" s="7"/>
      <c r="J87" s="13" t="s">
        <v>152</v>
      </c>
      <c r="K87" s="7"/>
      <c r="L87" s="7"/>
      <c r="M87" s="7"/>
      <c r="N87" s="7"/>
      <c r="O87" s="7"/>
      <c r="P87" s="7">
        <v>20606.3</v>
      </c>
      <c r="Q87" s="7">
        <v>4121.26</v>
      </c>
      <c r="R87" s="7"/>
      <c r="S87" s="7"/>
    </row>
    <row r="88" spans="1:19" x14ac:dyDescent="0.3">
      <c r="A88" s="7">
        <f>CEO!A88+CS!A88+CFO!A88+LLA!A88+'C&amp;E'!A88+CES!A88+LLT!A88+GB!A88</f>
        <v>0</v>
      </c>
      <c r="B88" s="7"/>
      <c r="C88" s="7"/>
      <c r="D88" s="7"/>
      <c r="E88" s="7"/>
      <c r="F88" s="7"/>
      <c r="G88" s="7"/>
      <c r="H88" s="7"/>
      <c r="I88" s="7"/>
      <c r="J88" s="13" t="s">
        <v>153</v>
      </c>
      <c r="K88" s="7"/>
      <c r="L88" s="7"/>
      <c r="M88" s="7"/>
      <c r="N88" s="7"/>
      <c r="O88" s="7"/>
      <c r="P88" s="7"/>
      <c r="Q88" s="7"/>
      <c r="R88" s="7"/>
      <c r="S88" s="7"/>
    </row>
    <row r="89" spans="1:19" x14ac:dyDescent="0.3">
      <c r="A89" s="11">
        <f>CEO!A89+CS!A89+CFO!A89+LLA!A89+'C&amp;E'!A89+CES!A89+LLT!A89+GB!A89</f>
        <v>0</v>
      </c>
      <c r="B89" s="11"/>
      <c r="C89" s="11"/>
      <c r="D89" s="11"/>
      <c r="E89" s="11"/>
      <c r="F89" s="11"/>
      <c r="G89" s="11"/>
      <c r="H89" s="11"/>
      <c r="I89" s="11"/>
      <c r="J89" s="187" t="s">
        <v>154</v>
      </c>
      <c r="K89" s="11"/>
      <c r="L89" s="11"/>
      <c r="M89" s="11"/>
      <c r="N89" s="11"/>
      <c r="O89" s="11"/>
      <c r="P89" s="11"/>
      <c r="Q89" s="11"/>
      <c r="R89" s="11"/>
      <c r="S89" s="11"/>
    </row>
    <row r="90" spans="1:19" ht="15" thickBot="1" x14ac:dyDescent="0.35">
      <c r="A90" s="93">
        <f>CEO!A90+CS!A90+CFO!A90+LLA!A90+'C&amp;E'!A90+CES!A90+LLT!A90+GB!A90</f>
        <v>0</v>
      </c>
      <c r="B90" s="93"/>
      <c r="C90" s="93"/>
      <c r="D90" s="94"/>
      <c r="E90" s="91"/>
      <c r="F90" s="91"/>
      <c r="G90" s="91"/>
      <c r="H90" s="91"/>
      <c r="I90" s="91"/>
      <c r="J90" s="13"/>
      <c r="K90" s="93"/>
      <c r="L90" s="93"/>
      <c r="M90" s="93"/>
      <c r="N90" s="94"/>
      <c r="O90" s="91"/>
      <c r="P90" s="91"/>
      <c r="Q90" s="91"/>
      <c r="R90" s="91"/>
      <c r="S90" s="91"/>
    </row>
    <row r="91" spans="1:19" x14ac:dyDescent="0.3">
      <c r="A91" s="4">
        <f>CEO!A91+CS!A91+CFO!A91+LLA!A91+'C&amp;E'!A91+CES!A91+LLT!A91+GB!A91</f>
        <v>582780.91044629994</v>
      </c>
      <c r="B91" s="4">
        <f>SUM(B67:B89)</f>
        <v>249306.79</v>
      </c>
      <c r="C91" s="4">
        <f t="shared" ref="C91:I91" si="9">SUM(C67:C89)</f>
        <v>221973.62</v>
      </c>
      <c r="D91" s="4">
        <f t="shared" si="9"/>
        <v>707747.76</v>
      </c>
      <c r="E91" s="4">
        <f t="shared" si="9"/>
        <v>691942.18</v>
      </c>
      <c r="F91" s="4">
        <f t="shared" si="9"/>
        <v>568423.18000000005</v>
      </c>
      <c r="G91" s="4">
        <f t="shared" si="9"/>
        <v>557300.19000000006</v>
      </c>
      <c r="H91" s="4">
        <f t="shared" si="9"/>
        <v>0</v>
      </c>
      <c r="I91" s="4">
        <f t="shared" si="9"/>
        <v>0</v>
      </c>
      <c r="J91" s="13" t="s">
        <v>155</v>
      </c>
      <c r="K91" s="4">
        <f>SUM(K67:K89)</f>
        <v>176313.13</v>
      </c>
      <c r="L91" s="4">
        <f>SUM(L67:L89)</f>
        <v>249306.79</v>
      </c>
      <c r="M91" s="4">
        <f t="shared" ref="M91:S91" si="10">SUM(M67:M89)</f>
        <v>221973.62</v>
      </c>
      <c r="N91" s="4">
        <f t="shared" si="10"/>
        <v>707747.76</v>
      </c>
      <c r="O91" s="4">
        <f t="shared" si="10"/>
        <v>691942.18</v>
      </c>
      <c r="P91" s="4">
        <f t="shared" si="10"/>
        <v>568423.18000000005</v>
      </c>
      <c r="Q91" s="4">
        <f t="shared" si="10"/>
        <v>557300.19000000006</v>
      </c>
      <c r="R91" s="4">
        <f t="shared" si="10"/>
        <v>0</v>
      </c>
      <c r="S91" s="4">
        <f t="shared" si="10"/>
        <v>0</v>
      </c>
    </row>
    <row r="92" spans="1:19" x14ac:dyDescent="0.3">
      <c r="A92" s="81">
        <f>CEO!A92+CS!A92+CFO!A92+LLA!A92+'C&amp;E'!A92+CES!A92+LLT!A92+GB!A92</f>
        <v>0</v>
      </c>
      <c r="B92" s="81"/>
      <c r="C92" s="81"/>
      <c r="D92" s="82"/>
      <c r="E92" s="86"/>
      <c r="F92" s="86"/>
      <c r="G92" s="86"/>
      <c r="H92" s="87"/>
      <c r="I92" s="87"/>
      <c r="J92" s="80"/>
      <c r="K92" s="81"/>
      <c r="L92" s="81"/>
      <c r="M92" s="81"/>
      <c r="N92" s="82"/>
      <c r="O92" s="86"/>
      <c r="P92" s="86"/>
      <c r="Q92" s="86"/>
      <c r="R92" s="87"/>
      <c r="S92" s="87"/>
    </row>
    <row r="93" spans="1:19" x14ac:dyDescent="0.3">
      <c r="A93" s="8">
        <f>CEO!A93+CS!A93+CFO!A93+LLA!A93+'C&amp;E'!A93+CES!A93+LLT!A93+GB!A93</f>
        <v>5095.3760000000002</v>
      </c>
      <c r="B93" s="8">
        <v>13241.92</v>
      </c>
      <c r="C93" s="8">
        <v>16693.2</v>
      </c>
      <c r="D93" s="8">
        <v>24503.71</v>
      </c>
      <c r="E93" s="8">
        <v>10275</v>
      </c>
      <c r="F93" s="8">
        <v>22941.279999999999</v>
      </c>
      <c r="G93" s="8">
        <v>12230</v>
      </c>
      <c r="H93" s="8"/>
      <c r="I93" s="8"/>
      <c r="J93" s="187" t="s">
        <v>156</v>
      </c>
      <c r="K93" s="8">
        <v>2600</v>
      </c>
      <c r="L93" s="8">
        <v>13241.92</v>
      </c>
      <c r="M93" s="8">
        <v>16693.2</v>
      </c>
      <c r="N93" s="8">
        <v>24503.71</v>
      </c>
      <c r="O93" s="8">
        <v>10275</v>
      </c>
      <c r="P93" s="8">
        <v>22941.279999999999</v>
      </c>
      <c r="Q93" s="8">
        <v>12230</v>
      </c>
      <c r="R93" s="8"/>
      <c r="S93" s="8"/>
    </row>
    <row r="94" spans="1:19" x14ac:dyDescent="0.3">
      <c r="A94" s="7">
        <f>CEO!A94+CS!A94+CFO!A94+LLA!A94+'C&amp;E'!A94+CES!A94+LLT!A94+GB!A94</f>
        <v>5097.3169212393295</v>
      </c>
      <c r="B94" s="7">
        <v>832</v>
      </c>
      <c r="C94" s="7"/>
      <c r="D94" s="7"/>
      <c r="E94" s="7"/>
      <c r="F94" s="7"/>
      <c r="G94" s="7"/>
      <c r="H94" s="7"/>
      <c r="I94" s="7"/>
      <c r="J94" s="13" t="s">
        <v>158</v>
      </c>
      <c r="K94" s="7"/>
      <c r="L94" s="7">
        <v>832</v>
      </c>
      <c r="M94" s="7"/>
      <c r="N94" s="7"/>
      <c r="O94" s="7"/>
      <c r="P94" s="7"/>
      <c r="Q94" s="7"/>
      <c r="R94" s="7"/>
      <c r="S94" s="7"/>
    </row>
    <row r="95" spans="1:19" x14ac:dyDescent="0.3">
      <c r="A95" s="7">
        <f>CEO!A95+CS!A95+CFO!A95+LLA!A95+'C&amp;E'!A95+CES!A95+LLT!A95+GB!A95</f>
        <v>0</v>
      </c>
      <c r="B95" s="7"/>
      <c r="C95" s="7"/>
      <c r="D95" s="7"/>
      <c r="E95" s="7"/>
      <c r="F95" s="7"/>
      <c r="G95" s="7"/>
      <c r="H95" s="7"/>
      <c r="I95" s="7"/>
      <c r="J95" s="13" t="s">
        <v>159</v>
      </c>
      <c r="K95" s="7"/>
      <c r="L95" s="7"/>
      <c r="M95" s="7"/>
      <c r="N95" s="7"/>
      <c r="O95" s="7"/>
      <c r="P95" s="7"/>
      <c r="Q95" s="7"/>
      <c r="R95" s="7"/>
      <c r="S95" s="7"/>
    </row>
    <row r="96" spans="1:19" x14ac:dyDescent="0.3">
      <c r="A96" s="7">
        <f>CEO!A96+CS!A96+CFO!A96+LLA!A96+'C&amp;E'!A96+CES!A96+LLT!A96+GB!A96</f>
        <v>1210.4399999999998</v>
      </c>
      <c r="B96" s="7">
        <f>3090.88+789.17</f>
        <v>3880.05</v>
      </c>
      <c r="C96" s="7"/>
      <c r="D96" s="7"/>
      <c r="E96" s="7">
        <v>334.36</v>
      </c>
      <c r="F96" s="7"/>
      <c r="G96" s="7"/>
      <c r="H96" s="7"/>
      <c r="I96" s="7"/>
      <c r="J96" s="13" t="s">
        <v>160</v>
      </c>
      <c r="K96" s="7">
        <v>75.8</v>
      </c>
      <c r="L96" s="7">
        <f>3090.88+789.17</f>
        <v>3880.05</v>
      </c>
      <c r="M96" s="7"/>
      <c r="N96" s="7"/>
      <c r="O96" s="7">
        <v>334.36</v>
      </c>
      <c r="P96" s="7"/>
      <c r="Q96" s="7"/>
      <c r="R96" s="7"/>
      <c r="S96" s="7"/>
    </row>
    <row r="97" spans="1:19" x14ac:dyDescent="0.3">
      <c r="A97" s="7">
        <f>CEO!A97+CS!A97+CFO!A97+LLA!A97+'C&amp;E'!A97+CES!A97+LLT!A97+GB!A97</f>
        <v>15157.224</v>
      </c>
      <c r="B97" s="7">
        <v>28954.83</v>
      </c>
      <c r="C97" s="7">
        <v>15029.64</v>
      </c>
      <c r="D97" s="7"/>
      <c r="E97" s="7">
        <v>22140.44</v>
      </c>
      <c r="F97" s="7">
        <v>10019.76</v>
      </c>
      <c r="G97" s="7">
        <v>9696.5400000000009</v>
      </c>
      <c r="H97" s="7"/>
      <c r="I97" s="7"/>
      <c r="J97" s="13" t="s">
        <v>161</v>
      </c>
      <c r="K97" s="7"/>
      <c r="L97" s="7">
        <v>28954.83</v>
      </c>
      <c r="M97" s="7">
        <v>15029.64</v>
      </c>
      <c r="N97" s="7"/>
      <c r="O97" s="7">
        <v>22140.44</v>
      </c>
      <c r="P97" s="7">
        <v>10019.76</v>
      </c>
      <c r="Q97" s="7">
        <v>9696.5400000000009</v>
      </c>
      <c r="R97" s="7"/>
      <c r="S97" s="7"/>
    </row>
    <row r="98" spans="1:19" x14ac:dyDescent="0.3">
      <c r="A98" s="7">
        <f>CEO!A98+CS!A98+CFO!A98+LLA!A98+'C&amp;E'!A98+CES!A98+LLT!A98+GB!A98</f>
        <v>442.25600000000009</v>
      </c>
      <c r="B98" s="7"/>
      <c r="C98" s="7"/>
      <c r="D98" s="7"/>
      <c r="E98" s="7"/>
      <c r="F98" s="7"/>
      <c r="G98" s="7"/>
      <c r="H98" s="7"/>
      <c r="I98" s="7"/>
      <c r="J98" s="13" t="s">
        <v>162</v>
      </c>
      <c r="K98" s="7">
        <v>452.6</v>
      </c>
      <c r="L98" s="7"/>
      <c r="M98" s="7"/>
      <c r="N98" s="7"/>
      <c r="O98" s="7"/>
      <c r="P98" s="7"/>
      <c r="Q98" s="7"/>
      <c r="R98" s="7"/>
      <c r="S98" s="7"/>
    </row>
    <row r="99" spans="1:19" x14ac:dyDescent="0.3">
      <c r="A99" s="7">
        <f>CEO!A99+CS!A99+CFO!A99+LLA!A99+'C&amp;E'!A99+CES!A99+LLT!A99+GB!A99</f>
        <v>40422.408000000003</v>
      </c>
      <c r="B99" s="7">
        <v>46268.49</v>
      </c>
      <c r="C99" s="7">
        <v>36442.730000000003</v>
      </c>
      <c r="D99" s="7"/>
      <c r="E99" s="7">
        <v>68561.710000000006</v>
      </c>
      <c r="F99" s="7">
        <v>42912.22</v>
      </c>
      <c r="G99" s="7">
        <v>41353.78</v>
      </c>
      <c r="H99" s="7"/>
      <c r="I99" s="7"/>
      <c r="J99" s="13" t="s">
        <v>163</v>
      </c>
      <c r="K99" s="7"/>
      <c r="L99" s="7">
        <v>46268.49</v>
      </c>
      <c r="M99" s="7">
        <v>36442.730000000003</v>
      </c>
      <c r="N99" s="7"/>
      <c r="O99" s="7">
        <v>68561.710000000006</v>
      </c>
      <c r="P99" s="7">
        <v>42912.22</v>
      </c>
      <c r="Q99" s="7">
        <v>41353.78</v>
      </c>
      <c r="R99" s="7"/>
      <c r="S99" s="7"/>
    </row>
    <row r="100" spans="1:19" x14ac:dyDescent="0.3">
      <c r="A100" s="11">
        <f>CEO!A100+CS!A100+CFO!A100+LLA!A100+'C&amp;E'!A100+CES!A100+LLT!A100+GB!A100</f>
        <v>5303.9280000000008</v>
      </c>
      <c r="B100" s="11"/>
      <c r="C100" s="11"/>
      <c r="D100" s="11"/>
      <c r="E100" s="11"/>
      <c r="F100" s="11"/>
      <c r="G100" s="11"/>
      <c r="H100" s="11"/>
      <c r="I100" s="11"/>
      <c r="J100" s="187" t="s">
        <v>164</v>
      </c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1:19" ht="15" thickBot="1" x14ac:dyDescent="0.35">
      <c r="A101" s="89">
        <f>CEO!A101+CS!A101+CFO!A101+LLA!A101+'C&amp;E'!A101+CES!A101+LLT!A101+GB!A101</f>
        <v>0</v>
      </c>
      <c r="B101" s="89"/>
      <c r="C101" s="89"/>
      <c r="D101" s="90"/>
      <c r="E101" s="91"/>
      <c r="F101" s="91"/>
      <c r="G101" s="91"/>
      <c r="H101" s="91"/>
      <c r="I101" s="91"/>
      <c r="J101" s="13"/>
      <c r="K101" s="89"/>
      <c r="L101" s="89"/>
      <c r="M101" s="89"/>
      <c r="N101" s="90"/>
      <c r="O101" s="91"/>
      <c r="P101" s="91"/>
      <c r="Q101" s="91"/>
      <c r="R101" s="91"/>
      <c r="S101" s="91"/>
    </row>
    <row r="102" spans="1:19" x14ac:dyDescent="0.3">
      <c r="A102" s="4">
        <f>CEO!A102+CS!A102+CFO!A102+LLA!A102+'C&amp;E'!A102+CES!A102+LLT!A102+GB!A102</f>
        <v>72728.948921239324</v>
      </c>
      <c r="B102" s="4">
        <f>SUM(B93:B100)</f>
        <v>93177.290000000008</v>
      </c>
      <c r="C102" s="4">
        <f t="shared" ref="C102:I102" si="11">SUM(C93:C100)</f>
        <v>68165.570000000007</v>
      </c>
      <c r="D102" s="4">
        <f t="shared" si="11"/>
        <v>24503.71</v>
      </c>
      <c r="E102" s="4">
        <f t="shared" si="11"/>
        <v>101311.51000000001</v>
      </c>
      <c r="F102" s="4">
        <f t="shared" si="11"/>
        <v>75873.260000000009</v>
      </c>
      <c r="G102" s="4">
        <f t="shared" si="11"/>
        <v>63280.32</v>
      </c>
      <c r="H102" s="4">
        <f t="shared" si="11"/>
        <v>0</v>
      </c>
      <c r="I102" s="4">
        <f t="shared" si="11"/>
        <v>0</v>
      </c>
      <c r="J102" s="13" t="s">
        <v>166</v>
      </c>
      <c r="K102" s="4">
        <f>SUM(K93:K100)</f>
        <v>3128.4</v>
      </c>
      <c r="L102" s="4">
        <f>SUM(L93:L100)</f>
        <v>93177.290000000008</v>
      </c>
      <c r="M102" s="4">
        <f t="shared" ref="M102:S102" si="12">SUM(M93:M100)</f>
        <v>68165.570000000007</v>
      </c>
      <c r="N102" s="4">
        <f t="shared" si="12"/>
        <v>24503.71</v>
      </c>
      <c r="O102" s="4">
        <f t="shared" si="12"/>
        <v>101311.51000000001</v>
      </c>
      <c r="P102" s="4">
        <f t="shared" si="12"/>
        <v>75873.260000000009</v>
      </c>
      <c r="Q102" s="4">
        <f t="shared" si="12"/>
        <v>63280.32</v>
      </c>
      <c r="R102" s="4">
        <f t="shared" si="12"/>
        <v>0</v>
      </c>
      <c r="S102" s="4">
        <f t="shared" si="12"/>
        <v>0</v>
      </c>
    </row>
    <row r="103" spans="1:19" x14ac:dyDescent="0.3">
      <c r="A103" s="81">
        <f>CEO!A103+CS!A103+CFO!A103+LLA!A103+'C&amp;E'!A103+CES!A103+LLT!A103+GB!A103</f>
        <v>0</v>
      </c>
      <c r="B103" s="81"/>
      <c r="C103" s="81"/>
      <c r="D103" s="82"/>
      <c r="E103" s="86"/>
      <c r="F103" s="86"/>
      <c r="G103" s="86"/>
      <c r="H103" s="87"/>
      <c r="I103" s="87"/>
      <c r="J103" s="80"/>
      <c r="K103" s="81"/>
      <c r="L103" s="81"/>
      <c r="M103" s="81"/>
      <c r="N103" s="82"/>
      <c r="O103" s="86"/>
      <c r="P103" s="86"/>
      <c r="Q103" s="86"/>
      <c r="R103" s="87"/>
      <c r="S103" s="87"/>
    </row>
    <row r="104" spans="1:19" x14ac:dyDescent="0.3">
      <c r="A104" s="8">
        <f>CEO!A104+CS!A104+CFO!A104+LLA!A104+'C&amp;E'!A104+CES!A104+LLT!A104+GB!A104</f>
        <v>874.03200000000015</v>
      </c>
      <c r="B104" s="8"/>
      <c r="C104" s="8"/>
      <c r="D104" s="8"/>
      <c r="E104" s="8"/>
      <c r="F104" s="8"/>
      <c r="G104" s="8"/>
      <c r="H104" s="8"/>
      <c r="I104" s="8"/>
      <c r="J104" s="187" t="s">
        <v>167</v>
      </c>
      <c r="K104" s="8">
        <v>300</v>
      </c>
      <c r="L104" s="8"/>
      <c r="M104" s="8"/>
      <c r="N104" s="8"/>
      <c r="O104" s="8"/>
      <c r="P104" s="8"/>
      <c r="Q104" s="8"/>
      <c r="R104" s="8"/>
      <c r="S104" s="8"/>
    </row>
    <row r="105" spans="1:19" x14ac:dyDescent="0.3">
      <c r="A105" s="7">
        <f>CEO!A105+CS!A105+CFO!A105+LLA!A105+'C&amp;E'!A105+CES!A105+LLT!A105+GB!A105</f>
        <v>162.44</v>
      </c>
      <c r="B105" s="7">
        <v>740</v>
      </c>
      <c r="C105" s="7">
        <v>279.14999999999998</v>
      </c>
      <c r="D105" s="7">
        <v>557.86</v>
      </c>
      <c r="E105" s="7"/>
      <c r="F105" s="7">
        <v>69.78</v>
      </c>
      <c r="G105" s="7">
        <v>209.15</v>
      </c>
      <c r="H105" s="7"/>
      <c r="I105" s="7"/>
      <c r="J105" s="13" t="s">
        <v>168</v>
      </c>
      <c r="K105" s="7"/>
      <c r="L105" s="7">
        <v>740</v>
      </c>
      <c r="M105" s="7">
        <v>279.14999999999998</v>
      </c>
      <c r="N105" s="7">
        <v>557.86</v>
      </c>
      <c r="O105" s="7"/>
      <c r="P105" s="7">
        <v>69.78</v>
      </c>
      <c r="Q105" s="7">
        <v>209.15</v>
      </c>
      <c r="R105" s="7"/>
      <c r="S105" s="7"/>
    </row>
    <row r="106" spans="1:19" x14ac:dyDescent="0.3">
      <c r="A106" s="11">
        <f>CEO!A106+CS!A106+CFO!A106+LLA!A106+'C&amp;E'!A106+CES!A106+LLT!A106+GB!A106</f>
        <v>325.928</v>
      </c>
      <c r="B106" s="11"/>
      <c r="C106" s="11"/>
      <c r="D106" s="11"/>
      <c r="E106" s="11"/>
      <c r="F106" s="11">
        <v>2264.2399999999998</v>
      </c>
      <c r="G106" s="11">
        <v>1467.24</v>
      </c>
      <c r="H106" s="11"/>
      <c r="I106" s="11"/>
      <c r="J106" s="13" t="s">
        <v>169</v>
      </c>
      <c r="K106" s="11"/>
      <c r="L106" s="11"/>
      <c r="M106" s="11"/>
      <c r="N106" s="11"/>
      <c r="O106" s="11"/>
      <c r="P106" s="11">
        <v>2264.2399999999998</v>
      </c>
      <c r="Q106" s="11">
        <v>1467.24</v>
      </c>
      <c r="R106" s="11"/>
      <c r="S106" s="11"/>
    </row>
    <row r="107" spans="1:19" ht="15" thickBot="1" x14ac:dyDescent="0.35">
      <c r="A107" s="89">
        <f>CEO!A107+CS!A107+CFO!A107+LLA!A107+'C&amp;E'!A107+CES!A107+LLT!A107+GB!A107</f>
        <v>0</v>
      </c>
      <c r="B107" s="89"/>
      <c r="C107" s="89"/>
      <c r="D107" s="90"/>
      <c r="E107" s="91"/>
      <c r="F107" s="91"/>
      <c r="G107" s="91"/>
      <c r="H107" s="91"/>
      <c r="I107" s="91"/>
      <c r="J107" s="13"/>
      <c r="K107" s="89"/>
      <c r="L107" s="89"/>
      <c r="M107" s="89"/>
      <c r="N107" s="90"/>
      <c r="O107" s="91"/>
      <c r="P107" s="91"/>
      <c r="Q107" s="91"/>
      <c r="R107" s="91"/>
      <c r="S107" s="91"/>
    </row>
    <row r="108" spans="1:19" x14ac:dyDescent="0.3">
      <c r="A108" s="4">
        <f>CEO!A108+CS!A108+CFO!A108+LLA!A108+'C&amp;E'!A108+CES!A108+LLT!A108+GB!A108</f>
        <v>1362.4</v>
      </c>
      <c r="B108" s="4">
        <f>SUM(B104:B106)</f>
        <v>740</v>
      </c>
      <c r="C108" s="4">
        <f t="shared" ref="C108:I108" si="13">SUM(C104:C106)</f>
        <v>279.14999999999998</v>
      </c>
      <c r="D108" s="4">
        <f t="shared" si="13"/>
        <v>557.86</v>
      </c>
      <c r="E108" s="4">
        <f t="shared" si="13"/>
        <v>0</v>
      </c>
      <c r="F108" s="4">
        <f t="shared" si="13"/>
        <v>2334.02</v>
      </c>
      <c r="G108" s="4">
        <f t="shared" si="13"/>
        <v>1676.39</v>
      </c>
      <c r="H108" s="4">
        <f t="shared" si="13"/>
        <v>0</v>
      </c>
      <c r="I108" s="4">
        <f t="shared" si="13"/>
        <v>0</v>
      </c>
      <c r="J108" s="13" t="s">
        <v>170</v>
      </c>
      <c r="K108" s="4">
        <f>SUM(K104:K106)</f>
        <v>300</v>
      </c>
      <c r="L108" s="4">
        <f>SUM(L104:L106)</f>
        <v>740</v>
      </c>
      <c r="M108" s="4">
        <f t="shared" ref="M108:S108" si="14">SUM(M104:M106)</f>
        <v>279.14999999999998</v>
      </c>
      <c r="N108" s="4">
        <f t="shared" si="14"/>
        <v>557.86</v>
      </c>
      <c r="O108" s="4">
        <f t="shared" si="14"/>
        <v>0</v>
      </c>
      <c r="P108" s="4">
        <f t="shared" si="14"/>
        <v>2334.02</v>
      </c>
      <c r="Q108" s="4">
        <f t="shared" si="14"/>
        <v>1676.39</v>
      </c>
      <c r="R108" s="4">
        <f t="shared" si="14"/>
        <v>0</v>
      </c>
      <c r="S108" s="4">
        <f t="shared" si="14"/>
        <v>0</v>
      </c>
    </row>
    <row r="109" spans="1:19" x14ac:dyDescent="0.3">
      <c r="A109" s="81">
        <f>CEO!A109+CS!A109+CFO!A109+LLA!A109+'C&amp;E'!A109+CES!A109+LLT!A109+GB!A109</f>
        <v>0</v>
      </c>
      <c r="B109" s="81"/>
      <c r="C109" s="81"/>
      <c r="D109" s="82"/>
      <c r="E109" s="81"/>
      <c r="F109" s="81"/>
      <c r="G109" s="81"/>
      <c r="H109" s="87"/>
      <c r="I109" s="87"/>
      <c r="J109" s="80"/>
      <c r="K109" s="81"/>
      <c r="L109" s="81"/>
      <c r="M109" s="81"/>
      <c r="N109" s="82"/>
      <c r="O109" s="81"/>
      <c r="P109" s="81"/>
      <c r="Q109" s="81"/>
      <c r="R109" s="87"/>
      <c r="S109" s="87"/>
    </row>
    <row r="110" spans="1:19" x14ac:dyDescent="0.3">
      <c r="A110" s="4">
        <f>CEO!A110+CS!A110+CFO!A110+LLA!A110+'C&amp;E'!A110+CES!A110+LLT!A110+GB!A110</f>
        <v>1423581.065189006</v>
      </c>
      <c r="B110" s="4">
        <f>B28+B46+B65+B91+B102+B108</f>
        <v>1065380.45</v>
      </c>
      <c r="C110" s="4">
        <f t="shared" ref="C110:I110" si="15">C28+C46+C65+C91+C102+C108</f>
        <v>2235281.7799999998</v>
      </c>
      <c r="D110" s="4">
        <f t="shared" si="15"/>
        <v>1607729.2500000002</v>
      </c>
      <c r="E110" s="4">
        <f t="shared" si="15"/>
        <v>2031947.34</v>
      </c>
      <c r="F110" s="4">
        <f t="shared" si="15"/>
        <v>1537172.4600000002</v>
      </c>
      <c r="G110" s="4">
        <f t="shared" si="15"/>
        <v>2245381.71</v>
      </c>
      <c r="H110" s="4">
        <f t="shared" si="15"/>
        <v>0</v>
      </c>
      <c r="I110" s="4">
        <f t="shared" si="15"/>
        <v>0</v>
      </c>
      <c r="J110" s="187" t="s">
        <v>171</v>
      </c>
      <c r="K110" s="4">
        <f>K28+K46+K65+K91+K102+K108</f>
        <v>833452.35000000009</v>
      </c>
      <c r="L110" s="4">
        <f>L28+L46+L65+L91+L102+L108</f>
        <v>1065380.45</v>
      </c>
      <c r="M110" s="4">
        <f t="shared" ref="M110:S110" si="16">M28+M46+M65+M91+M102+M108</f>
        <v>2235281.7799999998</v>
      </c>
      <c r="N110" s="4">
        <f t="shared" si="16"/>
        <v>1607729.2500000002</v>
      </c>
      <c r="O110" s="4">
        <f t="shared" si="16"/>
        <v>2031947.34</v>
      </c>
      <c r="P110" s="4">
        <f t="shared" si="16"/>
        <v>1537172.4600000002</v>
      </c>
      <c r="Q110" s="4">
        <f t="shared" si="16"/>
        <v>2245381.71</v>
      </c>
      <c r="R110" s="4">
        <f t="shared" si="16"/>
        <v>0</v>
      </c>
      <c r="S110" s="4">
        <f t="shared" si="16"/>
        <v>0</v>
      </c>
    </row>
    <row r="111" spans="1:19" x14ac:dyDescent="0.3">
      <c r="A111" s="81">
        <f>CEO!A111+CS!A111+CFO!A111+LLA!A111+'C&amp;E'!A111+CES!A111+LLT!A111+GB!A111</f>
        <v>0</v>
      </c>
      <c r="B111" s="81"/>
      <c r="C111" s="81"/>
      <c r="D111" s="82"/>
      <c r="E111" s="81"/>
      <c r="F111" s="81"/>
      <c r="G111" s="81"/>
      <c r="H111" s="87"/>
      <c r="I111" s="87"/>
      <c r="J111" s="122"/>
      <c r="K111" s="81"/>
      <c r="L111" s="81"/>
      <c r="M111" s="81"/>
      <c r="N111" s="82"/>
      <c r="O111" s="81"/>
      <c r="P111" s="81"/>
      <c r="Q111" s="81"/>
      <c r="R111" s="87"/>
      <c r="S111" s="87"/>
    </row>
    <row r="112" spans="1:19" x14ac:dyDescent="0.3">
      <c r="A112" s="4">
        <f>CEO!A112+CS!A112+CFO!A112+LLA!A112+'C&amp;E'!A112+CES!A112+LLT!A112+GB!A112</f>
        <v>4064528.7562691662</v>
      </c>
      <c r="B112" s="4">
        <f>B18+B110</f>
        <v>3295602.83</v>
      </c>
      <c r="C112" s="4">
        <f t="shared" ref="C112:I112" si="17">C18+C110</f>
        <v>4658019.83</v>
      </c>
      <c r="D112" s="4">
        <f t="shared" si="17"/>
        <v>3852538.71</v>
      </c>
      <c r="E112" s="4">
        <f t="shared" si="17"/>
        <v>4256876.91</v>
      </c>
      <c r="F112" s="4">
        <f t="shared" si="17"/>
        <v>3785733.5300000003</v>
      </c>
      <c r="G112" s="4">
        <f t="shared" si="17"/>
        <v>4496940.2899999991</v>
      </c>
      <c r="H112" s="4">
        <f t="shared" si="17"/>
        <v>0</v>
      </c>
      <c r="I112" s="4">
        <f t="shared" si="17"/>
        <v>0</v>
      </c>
      <c r="J112" s="13" t="s">
        <v>240</v>
      </c>
      <c r="K112" s="4">
        <f>K18+K110</f>
        <v>2864595.8600000003</v>
      </c>
      <c r="L112" s="4">
        <f>L18+L110</f>
        <v>3295602.83</v>
      </c>
      <c r="M112" s="4">
        <f t="shared" ref="M112:S112" si="18">M18+M110</f>
        <v>4658019.83</v>
      </c>
      <c r="N112" s="4">
        <f t="shared" si="18"/>
        <v>3852538.71</v>
      </c>
      <c r="O112" s="4">
        <f t="shared" si="18"/>
        <v>4256876.91</v>
      </c>
      <c r="P112" s="4">
        <f t="shared" si="18"/>
        <v>3785733.5300000003</v>
      </c>
      <c r="Q112" s="4">
        <f t="shared" si="18"/>
        <v>4496940.2899999991</v>
      </c>
      <c r="R112" s="4">
        <f t="shared" si="18"/>
        <v>0</v>
      </c>
      <c r="S112" s="4">
        <f t="shared" si="18"/>
        <v>0</v>
      </c>
    </row>
    <row r="113" spans="1:19" x14ac:dyDescent="0.3">
      <c r="A113" s="81">
        <f>CEO!A113+CS!A113+CFO!A113+LLA!A113+'C&amp;E'!A113+CES!A113+LLT!A113+GB!A113</f>
        <v>0</v>
      </c>
      <c r="B113" s="81"/>
      <c r="C113" s="81"/>
      <c r="D113" s="82"/>
      <c r="E113" s="81"/>
      <c r="F113" s="81"/>
      <c r="G113" s="81"/>
      <c r="H113" s="87"/>
      <c r="I113" s="87"/>
      <c r="J113" s="122"/>
      <c r="K113" s="81"/>
      <c r="L113" s="81"/>
      <c r="M113" s="81"/>
      <c r="N113" s="82"/>
      <c r="O113" s="81"/>
      <c r="P113" s="81"/>
      <c r="Q113" s="81"/>
      <c r="R113" s="87"/>
      <c r="S113" s="87"/>
    </row>
    <row r="114" spans="1:19" x14ac:dyDescent="0.3">
      <c r="A114" s="8">
        <f>CEO!A114+CS!A114+CFO!A114+LLA!A114+'C&amp;E'!A114+CES!A114+LLT!A114+GB!A114</f>
        <v>0</v>
      </c>
      <c r="B114" s="8">
        <v>231010.83</v>
      </c>
      <c r="C114" s="8"/>
      <c r="D114" s="8">
        <v>37729.410000000003</v>
      </c>
      <c r="E114" s="8">
        <v>9089.9</v>
      </c>
      <c r="F114" s="8">
        <v>9288.9</v>
      </c>
      <c r="G114" s="8">
        <v>9288.9</v>
      </c>
      <c r="H114" s="8"/>
      <c r="I114" s="8"/>
      <c r="J114" s="187" t="s">
        <v>173</v>
      </c>
      <c r="K114" s="8">
        <v>0</v>
      </c>
      <c r="L114" s="8">
        <v>231010.83</v>
      </c>
      <c r="M114" s="8"/>
      <c r="N114" s="8">
        <v>37729.410000000003</v>
      </c>
      <c r="O114" s="8">
        <v>9089.9</v>
      </c>
      <c r="P114" s="8">
        <v>9288.9</v>
      </c>
      <c r="Q114" s="8">
        <v>9288.9</v>
      </c>
      <c r="R114" s="8"/>
      <c r="S114" s="8"/>
    </row>
    <row r="115" spans="1:19" x14ac:dyDescent="0.3">
      <c r="A115" s="7">
        <f>CEO!A115+CS!A115+CFO!A115+LLA!A115+'C&amp;E'!A115+CES!A115+LLT!A115+GB!A115</f>
        <v>0</v>
      </c>
      <c r="B115" s="7">
        <v>10080.9</v>
      </c>
      <c r="C115" s="7"/>
      <c r="D115" s="7"/>
      <c r="E115" s="7">
        <v>199</v>
      </c>
      <c r="F115" s="7"/>
      <c r="G115" s="7"/>
      <c r="H115" s="7"/>
      <c r="I115" s="7"/>
      <c r="J115" s="13" t="s">
        <v>174</v>
      </c>
      <c r="K115" s="7">
        <v>0</v>
      </c>
      <c r="L115" s="7">
        <v>10080.9</v>
      </c>
      <c r="M115" s="7"/>
      <c r="N115" s="7"/>
      <c r="O115" s="7">
        <v>199</v>
      </c>
      <c r="P115" s="7"/>
      <c r="Q115" s="7"/>
      <c r="R115" s="7"/>
      <c r="S115" s="7"/>
    </row>
    <row r="116" spans="1:19" x14ac:dyDescent="0.3">
      <c r="A116" s="7">
        <f>CEO!A116+CS!A116+CFO!A116+LLA!A116+'C&amp;E'!A116+CES!A116+LLT!A116+GB!A116</f>
        <v>0</v>
      </c>
      <c r="B116" s="7">
        <v>0</v>
      </c>
      <c r="C116" s="7"/>
      <c r="D116" s="7"/>
      <c r="E116" s="7"/>
      <c r="F116" s="7"/>
      <c r="G116" s="7"/>
      <c r="H116" s="7"/>
      <c r="I116" s="7"/>
      <c r="J116" s="13" t="s">
        <v>175</v>
      </c>
      <c r="K116" s="7">
        <v>0</v>
      </c>
      <c r="L116" s="7">
        <v>0</v>
      </c>
      <c r="M116" s="7"/>
      <c r="N116" s="7"/>
      <c r="O116" s="7"/>
      <c r="P116" s="7"/>
      <c r="Q116" s="7"/>
      <c r="R116" s="7"/>
      <c r="S116" s="7"/>
    </row>
    <row r="117" spans="1:19" x14ac:dyDescent="0.3">
      <c r="A117" s="7">
        <f>CEO!A117+CS!A117+CFO!A117+LLA!A117+'C&amp;E'!A117+CES!A117+LLT!A117+GB!A117</f>
        <v>0</v>
      </c>
      <c r="B117" s="7">
        <v>417233</v>
      </c>
      <c r="C117" s="7"/>
      <c r="D117" s="7"/>
      <c r="E117" s="7"/>
      <c r="F117" s="7"/>
      <c r="G117" s="7"/>
      <c r="H117" s="7"/>
      <c r="I117" s="7"/>
      <c r="J117" s="187" t="s">
        <v>176</v>
      </c>
      <c r="K117" s="7">
        <v>0</v>
      </c>
      <c r="L117" s="7">
        <v>417233</v>
      </c>
      <c r="M117" s="7"/>
      <c r="N117" s="7"/>
      <c r="O117" s="7"/>
      <c r="P117" s="7"/>
      <c r="Q117" s="7"/>
      <c r="R117" s="7"/>
      <c r="S117" s="7"/>
    </row>
    <row r="118" spans="1:19" x14ac:dyDescent="0.3">
      <c r="A118" s="7">
        <f>CEO!A118+CS!A118+CFO!A118+LLA!A118+'C&amp;E'!A118+CES!A118+LLT!A118+GB!A118</f>
        <v>0</v>
      </c>
      <c r="B118" s="7">
        <v>0</v>
      </c>
      <c r="C118" s="7"/>
      <c r="D118" s="7"/>
      <c r="E118" s="7"/>
      <c r="F118" s="7"/>
      <c r="G118" s="7"/>
      <c r="H118" s="7"/>
      <c r="I118" s="7"/>
      <c r="J118" s="13" t="s">
        <v>177</v>
      </c>
      <c r="K118" s="7">
        <v>0</v>
      </c>
      <c r="L118" s="7">
        <v>0</v>
      </c>
      <c r="M118" s="7"/>
      <c r="N118" s="7"/>
      <c r="O118" s="7"/>
      <c r="P118" s="7"/>
      <c r="Q118" s="7"/>
      <c r="R118" s="7"/>
      <c r="S118" s="7"/>
    </row>
    <row r="119" spans="1:19" x14ac:dyDescent="0.3">
      <c r="A119" s="7">
        <f>CEO!A119+CS!A119+CFO!A119+LLA!A119+'C&amp;E'!A119+CES!A119+LLT!A119+GB!A119</f>
        <v>47820</v>
      </c>
      <c r="B119" s="7">
        <v>0</v>
      </c>
      <c r="C119" s="7"/>
      <c r="D119" s="7"/>
      <c r="E119" s="7"/>
      <c r="F119" s="7"/>
      <c r="G119" s="7"/>
      <c r="H119" s="7"/>
      <c r="I119" s="7"/>
      <c r="J119" s="13" t="s">
        <v>178</v>
      </c>
      <c r="K119" s="7">
        <v>0</v>
      </c>
      <c r="L119" s="7">
        <v>0</v>
      </c>
      <c r="M119" s="7"/>
      <c r="N119" s="7"/>
      <c r="O119" s="7"/>
      <c r="P119" s="7"/>
      <c r="Q119" s="7"/>
      <c r="R119" s="7"/>
      <c r="S119" s="7"/>
    </row>
    <row r="120" spans="1:19" x14ac:dyDescent="0.3">
      <c r="A120" s="7">
        <f>CEO!A120+CS!A120+CFO!A120+LLA!A120+'C&amp;E'!A120+CES!A120+LLT!A120+GB!A120</f>
        <v>0</v>
      </c>
      <c r="B120" s="7">
        <v>0</v>
      </c>
      <c r="C120" s="7"/>
      <c r="D120" s="7"/>
      <c r="E120" s="7"/>
      <c r="F120" s="7"/>
      <c r="G120" s="7"/>
      <c r="H120" s="7"/>
      <c r="I120" s="7"/>
      <c r="J120" s="187" t="s">
        <v>179</v>
      </c>
      <c r="K120" s="7">
        <v>0</v>
      </c>
      <c r="L120" s="7">
        <v>0</v>
      </c>
      <c r="M120" s="7"/>
      <c r="N120" s="7"/>
      <c r="O120" s="7"/>
      <c r="P120" s="7"/>
      <c r="Q120" s="7"/>
      <c r="R120" s="7"/>
      <c r="S120" s="7"/>
    </row>
    <row r="121" spans="1:19" x14ac:dyDescent="0.3">
      <c r="A121" s="7">
        <f>CEO!A121+CS!A121+CFO!A121+LLA!A121+'C&amp;E'!A121+CES!A121+LLT!A121+GB!A121</f>
        <v>0</v>
      </c>
      <c r="B121" s="7">
        <v>0</v>
      </c>
      <c r="C121" s="7"/>
      <c r="D121" s="7"/>
      <c r="E121" s="7"/>
      <c r="F121" s="7"/>
      <c r="G121" s="7"/>
      <c r="H121" s="7"/>
      <c r="I121" s="7"/>
      <c r="J121" s="13" t="s">
        <v>180</v>
      </c>
      <c r="K121" s="7">
        <v>0</v>
      </c>
      <c r="L121" s="7">
        <v>0</v>
      </c>
      <c r="M121" s="7"/>
      <c r="N121" s="7"/>
      <c r="O121" s="7"/>
      <c r="P121" s="7"/>
      <c r="Q121" s="7"/>
      <c r="R121" s="7"/>
      <c r="S121" s="7"/>
    </row>
    <row r="122" spans="1:19" x14ac:dyDescent="0.3">
      <c r="A122" s="7">
        <f>CEO!A122+CS!A122+CFO!A122+LLA!A122+'C&amp;E'!A122+CES!A122+LLT!A122+GB!A122</f>
        <v>31699.904000000002</v>
      </c>
      <c r="B122" s="7">
        <v>0</v>
      </c>
      <c r="C122" s="7">
        <f>1107.46+2150.88</f>
        <v>3258.34</v>
      </c>
      <c r="D122" s="7"/>
      <c r="E122" s="7">
        <f>2214.92+4301.76</f>
        <v>6516.68</v>
      </c>
      <c r="F122" s="7">
        <f>2150.88+1107.46</f>
        <v>3258.34</v>
      </c>
      <c r="G122" s="7">
        <v>2150.88</v>
      </c>
      <c r="H122" s="7"/>
      <c r="I122" s="7"/>
      <c r="J122" s="13" t="s">
        <v>181</v>
      </c>
      <c r="K122" s="7">
        <v>0</v>
      </c>
      <c r="L122" s="7">
        <v>0</v>
      </c>
      <c r="M122" s="7">
        <f>1107.46+2150.88</f>
        <v>3258.34</v>
      </c>
      <c r="N122" s="7"/>
      <c r="O122" s="7">
        <f>2214.92+4301.76</f>
        <v>6516.68</v>
      </c>
      <c r="P122" s="7">
        <f>2150.88+1107.46</f>
        <v>3258.34</v>
      </c>
      <c r="Q122" s="7">
        <v>2150.88</v>
      </c>
      <c r="R122" s="7"/>
      <c r="S122" s="7"/>
    </row>
    <row r="123" spans="1:19" x14ac:dyDescent="0.3">
      <c r="A123" s="7">
        <f>CEO!A123+CS!A123+CFO!A123+LLA!A123+'C&amp;E'!A123+CES!A123+LLT!A123+GB!A123</f>
        <v>105337.62400000001</v>
      </c>
      <c r="B123" s="7">
        <v>178910.36</v>
      </c>
      <c r="C123" s="7">
        <v>94477.17</v>
      </c>
      <c r="D123" s="7"/>
      <c r="E123" s="7"/>
      <c r="F123" s="7">
        <v>94477.17</v>
      </c>
      <c r="G123" s="7">
        <v>91429.53</v>
      </c>
      <c r="H123" s="7"/>
      <c r="I123" s="7"/>
      <c r="J123" s="187" t="s">
        <v>182</v>
      </c>
      <c r="K123" s="7">
        <v>0</v>
      </c>
      <c r="L123" s="7">
        <v>178910.36</v>
      </c>
      <c r="M123" s="7">
        <v>94477.17</v>
      </c>
      <c r="N123" s="7"/>
      <c r="O123" s="7"/>
      <c r="P123" s="7">
        <v>94477.17</v>
      </c>
      <c r="Q123" s="7">
        <v>91429.53</v>
      </c>
      <c r="R123" s="7"/>
      <c r="S123" s="7"/>
    </row>
    <row r="124" spans="1:19" x14ac:dyDescent="0.3">
      <c r="A124" s="7">
        <f>CEO!A124+CS!A124+CFO!A124+LLA!A124+'C&amp;E'!A124+CES!A124+LLT!A124+GB!A124</f>
        <v>0</v>
      </c>
      <c r="B124" s="7">
        <v>0</v>
      </c>
      <c r="C124" s="7"/>
      <c r="D124" s="7"/>
      <c r="E124" s="7"/>
      <c r="F124" s="7"/>
      <c r="G124" s="7"/>
      <c r="H124" s="7"/>
      <c r="I124" s="7"/>
      <c r="J124" s="13" t="s">
        <v>183</v>
      </c>
      <c r="K124" s="7">
        <v>0</v>
      </c>
      <c r="L124" s="7">
        <v>0</v>
      </c>
      <c r="M124" s="7"/>
      <c r="N124" s="7"/>
      <c r="O124" s="7"/>
      <c r="P124" s="7"/>
      <c r="Q124" s="7"/>
      <c r="R124" s="7"/>
      <c r="S124" s="7"/>
    </row>
    <row r="125" spans="1:19" x14ac:dyDescent="0.3">
      <c r="A125" s="11">
        <f>CEO!A125+CS!A125+CFO!A125+LLA!A125+'C&amp;E'!A125+CES!A125+LLT!A125+GB!A125</f>
        <v>0</v>
      </c>
      <c r="B125" s="11">
        <v>0</v>
      </c>
      <c r="C125" s="11"/>
      <c r="D125" s="11"/>
      <c r="E125" s="11"/>
      <c r="F125" s="11"/>
      <c r="G125" s="11"/>
      <c r="H125" s="11"/>
      <c r="I125" s="11"/>
      <c r="J125" s="13" t="s">
        <v>184</v>
      </c>
      <c r="K125" s="11">
        <v>0</v>
      </c>
      <c r="L125" s="11">
        <v>0</v>
      </c>
      <c r="M125" s="11"/>
      <c r="N125" s="11"/>
      <c r="O125" s="11"/>
      <c r="P125" s="11"/>
      <c r="Q125" s="11"/>
      <c r="R125" s="11"/>
      <c r="S125" s="11"/>
    </row>
    <row r="126" spans="1:19" x14ac:dyDescent="0.3">
      <c r="A126" s="7">
        <f>CEO!A126+CS!A126+CFO!A126+LLA!A126+'C&amp;E'!A126+CES!A126+LLT!A126+GB!A126</f>
        <v>0</v>
      </c>
      <c r="B126" s="7"/>
      <c r="C126" s="7"/>
      <c r="D126" s="7"/>
      <c r="E126" s="7"/>
      <c r="F126" s="7"/>
      <c r="G126" s="7"/>
      <c r="H126" s="7"/>
      <c r="I126" s="7"/>
      <c r="J126" s="13"/>
      <c r="K126" s="7"/>
      <c r="L126" s="7"/>
      <c r="M126" s="7"/>
      <c r="N126" s="7"/>
      <c r="O126" s="7"/>
      <c r="P126" s="7"/>
      <c r="Q126" s="7"/>
      <c r="R126" s="7"/>
      <c r="S126" s="7"/>
    </row>
    <row r="127" spans="1:19" x14ac:dyDescent="0.3">
      <c r="A127" s="4">
        <f>CEO!A127+CS!A127+CFO!A127+LLA!A127+'C&amp;E'!A127+CES!A127+LLT!A127+GB!A127</f>
        <v>184857.52800000002</v>
      </c>
      <c r="B127" s="4">
        <f>SUM(B114:B125)</f>
        <v>837235.09</v>
      </c>
      <c r="C127" s="4">
        <f t="shared" ref="C127:I127" si="19">SUM(C114:C125)</f>
        <v>97735.51</v>
      </c>
      <c r="D127" s="4">
        <f t="shared" si="19"/>
        <v>37729.410000000003</v>
      </c>
      <c r="E127" s="4">
        <f t="shared" si="19"/>
        <v>15805.58</v>
      </c>
      <c r="F127" s="4">
        <f t="shared" si="19"/>
        <v>107024.41</v>
      </c>
      <c r="G127" s="4">
        <f t="shared" si="19"/>
        <v>102869.31</v>
      </c>
      <c r="H127" s="4">
        <f t="shared" si="19"/>
        <v>0</v>
      </c>
      <c r="I127" s="4">
        <f t="shared" si="19"/>
        <v>0</v>
      </c>
      <c r="J127" s="13" t="s">
        <v>185</v>
      </c>
      <c r="K127" s="4">
        <f>SUM(K114:K125)</f>
        <v>0</v>
      </c>
      <c r="L127" s="4">
        <f>SUM(L114:L125)</f>
        <v>837235.09</v>
      </c>
      <c r="M127" s="4">
        <f t="shared" ref="M127:S127" si="20">SUM(M114:M125)</f>
        <v>97735.51</v>
      </c>
      <c r="N127" s="4">
        <f t="shared" si="20"/>
        <v>37729.410000000003</v>
      </c>
      <c r="O127" s="4">
        <f t="shared" si="20"/>
        <v>15805.58</v>
      </c>
      <c r="P127" s="4">
        <f t="shared" si="20"/>
        <v>107024.41</v>
      </c>
      <c r="Q127" s="4">
        <f t="shared" si="20"/>
        <v>102869.31</v>
      </c>
      <c r="R127" s="4">
        <f t="shared" si="20"/>
        <v>0</v>
      </c>
      <c r="S127" s="4">
        <f t="shared" si="20"/>
        <v>0</v>
      </c>
    </row>
    <row r="128" spans="1:19" x14ac:dyDescent="0.3">
      <c r="A128" s="81">
        <f>CEO!A128+CS!A128+CFO!A128+LLA!A128+'C&amp;E'!A128+CES!A128+LLT!A128+GB!A128</f>
        <v>0</v>
      </c>
      <c r="B128" s="81"/>
      <c r="C128" s="81"/>
      <c r="D128" s="82"/>
      <c r="E128" s="86"/>
      <c r="F128" s="86"/>
      <c r="G128" s="86"/>
      <c r="H128" s="86"/>
      <c r="I128" s="87"/>
      <c r="J128" s="122"/>
      <c r="K128" s="82"/>
      <c r="L128" s="81"/>
      <c r="M128" s="81"/>
      <c r="N128" s="82"/>
      <c r="O128" s="86"/>
      <c r="P128" s="86"/>
      <c r="Q128" s="86"/>
      <c r="R128" s="86"/>
      <c r="S128" s="87"/>
    </row>
    <row r="129" spans="1:19" x14ac:dyDescent="0.3">
      <c r="A129" s="4">
        <f>CEO!A129+CS!A129+CFO!A129+LLA!A129+'C&amp;E'!A129+CES!A129+LLT!A129+GB!A129</f>
        <v>4249386.2842691662</v>
      </c>
      <c r="B129" s="4">
        <f>B112+B127</f>
        <v>4132837.92</v>
      </c>
      <c r="C129" s="4">
        <f t="shared" ref="C129:I129" si="21">C112+C127</f>
        <v>4755755.34</v>
      </c>
      <c r="D129" s="4">
        <f t="shared" si="21"/>
        <v>3890268.12</v>
      </c>
      <c r="E129" s="4">
        <f t="shared" si="21"/>
        <v>4272682.49</v>
      </c>
      <c r="F129" s="4">
        <f t="shared" si="21"/>
        <v>3892757.9400000004</v>
      </c>
      <c r="G129" s="4">
        <f>G112+G127</f>
        <v>4599809.5999999987</v>
      </c>
      <c r="H129" s="4">
        <f t="shared" si="21"/>
        <v>0</v>
      </c>
      <c r="I129" s="4">
        <f t="shared" si="21"/>
        <v>0</v>
      </c>
      <c r="J129" s="13" t="s">
        <v>186</v>
      </c>
      <c r="K129" s="4">
        <f>K112+K127</f>
        <v>2864595.8600000003</v>
      </c>
      <c r="L129" s="4">
        <f>L112+L127</f>
        <v>4132837.92</v>
      </c>
      <c r="M129" s="4">
        <f t="shared" ref="M129:P129" si="22">M112+M127</f>
        <v>4755755.34</v>
      </c>
      <c r="N129" s="4">
        <f t="shared" si="22"/>
        <v>3890268.12</v>
      </c>
      <c r="O129" s="4">
        <f t="shared" si="22"/>
        <v>4272682.49</v>
      </c>
      <c r="P129" s="4">
        <f t="shared" si="22"/>
        <v>3892757.9400000004</v>
      </c>
      <c r="Q129" s="4">
        <f>Q112+Q127</f>
        <v>4599809.5999999987</v>
      </c>
      <c r="R129" s="4">
        <f t="shared" ref="R129:S129" si="23">R112+R127</f>
        <v>0</v>
      </c>
      <c r="S129" s="4">
        <f t="shared" si="23"/>
        <v>0</v>
      </c>
    </row>
    <row r="130" spans="1:19" x14ac:dyDescent="0.3">
      <c r="A130" s="81"/>
      <c r="B130" s="81"/>
      <c r="C130" s="81"/>
      <c r="D130" s="82"/>
      <c r="E130" s="81"/>
      <c r="F130" s="81"/>
      <c r="G130" s="81"/>
      <c r="H130" s="81"/>
      <c r="I130" s="87"/>
      <c r="J130" s="122"/>
      <c r="K130" s="81"/>
      <c r="L130" s="81"/>
      <c r="M130" s="81"/>
      <c r="N130" s="82"/>
      <c r="O130" s="81"/>
      <c r="P130" s="81"/>
      <c r="Q130" s="81"/>
      <c r="R130" s="81"/>
      <c r="S130" s="87"/>
    </row>
  </sheetData>
  <mergeCells count="3">
    <mergeCell ref="A3:I3"/>
    <mergeCell ref="J4:J5"/>
    <mergeCell ref="K3:S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S180"/>
  <sheetViews>
    <sheetView topLeftCell="A100" zoomScale="60" zoomScaleNormal="60" workbookViewId="0">
      <selection activeCell="N114" sqref="N114"/>
    </sheetView>
  </sheetViews>
  <sheetFormatPr defaultColWidth="9.109375" defaultRowHeight="14.4" x14ac:dyDescent="0.3"/>
  <cols>
    <col min="1" max="2" width="13.6640625" style="107" bestFit="1" customWidth="1"/>
    <col min="3" max="3" width="14.5546875" style="107" bestFit="1" customWidth="1"/>
    <col min="4" max="4" width="13.6640625" style="108" bestFit="1" customWidth="1"/>
    <col min="5" max="5" width="14.5546875" style="78" bestFit="1" customWidth="1"/>
    <col min="6" max="7" width="13.6640625" style="78" bestFit="1" customWidth="1"/>
    <col min="8" max="8" width="14.33203125" style="78" bestFit="1" customWidth="1"/>
    <col min="9" max="9" width="13.6640625" style="77" bestFit="1" customWidth="1"/>
    <col min="10" max="10" width="13.6640625" style="78" bestFit="1" customWidth="1"/>
    <col min="11" max="12" width="13.6640625" style="79" bestFit="1" customWidth="1"/>
    <col min="13" max="13" width="64.5546875" style="121" customWidth="1"/>
    <col min="14" max="14" width="20.33203125" style="107" customWidth="1"/>
    <col min="15" max="15" width="27.44140625" style="107" customWidth="1"/>
    <col min="16" max="19" width="20.33203125" style="107" customWidth="1"/>
    <col min="20" max="16384" width="9.109375" style="167"/>
  </cols>
  <sheetData>
    <row r="1" spans="1:19" ht="17.399999999999999" x14ac:dyDescent="0.3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407" t="s">
        <v>248</v>
      </c>
      <c r="N1" s="407"/>
      <c r="O1" s="237"/>
      <c r="P1" s="237"/>
      <c r="Q1" s="237"/>
      <c r="R1" s="237"/>
      <c r="S1" s="237"/>
    </row>
    <row r="2" spans="1:19" ht="24.6" hidden="1" customHeight="1" x14ac:dyDescent="0.4">
      <c r="A2" s="75"/>
      <c r="B2" s="75"/>
      <c r="C2" s="75"/>
      <c r="D2" s="76"/>
      <c r="E2" s="75"/>
      <c r="F2" s="75"/>
      <c r="G2" s="75"/>
      <c r="H2" s="75"/>
      <c r="M2" s="120" t="s">
        <v>68</v>
      </c>
      <c r="N2" s="75"/>
      <c r="O2" s="75"/>
      <c r="P2" s="75"/>
      <c r="Q2" s="75"/>
      <c r="R2" s="75"/>
      <c r="S2" s="75"/>
    </row>
    <row r="3" spans="1:19" ht="17.399999999999999" customHeight="1" x14ac:dyDescent="0.3">
      <c r="A3" s="408" t="s">
        <v>231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14" t="s">
        <v>69</v>
      </c>
      <c r="N3" s="424" t="s">
        <v>226</v>
      </c>
      <c r="O3" s="425"/>
      <c r="P3" s="425"/>
      <c r="Q3" s="425"/>
      <c r="R3" s="425"/>
      <c r="S3" s="167"/>
    </row>
    <row r="4" spans="1:19" ht="18.600000000000001" customHeight="1" x14ac:dyDescent="0.3">
      <c r="A4" s="125">
        <v>43556</v>
      </c>
      <c r="B4" s="125">
        <v>43586</v>
      </c>
      <c r="C4" s="125">
        <v>43617</v>
      </c>
      <c r="D4" s="125">
        <v>43647</v>
      </c>
      <c r="E4" s="125">
        <v>43678</v>
      </c>
      <c r="F4" s="125">
        <v>43709</v>
      </c>
      <c r="G4" s="125">
        <v>43739</v>
      </c>
      <c r="H4" s="125">
        <v>43770</v>
      </c>
      <c r="I4" s="125">
        <v>43800</v>
      </c>
      <c r="J4" s="125">
        <v>43831</v>
      </c>
      <c r="K4" s="125">
        <v>43862</v>
      </c>
      <c r="L4" s="125">
        <v>43891</v>
      </c>
      <c r="M4" s="395" t="s">
        <v>230</v>
      </c>
      <c r="N4" s="125" t="s">
        <v>298</v>
      </c>
      <c r="O4" s="125" t="s">
        <v>285</v>
      </c>
      <c r="P4" s="125" t="s">
        <v>18</v>
      </c>
      <c r="Q4" s="125" t="s">
        <v>235</v>
      </c>
      <c r="R4" s="125" t="s">
        <v>228</v>
      </c>
      <c r="S4" s="125" t="s">
        <v>229</v>
      </c>
    </row>
    <row r="5" spans="1:19" ht="32.4" customHeight="1" x14ac:dyDescent="0.3">
      <c r="A5" s="10" t="s">
        <v>2</v>
      </c>
      <c r="B5" s="10" t="s">
        <v>2</v>
      </c>
      <c r="C5" s="10" t="s">
        <v>2</v>
      </c>
      <c r="D5" s="10" t="s">
        <v>2</v>
      </c>
      <c r="E5" s="10" t="s">
        <v>2</v>
      </c>
      <c r="F5" s="10" t="s">
        <v>2</v>
      </c>
      <c r="G5" s="10" t="s">
        <v>2</v>
      </c>
      <c r="H5" s="10" t="s">
        <v>2</v>
      </c>
      <c r="I5" s="10" t="s">
        <v>2</v>
      </c>
      <c r="J5" s="10" t="s">
        <v>1</v>
      </c>
      <c r="K5" s="10" t="s">
        <v>1</v>
      </c>
      <c r="L5" s="10" t="s">
        <v>1</v>
      </c>
      <c r="M5" s="396"/>
      <c r="N5" s="10" t="s">
        <v>299</v>
      </c>
      <c r="O5" s="10" t="s">
        <v>1</v>
      </c>
      <c r="P5" s="289" t="s">
        <v>329</v>
      </c>
      <c r="Q5" s="289" t="s">
        <v>241</v>
      </c>
      <c r="R5" s="10"/>
      <c r="S5" s="10"/>
    </row>
    <row r="6" spans="1:19" ht="3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24"/>
      <c r="N6" s="1"/>
      <c r="O6" s="1"/>
      <c r="P6" s="1"/>
      <c r="Q6" s="1"/>
      <c r="R6" s="1"/>
      <c r="S6" s="1"/>
    </row>
    <row r="7" spans="1:19" x14ac:dyDescent="0.3">
      <c r="A7" s="8">
        <f>CEO!A7+CS!A7+CFO!A7+LLA!A7+'C&amp;E'!A7+CES!A7+LLT!A7+GB!A7</f>
        <v>0</v>
      </c>
      <c r="B7" s="8">
        <f>CEO!B7+CS!B7+CFO!B7+LLA!B7+'C&amp;E'!B7+CES!B7+LLT!B7+GB!B7</f>
        <v>60109.515933333336</v>
      </c>
      <c r="C7" s="8">
        <f>CEO!C7+CS!C7+CFO!C7+LLA!C7+'C&amp;E'!C7+CES!C7+LLT!C7+GB!C7</f>
        <v>0</v>
      </c>
      <c r="D7" s="8">
        <f>CEO!D7+CS!D7+CFO!D7+LLA!D7+'C&amp;E'!D7+CES!D7+LLT!D7+GB!D7</f>
        <v>60109.515933333336</v>
      </c>
      <c r="E7" s="8">
        <f>CEO!E7+CS!E7+CFO!E7+LLA!E7+'C&amp;E'!E7+CES!E7+LLT!E7+GB!E7</f>
        <v>0</v>
      </c>
      <c r="F7" s="8">
        <f>CEO!F7+CS!F7+CFO!F7+LLA!F7+'C&amp;E'!F7+CES!F7+LLT!F7+GB!F7</f>
        <v>0</v>
      </c>
      <c r="G7" s="8">
        <f>CEO!G7+CS!G7+CFO!G7+LLA!G7+'C&amp;E'!G7+CES!G7+LLT!G7+GB!G7</f>
        <v>60109.515933333336</v>
      </c>
      <c r="H7" s="8">
        <f>CEO!H7+CS!H7+CFO!H7+LLA!H7+'C&amp;E'!H7+CES!H7+LLT!H7+GB!H7</f>
        <v>60109.515933333336</v>
      </c>
      <c r="I7" s="8">
        <f>CEO!I7+CS!I7+CFO!I7+LLA!I7+'C&amp;E'!I7+CES!I7+LLT!I7+GB!I7</f>
        <v>0</v>
      </c>
      <c r="J7" s="8">
        <f>CEO!J7+CS!J7+CFO!J7+LLA!J7+'C&amp;E'!J7+CES!J7+LLT!J7+GB!J7</f>
        <v>60109.515933333336</v>
      </c>
      <c r="K7" s="8">
        <f>CEO!K7+CS!K7+CFO!K7+LLA!K7+'C&amp;E'!K7+CES!K7+LLT!K7+GB!K7</f>
        <v>0</v>
      </c>
      <c r="L7" s="8">
        <f>CEO!L7+CS!L7+CFO!L7+LLA!L7+'C&amp;E'!L7+CES!L7+LLT!L7+GB!L7</f>
        <v>60109.515933333336</v>
      </c>
      <c r="M7" s="238" t="s">
        <v>77</v>
      </c>
      <c r="N7" s="8">
        <f>SUM(A7:I7)</f>
        <v>240438.06373333334</v>
      </c>
      <c r="O7" s="8">
        <f>SUM(J7:L7)</f>
        <v>120219.03186666667</v>
      </c>
      <c r="P7" s="8">
        <f>SUM(N7:O7)</f>
        <v>360657.0956</v>
      </c>
      <c r="Q7" s="8">
        <v>349302.20246999996</v>
      </c>
      <c r="R7" s="8">
        <f>P7-Q7</f>
        <v>11354.89313000004</v>
      </c>
      <c r="S7" s="8"/>
    </row>
    <row r="8" spans="1:19" x14ac:dyDescent="0.3">
      <c r="A8" s="7">
        <f>CEO!A8+CS!A8+CFO!A8+LLA!A8+'C&amp;E'!A8+CES!A8+LLT!A8+GB!A8</f>
        <v>2610331.1068600002</v>
      </c>
      <c r="B8" s="7">
        <f>CEO!B8+CS!B8+CFO!B8+LLA!B8+'C&amp;E'!B8+CES!B8+LLT!B8+GB!B8</f>
        <v>2655397.64817724</v>
      </c>
      <c r="C8" s="7">
        <f>CEO!C8+CS!C8+CFO!C8+LLA!C8+'C&amp;E'!C8+CES!C8+LLT!C8+GB!C8</f>
        <v>2791140.8284950005</v>
      </c>
      <c r="D8" s="7">
        <f>CEO!D8+CS!D8+CFO!D8+LLA!D8+'C&amp;E'!D8+CES!D8+LLT!D8+GB!D8</f>
        <v>2791140.8284950005</v>
      </c>
      <c r="E8" s="7">
        <f>CEO!E8+CS!E8+CFO!E8+LLA!E8+'C&amp;E'!E8+CES!E8+LLT!E8+GB!E8</f>
        <v>2791140.8284950005</v>
      </c>
      <c r="F8" s="7">
        <f>CEO!F8+CS!F8+CFO!F8+LLA!F8+'C&amp;E'!F8+CES!F8+LLT!F8+GB!F8</f>
        <v>2791140.8284950005</v>
      </c>
      <c r="G8" s="7">
        <f>CEO!G8+CS!G8+CFO!G8+LLA!G8+'C&amp;E'!G8+CES!G8+LLT!G8+GB!G8</f>
        <v>2791140.8284950005</v>
      </c>
      <c r="H8" s="7">
        <f>CEO!H8+CS!H8+CFO!H8+LLA!H8+'C&amp;E'!H8+CES!H8+LLT!H8+GB!H8</f>
        <v>2791140.8284950005</v>
      </c>
      <c r="I8" s="7">
        <f>CEO!I8+CS!I8+CFO!I8+LLA!I8+'C&amp;E'!I8+CES!I8+LLT!I8+GB!I8</f>
        <v>2791140.8284950005</v>
      </c>
      <c r="J8" s="7">
        <f>CEO!J8+CS!J8+CFO!J8+LLA!J8+'C&amp;E'!J8+CES!J8+LLT!J8+GB!J8</f>
        <v>2791140.8284950005</v>
      </c>
      <c r="K8" s="7">
        <f>CEO!K8+CS!K8+CFO!K8+LLA!K8+'C&amp;E'!K8+CES!K8+LLT!K8+GB!K8</f>
        <v>2791140.8284950005</v>
      </c>
      <c r="L8" s="7">
        <f>CEO!L8+CS!L8+CFO!L8+LLA!L8+'C&amp;E'!L8+CES!L8+LLT!L8+GB!L8</f>
        <v>2638715.7084950004</v>
      </c>
      <c r="M8" s="13" t="s">
        <v>78</v>
      </c>
      <c r="N8" s="7">
        <f t="shared" ref="N8:N16" si="0">SUM(A8:I8)</f>
        <v>24803714.554502241</v>
      </c>
      <c r="O8" s="7">
        <f t="shared" ref="O8:O71" si="1">SUM(J8:L8)</f>
        <v>8220997.3654850014</v>
      </c>
      <c r="P8" s="7">
        <f t="shared" ref="P8:P71" si="2">SUM(N8:O8)</f>
        <v>33024711.919987243</v>
      </c>
      <c r="Q8" s="7">
        <v>28812420.57006</v>
      </c>
      <c r="R8" s="7">
        <f t="shared" ref="R8:R71" si="3">P8-Q8</f>
        <v>4212291.3499272428</v>
      </c>
      <c r="S8" s="7"/>
    </row>
    <row r="9" spans="1:19" x14ac:dyDescent="0.3">
      <c r="A9" s="7">
        <f>CEO!A9+CS!A9+CFO!A9+LLA!A9+'C&amp;E'!A9+CES!A9+LLT!A9+GB!A9</f>
        <v>0</v>
      </c>
      <c r="B9" s="7">
        <f>CEO!B9+CS!B9+CFO!B9+LLA!B9+'C&amp;E'!B9+CES!B9+LLT!B9+GB!B9</f>
        <v>0</v>
      </c>
      <c r="C9" s="7">
        <f>CEO!C9+CS!C9+CFO!C9+LLA!C9+'C&amp;E'!C9+CES!C9+LLT!C9+GB!C9</f>
        <v>0</v>
      </c>
      <c r="D9" s="7">
        <f>CEO!D9+CS!D9+CFO!D9+LLA!D9+'C&amp;E'!D9+CES!D9+LLT!D9+GB!D9</f>
        <v>0</v>
      </c>
      <c r="E9" s="7">
        <f>CEO!E9+CS!E9+CFO!E9+LLA!E9+'C&amp;E'!E9+CES!E9+LLT!E9+GB!E9</f>
        <v>0</v>
      </c>
      <c r="F9" s="7">
        <f>CEO!F9+CS!F9+CFO!F9+LLA!F9+'C&amp;E'!F9+CES!F9+LLT!F9+GB!F9</f>
        <v>0</v>
      </c>
      <c r="G9" s="7">
        <f>CEO!G9+CS!G9+CFO!G9+LLA!G9+'C&amp;E'!G9+CES!G9+LLT!G9+GB!G9</f>
        <v>0</v>
      </c>
      <c r="H9" s="7">
        <f>CEO!H9+CS!H9+CFO!H9+LLA!H9+'C&amp;E'!H9+CES!H9+LLT!H9+GB!H9</f>
        <v>0</v>
      </c>
      <c r="I9" s="7">
        <f>CEO!I9+CS!I9+CFO!I9+LLA!I9+'C&amp;E'!I9+CES!I9+LLT!I9+GB!I9</f>
        <v>0</v>
      </c>
      <c r="J9" s="7">
        <f>CEO!J9+CS!J9+CFO!J9+LLA!J9+'C&amp;E'!J9+CES!J9+LLT!J9+GB!J9</f>
        <v>0</v>
      </c>
      <c r="K9" s="7">
        <f>CEO!K9+CS!K9+CFO!K9+LLA!K9+'C&amp;E'!K9+CES!K9+LLT!K9+GB!K9</f>
        <v>0</v>
      </c>
      <c r="L9" s="7">
        <f>CEO!L9+CS!L9+CFO!L9+LLA!L9+'C&amp;E'!L9+CES!L9+LLT!L9+GB!L9</f>
        <v>43789.632000000005</v>
      </c>
      <c r="M9" s="13" t="s">
        <v>80</v>
      </c>
      <c r="N9" s="7">
        <f t="shared" si="0"/>
        <v>0</v>
      </c>
      <c r="O9" s="7">
        <f t="shared" si="1"/>
        <v>43789.632000000005</v>
      </c>
      <c r="P9" s="7">
        <f t="shared" si="2"/>
        <v>43789.632000000005</v>
      </c>
      <c r="Q9" s="7">
        <v>41783.880555983997</v>
      </c>
      <c r="R9" s="7">
        <f t="shared" si="3"/>
        <v>2005.7514440160085</v>
      </c>
      <c r="S9" s="7"/>
    </row>
    <row r="10" spans="1:19" x14ac:dyDescent="0.3">
      <c r="A10" s="7">
        <f>CEO!A10+CS!A10+CFO!A10+LLA!A10+'C&amp;E'!A10+CES!A10+LLT!A10+GB!A10</f>
        <v>0</v>
      </c>
      <c r="B10" s="7">
        <f>CEO!B10+CS!B10+CFO!B10+LLA!B10+'C&amp;E'!B10+CES!B10+LLT!B10+GB!B10</f>
        <v>9432.509909639999</v>
      </c>
      <c r="C10" s="7">
        <f>CEO!C10+CS!C10+CFO!C10+LLA!C10+'C&amp;E'!C10+CES!C10+LLT!C10+GB!C10</f>
        <v>0</v>
      </c>
      <c r="D10" s="7">
        <f>CEO!D10+CS!D10+CFO!D10+LLA!D10+'C&amp;E'!D10+CES!D10+LLT!D10+GB!D10</f>
        <v>9432.509909639999</v>
      </c>
      <c r="E10" s="7">
        <f>CEO!E10+CS!E10+CFO!E10+LLA!E10+'C&amp;E'!E10+CES!E10+LLT!E10+GB!E10</f>
        <v>0</v>
      </c>
      <c r="F10" s="7">
        <f>CEO!F10+CS!F10+CFO!F10+LLA!F10+'C&amp;E'!F10+CES!F10+LLT!F10+GB!F10</f>
        <v>0</v>
      </c>
      <c r="G10" s="7">
        <f>CEO!G10+CS!G10+CFO!G10+LLA!G10+'C&amp;E'!G10+CES!G10+LLT!G10+GB!G10</f>
        <v>9432.509909639999</v>
      </c>
      <c r="H10" s="7">
        <f>CEO!H10+CS!H10+CFO!H10+LLA!H10+'C&amp;E'!H10+CES!H10+LLT!H10+GB!H10</f>
        <v>9432.509909639999</v>
      </c>
      <c r="I10" s="7">
        <f>CEO!I10+CS!I10+CFO!I10+LLA!I10+'C&amp;E'!I10+CES!I10+LLT!I10+GB!I10</f>
        <v>0</v>
      </c>
      <c r="J10" s="7">
        <f>CEO!J10+CS!J10+CFO!J10+LLA!J10+'C&amp;E'!J10+CES!J10+LLT!J10+GB!J10</f>
        <v>9432.509909639999</v>
      </c>
      <c r="K10" s="7">
        <f>CEO!K10+CS!K10+CFO!K10+LLA!K10+'C&amp;E'!K10+CES!K10+LLT!K10+GB!K10</f>
        <v>0</v>
      </c>
      <c r="L10" s="7">
        <f>CEO!L10+CS!L10+CFO!L10+LLA!L10+'C&amp;E'!L10+CES!L10+LLT!L10+GB!L10</f>
        <v>9432.509909639999</v>
      </c>
      <c r="M10" s="13" t="s">
        <v>81</v>
      </c>
      <c r="N10" s="7">
        <f t="shared" si="0"/>
        <v>37730.039638559996</v>
      </c>
      <c r="O10" s="7">
        <f t="shared" si="1"/>
        <v>18865.019819279998</v>
      </c>
      <c r="P10" s="7">
        <f t="shared" si="2"/>
        <v>56595.059457839991</v>
      </c>
      <c r="Q10" s="7">
        <v>53291.919329999997</v>
      </c>
      <c r="R10" s="7">
        <f t="shared" si="3"/>
        <v>3303.1401278399935</v>
      </c>
      <c r="S10" s="7"/>
    </row>
    <row r="11" spans="1:19" x14ac:dyDescent="0.3">
      <c r="A11" s="7">
        <f>CEO!A11+CS!A11+CFO!A11+LLA!A11+'C&amp;E'!A11+CES!A11+LLT!A11+GB!A11</f>
        <v>0</v>
      </c>
      <c r="B11" s="7">
        <f>CEO!B11+CS!B11+CFO!B11+LLA!B11+'C&amp;E'!B11+CES!B11+LLT!B11+GB!B11</f>
        <v>0</v>
      </c>
      <c r="C11" s="7">
        <f>CEO!C11+CS!C11+CFO!C11+LLA!C11+'C&amp;E'!C11+CES!C11+LLT!C11+GB!C11</f>
        <v>0</v>
      </c>
      <c r="D11" s="7">
        <f>CEO!D11+CS!D11+CFO!D11+LLA!D11+'C&amp;E'!D11+CES!D11+LLT!D11+GB!D11</f>
        <v>0</v>
      </c>
      <c r="E11" s="7">
        <f>CEO!E11+CS!E11+CFO!E11+LLA!E11+'C&amp;E'!E11+CES!E11+LLT!E11+GB!E11</f>
        <v>0</v>
      </c>
      <c r="F11" s="7">
        <f>CEO!F11+CS!F11+CFO!F11+LLA!F11+'C&amp;E'!F11+CES!F11+LLT!F11+GB!F11</f>
        <v>0</v>
      </c>
      <c r="G11" s="7">
        <f>CEO!G11+CS!G11+CFO!G11+LLA!G11+'C&amp;E'!G11+CES!G11+LLT!G11+GB!G11</f>
        <v>0</v>
      </c>
      <c r="H11" s="7">
        <f>CEO!H11+CS!H11+CFO!H11+LLA!H11+'C&amp;E'!H11+CES!H11+LLT!H11+GB!H11</f>
        <v>0</v>
      </c>
      <c r="I11" s="7">
        <f>CEO!I11+CS!I11+CFO!I11+LLA!I11+'C&amp;E'!I11+CES!I11+LLT!I11+GB!I11</f>
        <v>0</v>
      </c>
      <c r="J11" s="7">
        <f>CEO!J11+CS!J11+CFO!J11+LLA!J11+'C&amp;E'!J11+CES!J11+LLT!J11+GB!J11</f>
        <v>0</v>
      </c>
      <c r="K11" s="7">
        <f>CEO!K11+CS!K11+CFO!K11+LLA!K11+'C&amp;E'!K11+CES!K11+LLT!K11+GB!K11</f>
        <v>0</v>
      </c>
      <c r="L11" s="7">
        <f>CEO!L11+CS!L11+CFO!L11+LLA!L11+'C&amp;E'!L11+CES!L11+LLT!L11+GB!L11</f>
        <v>0</v>
      </c>
      <c r="M11" s="13" t="s">
        <v>82</v>
      </c>
      <c r="N11" s="7">
        <f t="shared" si="0"/>
        <v>0</v>
      </c>
      <c r="O11" s="7">
        <f t="shared" si="1"/>
        <v>0</v>
      </c>
      <c r="P11" s="7">
        <f t="shared" si="2"/>
        <v>0</v>
      </c>
      <c r="Q11" s="7">
        <v>710.55892440000014</v>
      </c>
      <c r="R11" s="7">
        <f t="shared" si="3"/>
        <v>-710.55892440000014</v>
      </c>
      <c r="S11" s="7"/>
    </row>
    <row r="12" spans="1:19" x14ac:dyDescent="0.3">
      <c r="A12" s="7">
        <f>CEO!A12+CS!A12+CFO!A12+LLA!A12+'C&amp;E'!A12+CES!A12+LLT!A12+GB!A12</f>
        <v>24881.540460159998</v>
      </c>
      <c r="B12" s="7">
        <f>CEO!B12+CS!B12+CFO!B12+LLA!B12+'C&amp;E'!B12+CES!B12+LLT!B12+GB!B12</f>
        <v>24881.540460159998</v>
      </c>
      <c r="C12" s="7">
        <f>CEO!C12+CS!C12+CFO!C12+LLA!C12+'C&amp;E'!C12+CES!C12+LLT!C12+GB!C12</f>
        <v>25910.2360696</v>
      </c>
      <c r="D12" s="7">
        <f>CEO!D12+CS!D12+CFO!D12+LLA!D12+'C&amp;E'!D12+CES!D12+LLT!D12+GB!D12</f>
        <v>25910.2360696</v>
      </c>
      <c r="E12" s="7">
        <f>CEO!E12+CS!E12+CFO!E12+LLA!E12+'C&amp;E'!E12+CES!E12+LLT!E12+GB!E12</f>
        <v>25910.2360696</v>
      </c>
      <c r="F12" s="7">
        <f>CEO!F12+CS!F12+CFO!F12+LLA!F12+'C&amp;E'!F12+CES!F12+LLT!F12+GB!F12</f>
        <v>25910.2360696</v>
      </c>
      <c r="G12" s="7">
        <f>CEO!G12+CS!G12+CFO!G12+LLA!G12+'C&amp;E'!G12+CES!G12+LLT!G12+GB!G12</f>
        <v>25910.2360696</v>
      </c>
      <c r="H12" s="7">
        <f>CEO!H12+CS!H12+CFO!H12+LLA!H12+'C&amp;E'!H12+CES!H12+LLT!H12+GB!H12</f>
        <v>25910.2360696</v>
      </c>
      <c r="I12" s="7">
        <f>CEO!I12+CS!I12+CFO!I12+LLA!I12+'C&amp;E'!I12+CES!I12+LLT!I12+GB!I12</f>
        <v>25910.2360696</v>
      </c>
      <c r="J12" s="7">
        <f>CEO!J12+CS!J12+CFO!J12+LLA!J12+'C&amp;E'!J12+CES!J12+LLT!J12+GB!J12</f>
        <v>25910.2360696</v>
      </c>
      <c r="K12" s="7">
        <f>CEO!K12+CS!K12+CFO!K12+LLA!K12+'C&amp;E'!K12+CES!K12+LLT!K12+GB!K12</f>
        <v>25910.2360696</v>
      </c>
      <c r="L12" s="7">
        <f>CEO!L12+CS!L12+CFO!L12+LLA!L12+'C&amp;E'!L12+CES!L12+LLT!L12+GB!L12</f>
        <v>25910.2360696</v>
      </c>
      <c r="M12" s="13" t="s">
        <v>83</v>
      </c>
      <c r="N12" s="7">
        <f t="shared" si="0"/>
        <v>231134.73340752002</v>
      </c>
      <c r="O12" s="7">
        <f t="shared" si="1"/>
        <v>77730.708208800002</v>
      </c>
      <c r="P12" s="7">
        <f t="shared" si="2"/>
        <v>308865.44161632005</v>
      </c>
      <c r="Q12" s="7">
        <v>268468.88491799997</v>
      </c>
      <c r="R12" s="7">
        <f t="shared" si="3"/>
        <v>40396.556698320084</v>
      </c>
      <c r="S12" s="7"/>
    </row>
    <row r="13" spans="1:19" x14ac:dyDescent="0.3">
      <c r="A13" s="7">
        <f>CEO!A13+CS!A13+CFO!A13+LLA!A13+'C&amp;E'!A13+CES!A13+LLT!A13+GB!A13</f>
        <v>5735.0437600000005</v>
      </c>
      <c r="B13" s="7">
        <f>CEO!B13+CS!B13+CFO!B13+LLA!B13+'C&amp;E'!B13+CES!B13+LLT!B13+GB!B13</f>
        <v>4372.7590399999999</v>
      </c>
      <c r="C13" s="7">
        <f>CEO!C13+CS!C13+CFO!C13+LLA!C13+'C&amp;E'!C13+CES!C13+LLT!C13+GB!C13</f>
        <v>28424.652480000001</v>
      </c>
      <c r="D13" s="7">
        <f>CEO!D13+CS!D13+CFO!D13+LLA!D13+'C&amp;E'!D13+CES!D13+LLT!D13+GB!D13</f>
        <v>17272.37096</v>
      </c>
      <c r="E13" s="7">
        <f>CEO!E13+CS!E13+CFO!E13+LLA!E13+'C&amp;E'!E13+CES!E13+LLT!E13+GB!E13</f>
        <v>12462.333920000001</v>
      </c>
      <c r="F13" s="7">
        <f>CEO!F13+CS!F13+CFO!F13+LLA!F13+'C&amp;E'!F13+CES!F13+LLT!F13+GB!F13</f>
        <v>9073.4477600000009</v>
      </c>
      <c r="G13" s="7">
        <f>CEO!G13+CS!G13+CFO!G13+LLA!G13+'C&amp;E'!G13+CES!G13+LLT!G13+GB!G13</f>
        <v>8417.5569600000017</v>
      </c>
      <c r="H13" s="7">
        <f>CEO!H13+CS!H13+CFO!H13+LLA!H13+'C&amp;E'!H13+CES!H13+LLT!H13+GB!H13</f>
        <v>0</v>
      </c>
      <c r="I13" s="7">
        <f>CEO!I13+CS!I13+CFO!I13+LLA!I13+'C&amp;E'!I13+CES!I13+LLT!I13+GB!I13</f>
        <v>20169.315439999998</v>
      </c>
      <c r="J13" s="7">
        <f>CEO!J13+CS!J13+CFO!J13+LLA!J13+'C&amp;E'!J13+CES!J13+LLT!J13+GB!J13</f>
        <v>24104.775520000003</v>
      </c>
      <c r="K13" s="7">
        <f>CEO!K13+CS!K13+CFO!K13+LLA!K13+'C&amp;E'!K13+CES!K13+LLT!K13+GB!K13</f>
        <v>24104</v>
      </c>
      <c r="L13" s="7">
        <f>CEO!L13+CS!L13+CFO!L13+LLA!L13+'C&amp;E'!L13+CES!L13+LLT!L13+GB!L13</f>
        <v>24647.974880000002</v>
      </c>
      <c r="M13" s="13" t="s">
        <v>84</v>
      </c>
      <c r="N13" s="7">
        <f t="shared" si="0"/>
        <v>105927.48032</v>
      </c>
      <c r="O13" s="7">
        <f t="shared" si="1"/>
        <v>72856.750400000004</v>
      </c>
      <c r="P13" s="7">
        <f t="shared" si="2"/>
        <v>178784.23071999999</v>
      </c>
      <c r="Q13" s="7">
        <v>50000</v>
      </c>
      <c r="R13" s="7">
        <f t="shared" si="3"/>
        <v>128784.23071999999</v>
      </c>
      <c r="S13" s="7"/>
    </row>
    <row r="14" spans="1:19" x14ac:dyDescent="0.3">
      <c r="A14" s="7">
        <f>CEO!A14+CS!A14+CFO!A14+LLA!A14+'C&amp;E'!A14+CES!A14+LLT!A14+GB!A14</f>
        <v>0</v>
      </c>
      <c r="B14" s="7">
        <f>CEO!B14+CS!B14+CFO!B14+LLA!B14+'C&amp;E'!B14+CES!B14+LLT!B14+GB!B14</f>
        <v>0</v>
      </c>
      <c r="C14" s="7">
        <f>CEO!C14+CS!C14+CFO!C14+LLA!C14+'C&amp;E'!C14+CES!C14+LLT!C14+GB!C14</f>
        <v>0</v>
      </c>
      <c r="D14" s="7">
        <f>CEO!D14+CS!D14+CFO!D14+LLA!D14+'C&amp;E'!D14+CES!D14+LLT!D14+GB!D14</f>
        <v>0</v>
      </c>
      <c r="E14" s="7">
        <f>CEO!E14+CS!E14+CFO!E14+LLA!E14+'C&amp;E'!E14+CES!E14+LLT!E14+GB!E14</f>
        <v>0</v>
      </c>
      <c r="F14" s="7">
        <f>CEO!F14+CS!F14+CFO!F14+LLA!F14+'C&amp;E'!F14+CES!F14+LLT!F14+GB!F14</f>
        <v>0</v>
      </c>
      <c r="G14" s="7">
        <f>CEO!G14+CS!G14+CFO!G14+LLA!G14+'C&amp;E'!G14+CES!G14+LLT!G14+GB!G14</f>
        <v>0</v>
      </c>
      <c r="H14" s="7" t="e">
        <f>CEO!H14+CS!H14+CFO!H14+LLA!H14+'C&amp;E'!#REF!+CES!H14+LLT!H14+GB!H14</f>
        <v>#REF!</v>
      </c>
      <c r="I14" s="7">
        <f>CEO!I14+CS!I14+CFO!I14+LLA!I14+'C&amp;E'!I14+CES!I14+LLT!I14+GB!I14</f>
        <v>0</v>
      </c>
      <c r="J14" s="7">
        <f>CEO!J14+CS!J14+CFO!J14+LLA!J14+'C&amp;E'!J14+CES!J14+LLT!J14+GB!J14</f>
        <v>0</v>
      </c>
      <c r="K14" s="7">
        <f>CEO!K14+CS!K14+CFO!K14+LLA!K14+'C&amp;E'!K14+CES!K14+LLT!K14+GB!K14</f>
        <v>0</v>
      </c>
      <c r="L14" s="7">
        <f>CEO!L14+CS!L14+CFO!L14+LLA!L14+'C&amp;E'!L14+CES!L14+LLT!L14+GB!L14</f>
        <v>0</v>
      </c>
      <c r="M14" s="13" t="s">
        <v>86</v>
      </c>
      <c r="N14" s="7" t="e">
        <f t="shared" si="0"/>
        <v>#REF!</v>
      </c>
      <c r="O14" s="7">
        <f t="shared" si="1"/>
        <v>0</v>
      </c>
      <c r="P14" s="7" t="e">
        <f t="shared" si="2"/>
        <v>#REF!</v>
      </c>
      <c r="Q14" s="7">
        <v>2004342.300525913</v>
      </c>
      <c r="R14" s="7" t="e">
        <f t="shared" si="3"/>
        <v>#REF!</v>
      </c>
      <c r="S14" s="7"/>
    </row>
    <row r="15" spans="1:19" x14ac:dyDescent="0.3">
      <c r="A15" s="7">
        <f>CEO!A15+CS!A15+CFO!A15+LLA!A15+'C&amp;E'!A15+CES!A15+LLT!A15+GB!A15</f>
        <v>0</v>
      </c>
      <c r="B15" s="7">
        <f>CEO!B15+CS!B15+CFO!B15+LLA!B15+'C&amp;E'!B15+CES!B15+LLT!B15+GB!B15</f>
        <v>6288</v>
      </c>
      <c r="C15" s="7">
        <f>CEO!C15+CS!C15+CFO!C15+LLA!C15+'C&amp;E'!C15+CES!C15+LLT!C15+GB!C15</f>
        <v>0</v>
      </c>
      <c r="D15" s="7">
        <f>CEO!D15+CS!D15+CFO!D15+LLA!D15+'C&amp;E'!D15+CES!D15+LLT!D15+GB!D15</f>
        <v>3144</v>
      </c>
      <c r="E15" s="7">
        <f>CEO!E15+CS!E15+CFO!E15+LLA!E15+'C&amp;E'!E15+CES!E15+LLT!E15+GB!E15</f>
        <v>9432</v>
      </c>
      <c r="F15" s="7">
        <f>CEO!F15+CS!F15+CFO!F15+LLA!F15+'C&amp;E'!F15+CES!F15+LLT!F15+GB!F15</f>
        <v>0</v>
      </c>
      <c r="G15" s="7">
        <f>CEO!G15+CS!G15+CFO!G15+LLA!G15+'C&amp;E'!G15+CES!G15+LLT!G15+GB!G15</f>
        <v>0</v>
      </c>
      <c r="H15" s="7">
        <f>CEO!H15+CS!H15+CFO!H15+LLA!H15+'C&amp;E'!H14+CES!H15+LLT!H15+GB!H15</f>
        <v>419231.66</v>
      </c>
      <c r="I15" s="7">
        <f>CEO!I15+CS!I15+CFO!I15+LLA!I15+'C&amp;E'!I15+CES!I15+LLT!I15+GB!I15</f>
        <v>0</v>
      </c>
      <c r="J15" s="7">
        <f>CEO!J15+CS!J15+CFO!J15+LLA!J15+'C&amp;E'!J15+CES!J15+LLT!J15+GB!J15</f>
        <v>0</v>
      </c>
      <c r="K15" s="7">
        <f>CEO!K15+CS!K15+CFO!K15+LLA!K15+'C&amp;E'!K15+CES!K15+LLT!K15+GB!K15</f>
        <v>0</v>
      </c>
      <c r="L15" s="7">
        <f>CEO!L15+CS!L15+CFO!L15+LLA!L15+'C&amp;E'!L15+CES!L15+LLT!L15+GB!L15</f>
        <v>6288</v>
      </c>
      <c r="M15" s="13" t="s">
        <v>87</v>
      </c>
      <c r="N15" s="7">
        <f t="shared" si="0"/>
        <v>438095.66</v>
      </c>
      <c r="O15" s="7">
        <f t="shared" si="1"/>
        <v>6288</v>
      </c>
      <c r="P15" s="7">
        <f t="shared" si="2"/>
        <v>444383.66</v>
      </c>
      <c r="Q15" s="7">
        <v>135000</v>
      </c>
      <c r="R15" s="7">
        <f t="shared" si="3"/>
        <v>309383.65999999997</v>
      </c>
      <c r="S15" s="7"/>
    </row>
    <row r="16" spans="1:19" x14ac:dyDescent="0.3">
      <c r="A16" s="11">
        <f>CEO!A16+CS!A16+CFO!A16+LLA!A16+'C&amp;E'!A16+CES!A16+LLT!A16+GB!A16</f>
        <v>0</v>
      </c>
      <c r="B16" s="11">
        <f>CEO!B16+CS!B16+CFO!B16+LLA!B16+'C&amp;E'!B16+CES!B16+LLT!B16+GB!B16</f>
        <v>0</v>
      </c>
      <c r="C16" s="11">
        <f>CEO!C16+CS!C16+CFO!C16+LLA!C16+'C&amp;E'!C16+CES!C16+LLT!C16+GB!C16</f>
        <v>0</v>
      </c>
      <c r="D16" s="11">
        <f>CEO!D16+CS!D16+CFO!D16+LLA!D16+'C&amp;E'!D16+CES!D16+LLT!D16+GB!D16</f>
        <v>0</v>
      </c>
      <c r="E16" s="11">
        <f>CEO!E16+CS!E16+CFO!E16+LLA!E16+'C&amp;E'!E16+CES!E16+LLT!E16+GB!E16</f>
        <v>0</v>
      </c>
      <c r="F16" s="11">
        <f>CEO!F16+CS!F16+CFO!F16+LLA!F16+'C&amp;E'!F16+CES!F16+LLT!F16+GB!F16</f>
        <v>0</v>
      </c>
      <c r="G16" s="11">
        <f>CEO!G16+CS!G16+CFO!G16+LLA!G16+'C&amp;E'!G16+CES!G16+LLT!G16+GB!G16</f>
        <v>0</v>
      </c>
      <c r="H16" s="11">
        <f>CEO!H16+CS!H16+CFO!H16+LLA!H16+'C&amp;E'!H16+CES!H16+LLT!H16+GB!H16</f>
        <v>0</v>
      </c>
      <c r="I16" s="11">
        <f>CEO!I16+CS!I16+CFO!I16+LLA!I16+'C&amp;E'!I16+CES!I16+LLT!I16+GB!I16</f>
        <v>0</v>
      </c>
      <c r="J16" s="11">
        <f>CEO!J16+CS!J16+CFO!J16+LLA!J16+'C&amp;E'!J16+CES!J16+LLT!J16+GB!J16</f>
        <v>0</v>
      </c>
      <c r="K16" s="11">
        <f>CEO!K16+CS!K16+CFO!K16+LLA!K16+'C&amp;E'!K16+CES!K16+LLT!K16+GB!K16</f>
        <v>0</v>
      </c>
      <c r="L16" s="11">
        <f>CEO!L16+CS!L16+CFO!L16+LLA!L16+'C&amp;E'!L16+CES!L16+LLT!L16+GB!L16</f>
        <v>0</v>
      </c>
      <c r="M16" s="13" t="s">
        <v>88</v>
      </c>
      <c r="N16" s="11">
        <f t="shared" si="0"/>
        <v>0</v>
      </c>
      <c r="O16" s="11">
        <f t="shared" si="1"/>
        <v>0</v>
      </c>
      <c r="P16" s="11">
        <f t="shared" si="2"/>
        <v>0</v>
      </c>
      <c r="Q16" s="11">
        <v>0</v>
      </c>
      <c r="R16" s="11">
        <f t="shared" si="3"/>
        <v>0</v>
      </c>
      <c r="S16" s="11"/>
    </row>
    <row r="17" spans="1:19" ht="5.4" customHeight="1" x14ac:dyDescent="0.3">
      <c r="A17" s="81"/>
      <c r="B17" s="81"/>
      <c r="C17" s="81"/>
      <c r="D17" s="85"/>
      <c r="E17" s="83"/>
      <c r="F17" s="83"/>
      <c r="G17" s="83"/>
      <c r="H17" s="83"/>
      <c r="I17" s="83"/>
      <c r="J17" s="83"/>
      <c r="K17" s="83"/>
      <c r="L17" s="83"/>
      <c r="M17" s="13"/>
      <c r="N17" s="83">
        <f t="shared" ref="N17:N66" si="4">SUM(A17:H17)</f>
        <v>0</v>
      </c>
      <c r="O17" s="83">
        <f t="shared" si="1"/>
        <v>0</v>
      </c>
      <c r="P17" s="83">
        <f t="shared" si="2"/>
        <v>0</v>
      </c>
      <c r="Q17" s="83"/>
      <c r="R17" s="83">
        <f t="shared" si="3"/>
        <v>0</v>
      </c>
      <c r="S17" s="81"/>
    </row>
    <row r="18" spans="1:19" x14ac:dyDescent="0.3">
      <c r="A18" s="4">
        <f>SUM(A7:A16)</f>
        <v>2640947.69108016</v>
      </c>
      <c r="B18" s="4">
        <f>SUM(B7:B16)</f>
        <v>2760481.9735203735</v>
      </c>
      <c r="C18" s="4">
        <f t="shared" ref="C18:L18" si="5">SUM(C7:C16)</f>
        <v>2845475.7170446008</v>
      </c>
      <c r="D18" s="4">
        <f>SUM(D7:D16)</f>
        <v>2907009.4613675741</v>
      </c>
      <c r="E18" s="4">
        <f t="shared" si="5"/>
        <v>2838945.3984846007</v>
      </c>
      <c r="F18" s="4">
        <f t="shared" si="5"/>
        <v>2826124.5123246005</v>
      </c>
      <c r="G18" s="4">
        <f t="shared" si="5"/>
        <v>2895010.6473675743</v>
      </c>
      <c r="H18" s="4" t="e">
        <f t="shared" si="5"/>
        <v>#REF!</v>
      </c>
      <c r="I18" s="4">
        <f t="shared" si="5"/>
        <v>2837220.3800046006</v>
      </c>
      <c r="J18" s="4">
        <f t="shared" si="5"/>
        <v>2910697.8659275742</v>
      </c>
      <c r="K18" s="4">
        <f t="shared" si="5"/>
        <v>2841155.0645646006</v>
      </c>
      <c r="L18" s="4">
        <f t="shared" si="5"/>
        <v>2808893.5772875743</v>
      </c>
      <c r="M18" s="13" t="s">
        <v>89</v>
      </c>
      <c r="N18" s="4" t="e">
        <f t="shared" ref="N18:O18" si="6">SUM(N7:N16)</f>
        <v>#REF!</v>
      </c>
      <c r="O18" s="4">
        <f t="shared" si="6"/>
        <v>8560746.5077797472</v>
      </c>
      <c r="P18" s="4" t="e">
        <f t="shared" si="2"/>
        <v>#REF!</v>
      </c>
      <c r="Q18" s="4">
        <v>31715320.3167843</v>
      </c>
      <c r="R18" s="4" t="e">
        <f t="shared" si="3"/>
        <v>#REF!</v>
      </c>
      <c r="S18" s="4"/>
    </row>
    <row r="19" spans="1:19" ht="5.4" customHeight="1" x14ac:dyDescent="0.3">
      <c r="A19" s="81"/>
      <c r="B19" s="81"/>
      <c r="C19" s="81"/>
      <c r="D19" s="82"/>
      <c r="E19" s="86"/>
      <c r="F19" s="86"/>
      <c r="G19" s="86"/>
      <c r="H19" s="86"/>
      <c r="I19" s="86"/>
      <c r="J19" s="86"/>
      <c r="K19" s="86"/>
      <c r="L19" s="86"/>
      <c r="M19" s="122"/>
      <c r="N19" s="86">
        <f t="shared" si="4"/>
        <v>0</v>
      </c>
      <c r="O19" s="86">
        <f t="shared" si="1"/>
        <v>0</v>
      </c>
      <c r="P19" s="86">
        <f t="shared" si="2"/>
        <v>0</v>
      </c>
      <c r="Q19" s="86"/>
      <c r="R19" s="86">
        <f t="shared" si="3"/>
        <v>0</v>
      </c>
      <c r="S19" s="81"/>
    </row>
    <row r="20" spans="1:19" x14ac:dyDescent="0.3">
      <c r="A20" s="8">
        <f>CEO!A20+CS!A20+CFO!A20+LLA!A20+'C&amp;E'!A20+CES!A20+LLT!A20+GB!A20</f>
        <v>10825.84</v>
      </c>
      <c r="B20" s="8">
        <f>CEO!B20+CS!B20+CFO!B20+LLA!B20+'C&amp;E'!B20+CES!B20+LLT!B20+GB!B20</f>
        <v>10825.84</v>
      </c>
      <c r="C20" s="8">
        <f>CEO!C20+CS!C20+CFO!C20+LLA!C20+'C&amp;E'!C20+CES!C20+LLT!C20+GB!C20</f>
        <v>10825.84</v>
      </c>
      <c r="D20" s="8">
        <f>CEO!D20+CS!D20+CFO!D20+LLA!D20+'C&amp;E'!D20+CES!D20+LLT!D20+GB!D20</f>
        <v>10825.84</v>
      </c>
      <c r="E20" s="8">
        <f>CEO!E20+CS!E20+CFO!E20+LLA!E20+'C&amp;E'!E20+CES!E20+LLT!E20+GB!E20</f>
        <v>10825.84</v>
      </c>
      <c r="F20" s="8">
        <f>CEO!F20+CS!F20+CFO!F20+LLA!F20+'C&amp;E'!F20+CES!F20+LLT!F20+GB!F20</f>
        <v>10825.84</v>
      </c>
      <c r="G20" s="8">
        <f>CEO!G20+CS!G20+CFO!G20+LLA!G20+'C&amp;E'!G20+CES!G20+LLT!G20+GB!G20</f>
        <v>10825.84</v>
      </c>
      <c r="H20" s="8">
        <f>CEO!H20+CS!H20+CFO!H20+LLA!H20+'C&amp;E'!H20+CES!H20+LLT!H20+GB!H20</f>
        <v>10825.84</v>
      </c>
      <c r="I20" s="8">
        <f>CEO!I20+CS!I20+CFO!I20+LLA!I20+'C&amp;E'!I20+CES!I20+LLT!I20+GB!I20</f>
        <v>10825.84</v>
      </c>
      <c r="J20" s="8">
        <f>CEO!J20+CS!J20+CFO!J20+LLA!J20+'C&amp;E'!J20+CES!J20+LLT!J20+GB!J20</f>
        <v>10825.84</v>
      </c>
      <c r="K20" s="8">
        <f>CEO!K20+CS!K20+CFO!K20+LLA!K20+'C&amp;E'!K20+CES!K20+LLT!K20+GB!K20</f>
        <v>10825.84</v>
      </c>
      <c r="L20" s="8">
        <f>CEO!L20+CS!L20+CFO!L20+LLA!L20+'C&amp;E'!L20+CES!L20+LLT!L20+GB!L20</f>
        <v>10825.84</v>
      </c>
      <c r="M20" s="238" t="s">
        <v>90</v>
      </c>
      <c r="N20" s="8">
        <f>SUM(A20:I20)</f>
        <v>97432.559999999983</v>
      </c>
      <c r="O20" s="8">
        <f t="shared" si="1"/>
        <v>32477.52</v>
      </c>
      <c r="P20" s="8">
        <f t="shared" si="2"/>
        <v>129910.07999999999</v>
      </c>
      <c r="Q20" s="8">
        <v>117945</v>
      </c>
      <c r="R20" s="8">
        <f t="shared" si="3"/>
        <v>11965.079999999987</v>
      </c>
      <c r="S20" s="8"/>
    </row>
    <row r="21" spans="1:19" x14ac:dyDescent="0.3">
      <c r="A21" s="7">
        <f>CEO!A21+CS!A21+CFO!A21+LLA!A21+'C&amp;E'!A21+CES!A21+LLT!A21+GB!A21</f>
        <v>142166.44</v>
      </c>
      <c r="B21" s="7">
        <f>CEO!B21+CS!B21+CFO!B21+LLA!B21+'C&amp;E'!B21+CES!B21+LLT!B21+GB!B21</f>
        <v>142166.44</v>
      </c>
      <c r="C21" s="7">
        <f>CEO!C21+CS!C21+CFO!C21+LLA!C21+'C&amp;E'!C21+CES!C21+LLT!C21+GB!C21</f>
        <v>142166.44</v>
      </c>
      <c r="D21" s="7">
        <f>CEO!D21+CS!D21+CFO!D21+LLA!D21+'C&amp;E'!D21+CES!D21+LLT!D21+GB!D21</f>
        <v>142166.44</v>
      </c>
      <c r="E21" s="7">
        <f>CEO!E21+CS!E21+CFO!E21+LLA!E21+'C&amp;E'!E21+CES!E21+LLT!E21+GB!E21</f>
        <v>142166.44</v>
      </c>
      <c r="F21" s="7">
        <f>CEO!F21+CS!F21+CFO!F21+LLA!F21+'C&amp;E'!F21+CES!F21+LLT!F21+GB!F21</f>
        <v>142166.44</v>
      </c>
      <c r="G21" s="7">
        <f>CEO!G21+CS!G21+CFO!G21+LLA!G21+'C&amp;E'!G21+CES!G21+LLT!G21+GB!G21</f>
        <v>142166.44</v>
      </c>
      <c r="H21" s="7">
        <f>CEO!H21+CS!H21+CFO!H21+LLA!H21+'C&amp;E'!H21+CES!H21+LLT!H21+GB!H21</f>
        <v>142166.44</v>
      </c>
      <c r="I21" s="7">
        <f>CEO!I21+CS!I21+CFO!I21+LLA!I21+'C&amp;E'!I21+CES!I21+LLT!I21+GB!I21</f>
        <v>142166.44</v>
      </c>
      <c r="J21" s="7">
        <f>CEO!J21+CS!J21+CFO!J21+LLA!J21+'C&amp;E'!J21+CES!J21+LLT!J21+GB!J21</f>
        <v>142166.44</v>
      </c>
      <c r="K21" s="7">
        <f>CEO!K21+CS!K21+CFO!K21+LLA!K21+'C&amp;E'!K21+CES!K21+LLT!K21+GB!K21</f>
        <v>142166.44</v>
      </c>
      <c r="L21" s="7">
        <f>CEO!L21+CS!L21+CFO!L21+LLA!L21+'C&amp;E'!L21+CES!L21+LLT!L21+GB!L21</f>
        <v>152930</v>
      </c>
      <c r="M21" s="13" t="s">
        <v>91</v>
      </c>
      <c r="N21" s="7">
        <f t="shared" ref="N21:N25" si="7">SUM(A21:I21)</f>
        <v>1279497.9599999997</v>
      </c>
      <c r="O21" s="7">
        <f t="shared" si="1"/>
        <v>437262.88</v>
      </c>
      <c r="P21" s="7">
        <f t="shared" si="2"/>
        <v>1716760.8399999999</v>
      </c>
      <c r="Q21" s="7">
        <v>1600000.32305336</v>
      </c>
      <c r="R21" s="7">
        <f t="shared" si="3"/>
        <v>116760.51694663987</v>
      </c>
      <c r="S21" s="7"/>
    </row>
    <row r="22" spans="1:19" x14ac:dyDescent="0.3">
      <c r="A22" s="7">
        <f>CEO!A22+CS!A22+CFO!A22+LLA!A22+'C&amp;E'!A22+CES!A22+LLT!A22+GB!A22</f>
        <v>13768.624</v>
      </c>
      <c r="B22" s="7">
        <f>CEO!B22+CS!B22+CFO!B22+LLA!B22+'C&amp;E'!B22+CES!B22+LLT!B22+GB!B22</f>
        <v>13768.624</v>
      </c>
      <c r="C22" s="7">
        <f>CEO!C22+CS!C22+CFO!C22+LLA!C22+'C&amp;E'!C22+CES!C22+LLT!C22+GB!C22</f>
        <v>13768.624</v>
      </c>
      <c r="D22" s="7">
        <f>CEO!D22+CS!D22+CFO!D22+LLA!D22+'C&amp;E'!D22+CES!D22+LLT!D22+GB!D22</f>
        <v>13768.624</v>
      </c>
      <c r="E22" s="7">
        <f>CEO!E22+CS!E22+CFO!E22+LLA!E22+'C&amp;E'!E22+CES!E22+LLT!E22+GB!E22</f>
        <v>13768.624</v>
      </c>
      <c r="F22" s="7">
        <f>CEO!F22+CS!F22+CFO!F22+LLA!F22+'C&amp;E'!F22+CES!F22+LLT!F22+GB!F22</f>
        <v>13768.624</v>
      </c>
      <c r="G22" s="7">
        <f>CEO!G22+CS!G22+CFO!G22+LLA!G22+'C&amp;E'!G22+CES!G22+LLT!G22+GB!G22</f>
        <v>13768.624</v>
      </c>
      <c r="H22" s="7">
        <f>CEO!H22+CS!H22+CFO!H22+LLA!H22+'C&amp;E'!H22+CES!H22+LLT!H22+GB!H22</f>
        <v>13768.624</v>
      </c>
      <c r="I22" s="7">
        <f>CEO!I22+CS!I22+CFO!I22+LLA!I22+'C&amp;E'!I22+CES!I22+LLT!I22+GB!I22</f>
        <v>13768.624</v>
      </c>
      <c r="J22" s="7">
        <f>CEO!J22+CS!J22+CFO!J22+LLA!J22+'C&amp;E'!J22+CES!J22+LLT!J22+GB!J22</f>
        <v>13768.624</v>
      </c>
      <c r="K22" s="7">
        <f>CEO!K22+CS!K22+CFO!K22+LLA!K22+'C&amp;E'!K22+CES!K22+LLT!K22+GB!K22</f>
        <v>13768.624</v>
      </c>
      <c r="L22" s="7">
        <f>CEO!L22+CS!L22+CFO!L22+LLA!L22+'C&amp;E'!L22+CES!L22+LLT!L22+GB!L22</f>
        <v>13762.624</v>
      </c>
      <c r="M22" s="13" t="s">
        <v>92</v>
      </c>
      <c r="N22" s="7">
        <f t="shared" si="7"/>
        <v>123917.61599999998</v>
      </c>
      <c r="O22" s="7">
        <f t="shared" si="1"/>
        <v>41299.872000000003</v>
      </c>
      <c r="P22" s="7">
        <f t="shared" si="2"/>
        <v>165217.48799999998</v>
      </c>
      <c r="Q22" s="7">
        <v>150000</v>
      </c>
      <c r="R22" s="7">
        <f t="shared" si="3"/>
        <v>15217.487999999983</v>
      </c>
      <c r="S22" s="7"/>
    </row>
    <row r="23" spans="1:19" x14ac:dyDescent="0.3">
      <c r="A23" s="7">
        <f>CEO!A23+CS!A23+CFO!A23+LLA!A23+'C&amp;E'!A23+CES!A23+LLT!A23+GB!A23</f>
        <v>0</v>
      </c>
      <c r="B23" s="7">
        <f>CEO!B23+CS!B23+CFO!B23+LLA!B23+'C&amp;E'!B23+CES!B23+LLT!B23+GB!B23</f>
        <v>0</v>
      </c>
      <c r="C23" s="7">
        <f>CEO!C23+CS!C23+CFO!C23+LLA!C23+'C&amp;E'!C23+CES!C23+LLT!C23+GB!C23</f>
        <v>0</v>
      </c>
      <c r="D23" s="7">
        <f>CEO!D23+CS!D23+CFO!D23+LLA!D23+'C&amp;E'!D23+CES!D23+LLT!D23+GB!D23</f>
        <v>0</v>
      </c>
      <c r="E23" s="7">
        <f>CEO!E23+CS!E23+CFO!E23+LLA!E23+'C&amp;E'!E23+CES!E23+LLT!E23+GB!E23</f>
        <v>0</v>
      </c>
      <c r="F23" s="7">
        <f>CEO!F23+CS!F23+CFO!F23+LLA!F23+'C&amp;E'!F23+CES!F23+LLT!F23+GB!F23</f>
        <v>0</v>
      </c>
      <c r="G23" s="7">
        <f>CEO!G23+CS!G23+CFO!G23+LLA!G23+'C&amp;E'!G23+CES!G23+LLT!G23+GB!G23</f>
        <v>0</v>
      </c>
      <c r="H23" s="7">
        <f>CEO!H23+CS!H23+CFO!H23+LLA!H23+'C&amp;E'!H23+CES!H23+LLT!H23+GB!H23</f>
        <v>0</v>
      </c>
      <c r="I23" s="7">
        <f>CEO!I23+CS!I23+CFO!I23+LLA!I23+'C&amp;E'!I23+CES!I23+LLT!I23+GB!I23</f>
        <v>0</v>
      </c>
      <c r="J23" s="7">
        <f>CEO!J23+CS!J23+CFO!J23+LLA!J23+'C&amp;E'!J23+CES!J23+LLT!J23+GB!J23</f>
        <v>0</v>
      </c>
      <c r="K23" s="7">
        <f>CEO!K23+CS!K23+CFO!K23+LLA!K23+'C&amp;E'!K23+CES!K23+LLT!K23+GB!K23</f>
        <v>0</v>
      </c>
      <c r="L23" s="7">
        <f>CEO!L23+CS!L23+CFO!L23+LLA!L23+'C&amp;E'!L23+CES!L23+LLT!L23+GB!L23</f>
        <v>0</v>
      </c>
      <c r="M23" s="125" t="s">
        <v>93</v>
      </c>
      <c r="N23" s="7">
        <f t="shared" si="7"/>
        <v>0</v>
      </c>
      <c r="O23" s="7">
        <f t="shared" si="1"/>
        <v>0</v>
      </c>
      <c r="P23" s="7">
        <f t="shared" si="2"/>
        <v>0</v>
      </c>
      <c r="Q23" s="7">
        <v>0</v>
      </c>
      <c r="R23" s="7">
        <f t="shared" si="3"/>
        <v>0</v>
      </c>
      <c r="S23" s="7"/>
    </row>
    <row r="24" spans="1:19" x14ac:dyDescent="0.3">
      <c r="A24" s="7">
        <f>CEO!A24+CS!A24+CFO!A24+LLA!A24+'C&amp;E'!A24+CES!A24+LLT!A24+GB!A24</f>
        <v>23328.48</v>
      </c>
      <c r="B24" s="7">
        <f>CEO!B24+CS!B24+CFO!B24+LLA!B24+'C&amp;E'!B24+CES!B24+LLT!B24+GB!B24</f>
        <v>23328.48</v>
      </c>
      <c r="C24" s="7">
        <f>CEO!C24+CS!C24+CFO!C24+LLA!C24+'C&amp;E'!C24+CES!C24+LLT!C24+GB!C24</f>
        <v>23328.48</v>
      </c>
      <c r="D24" s="7">
        <f>CEO!D24+CS!D24+CFO!D24+LLA!D24+'C&amp;E'!D24+CES!D24+LLT!D24+GB!D24</f>
        <v>23328.48</v>
      </c>
      <c r="E24" s="7">
        <f>CEO!E24+CS!E24+CFO!E24+LLA!E24+'C&amp;E'!E24+CES!E24+LLT!E24+GB!E24</f>
        <v>23328.48</v>
      </c>
      <c r="F24" s="7">
        <f>CEO!F24+CS!F24+CFO!F24+LLA!F24+'C&amp;E'!F24+CES!F24+LLT!F24+GB!F24</f>
        <v>23328.48</v>
      </c>
      <c r="G24" s="7">
        <f>CEO!G24+CS!G24+CFO!G24+LLA!G24+'C&amp;E'!G24+CES!G24+LLT!G24+GB!G24</f>
        <v>23328.48</v>
      </c>
      <c r="H24" s="7">
        <f>CEO!H24+CS!H24+CFO!H24+LLA!H24+'C&amp;E'!H24+CES!H24+LLT!H24+GB!H24</f>
        <v>23328.48</v>
      </c>
      <c r="I24" s="7">
        <f>CEO!I24+CS!I24+CFO!I24+LLA!I24+'C&amp;E'!I24+CES!I24+LLT!I24+GB!I24</f>
        <v>23328.48</v>
      </c>
      <c r="J24" s="7">
        <f>CEO!J24+CS!J24+CFO!J24+LLA!J24+'C&amp;E'!J24+CES!J24+LLT!J24+GB!J24</f>
        <v>23328.48</v>
      </c>
      <c r="K24" s="7">
        <f>CEO!K24+CS!K24+CFO!K24+LLA!K24+'C&amp;E'!K24+CES!K24+LLT!K24+GB!K24</f>
        <v>23328.48</v>
      </c>
      <c r="L24" s="7">
        <f>CEO!L24+CS!L24+CFO!L24+LLA!L24+'C&amp;E'!L24+CES!L24+LLT!L24+GB!L24</f>
        <v>23333.48</v>
      </c>
      <c r="M24" s="125" t="s">
        <v>94</v>
      </c>
      <c r="N24" s="7">
        <f t="shared" si="7"/>
        <v>209956.32000000004</v>
      </c>
      <c r="O24" s="7">
        <f t="shared" si="1"/>
        <v>69990.44</v>
      </c>
      <c r="P24" s="7">
        <f t="shared" si="2"/>
        <v>279946.76</v>
      </c>
      <c r="Q24" s="7">
        <v>267125.03999999998</v>
      </c>
      <c r="R24" s="7">
        <f t="shared" si="3"/>
        <v>12821.72000000003</v>
      </c>
      <c r="S24" s="7"/>
    </row>
    <row r="25" spans="1:19" x14ac:dyDescent="0.3">
      <c r="A25" s="7">
        <f>CEO!A25+CS!A25+CFO!A25+LLA!A25+'C&amp;E'!A25+CES!A25+LLT!A25+GB!A25</f>
        <v>1290.0880000000002</v>
      </c>
      <c r="B25" s="7">
        <f>CEO!B25+CS!B25+CFO!B25+LLA!B25+'C&amp;E'!B25+CES!B25+LLT!B25+GB!B25</f>
        <v>1290.0880000000002</v>
      </c>
      <c r="C25" s="7">
        <f>CEO!C25+CS!C25+CFO!C25+LLA!C25+'C&amp;E'!C25+CES!C25+LLT!C25+GB!C25</f>
        <v>1290.0880000000002</v>
      </c>
      <c r="D25" s="7">
        <f>CEO!D25+CS!D25+CFO!D25+LLA!D25+'C&amp;E'!D25+CES!D25+LLT!D25+GB!D25</f>
        <v>1290.0880000000002</v>
      </c>
      <c r="E25" s="7">
        <f>CEO!E25+CS!E25+CFO!E25+LLA!E25+'C&amp;E'!E25+CES!E25+LLT!E25+GB!E25</f>
        <v>1290.0880000000002</v>
      </c>
      <c r="F25" s="7">
        <f>CEO!F25+CS!F25+CFO!F25+LLA!F25+'C&amp;E'!F25+CES!F25+LLT!F25+GB!F25</f>
        <v>1290.0880000000002</v>
      </c>
      <c r="G25" s="7">
        <f>CEO!G25+CS!G25+CFO!G25+LLA!G25+'C&amp;E'!G25+CES!G25+LLT!G25+GB!G25</f>
        <v>1290.0880000000002</v>
      </c>
      <c r="H25" s="7">
        <f>CEO!H25+CS!H25+CFO!H25+LLA!H25+'C&amp;E'!H25+CES!H25+LLT!H25+GB!H25</f>
        <v>1290.0880000000002</v>
      </c>
      <c r="I25" s="7">
        <f>CEO!I25+CS!I25+CFO!I25+LLA!I25+'C&amp;E'!I25+CES!I25+LLT!I25+GB!I25</f>
        <v>1290.0880000000002</v>
      </c>
      <c r="J25" s="7">
        <f>CEO!J25+CS!J25+CFO!J25+LLA!J25+'C&amp;E'!J25+CES!J25+LLT!J25+GB!J25</f>
        <v>1290.0880000000002</v>
      </c>
      <c r="K25" s="7">
        <f>CEO!K25+CS!K25+CFO!K25+LLA!K25+'C&amp;E'!K25+CES!K25+LLT!K25+GB!K25</f>
        <v>1290.0880000000002</v>
      </c>
      <c r="L25" s="7">
        <f>CEO!L25+CS!L25+CFO!L25+LLA!L25+'C&amp;E'!L25+CES!L25+LLT!L25+GB!L25</f>
        <v>1298.0880000000002</v>
      </c>
      <c r="M25" s="13" t="s">
        <v>95</v>
      </c>
      <c r="N25" s="7">
        <f t="shared" si="7"/>
        <v>11610.791999999999</v>
      </c>
      <c r="O25" s="7">
        <f t="shared" si="1"/>
        <v>3878.2640000000006</v>
      </c>
      <c r="P25" s="7">
        <f t="shared" si="2"/>
        <v>15489.056</v>
      </c>
      <c r="Q25" s="7">
        <v>4146.1875</v>
      </c>
      <c r="R25" s="7">
        <f t="shared" si="3"/>
        <v>11342.8685</v>
      </c>
      <c r="S25" s="7"/>
    </row>
    <row r="26" spans="1:19" x14ac:dyDescent="0.3">
      <c r="A26" s="11">
        <f>CEO!A26+CS!A26+CFO!A26+LLA!A26+'C&amp;E'!A26+CES!A26+LLT!A26+GB!A26</f>
        <v>0</v>
      </c>
      <c r="B26" s="11">
        <f>CEO!B26+CS!B26+CFO!B26+LLA!B26+'C&amp;E'!B26+CES!B26+LLT!B26+GB!B26</f>
        <v>0</v>
      </c>
      <c r="C26" s="11">
        <f>CEO!C26+CS!C26+CFO!C26+LLA!C26+'C&amp;E'!C26+CES!C26+LLT!C26+GB!C26</f>
        <v>0</v>
      </c>
      <c r="D26" s="11">
        <f>CEO!D26+CS!D26+CFO!D26+LLA!D26+'C&amp;E'!D26+CES!D26+LLT!D26+GB!D26</f>
        <v>0</v>
      </c>
      <c r="E26" s="11">
        <f>CEO!E26+CS!E26+CFO!E26+LLA!E26+'C&amp;E'!E26+CES!E26+LLT!E26+GB!E26</f>
        <v>0</v>
      </c>
      <c r="F26" s="11">
        <f>CEO!F26+CS!F26+CFO!F26+LLA!F26+'C&amp;E'!F26+CES!F26+LLT!F26+GB!F26</f>
        <v>0</v>
      </c>
      <c r="G26" s="11">
        <f>CEO!G26+CS!G26+CFO!G26+LLA!G26+'C&amp;E'!G26+CES!G26+LLT!G26+GB!G26</f>
        <v>0</v>
      </c>
      <c r="H26" s="11">
        <f>CEO!H26+CS!H26+CFO!H26+LLA!H26+'C&amp;E'!H26+CES!H26+LLT!H26+GB!H26</f>
        <v>0</v>
      </c>
      <c r="I26" s="11">
        <f>CEO!I26+CS!I26+CFO!I26+LLA!I26+'C&amp;E'!I26+CES!I26+LLT!I26+GB!I26</f>
        <v>0</v>
      </c>
      <c r="J26" s="11">
        <f>CEO!J26+CS!J26+CFO!J26+LLA!J26+'C&amp;E'!J26+CES!J26+LLT!J26+GB!J26</f>
        <v>0</v>
      </c>
      <c r="K26" s="11">
        <f>CEO!K26+CS!K26+CFO!K26+LLA!K26+'C&amp;E'!K26+CES!K26+LLT!K26+GB!K26</f>
        <v>0</v>
      </c>
      <c r="L26" s="11">
        <f>CEO!L26+CS!L26+CFO!L26+LLA!L26+'C&amp;E'!L26+CES!L26+LLT!L26+GB!L26</f>
        <v>0</v>
      </c>
      <c r="M26" s="13" t="s">
        <v>96</v>
      </c>
      <c r="N26" s="11">
        <f t="shared" si="4"/>
        <v>0</v>
      </c>
      <c r="O26" s="11">
        <f t="shared" si="1"/>
        <v>0</v>
      </c>
      <c r="P26" s="11">
        <f t="shared" si="2"/>
        <v>0</v>
      </c>
      <c r="Q26" s="11">
        <v>0</v>
      </c>
      <c r="R26" s="11">
        <f t="shared" si="3"/>
        <v>0</v>
      </c>
      <c r="S26" s="11"/>
    </row>
    <row r="27" spans="1:19" ht="5.4" customHeight="1" x14ac:dyDescent="0.3">
      <c r="A27" s="81"/>
      <c r="B27" s="81"/>
      <c r="C27" s="81"/>
      <c r="D27" s="85"/>
      <c r="E27" s="83"/>
      <c r="F27" s="83"/>
      <c r="G27" s="83"/>
      <c r="H27" s="83"/>
      <c r="I27" s="83"/>
      <c r="J27" s="83"/>
      <c r="K27" s="83"/>
      <c r="L27" s="83"/>
      <c r="M27" s="13"/>
      <c r="N27" s="83">
        <f t="shared" si="4"/>
        <v>0</v>
      </c>
      <c r="O27" s="83">
        <f t="shared" si="1"/>
        <v>0</v>
      </c>
      <c r="P27" s="83">
        <f t="shared" si="2"/>
        <v>0</v>
      </c>
      <c r="Q27" s="83"/>
      <c r="R27" s="83">
        <f t="shared" si="3"/>
        <v>0</v>
      </c>
      <c r="S27" s="81"/>
    </row>
    <row r="28" spans="1:19" x14ac:dyDescent="0.3">
      <c r="A28" s="4">
        <f>SUM(A20:A26)</f>
        <v>191379.47200000001</v>
      </c>
      <c r="B28" s="4">
        <f>SUM(B20:B26)</f>
        <v>191379.47200000001</v>
      </c>
      <c r="C28" s="4">
        <f t="shared" ref="C28:L28" si="8">SUM(C20:C26)</f>
        <v>191379.47200000001</v>
      </c>
      <c r="D28" s="4">
        <f t="shared" si="8"/>
        <v>191379.47200000001</v>
      </c>
      <c r="E28" s="4">
        <f t="shared" si="8"/>
        <v>191379.47200000001</v>
      </c>
      <c r="F28" s="4">
        <f t="shared" si="8"/>
        <v>191379.47200000001</v>
      </c>
      <c r="G28" s="4">
        <f t="shared" si="8"/>
        <v>191379.47200000001</v>
      </c>
      <c r="H28" s="4">
        <f t="shared" si="8"/>
        <v>191379.47200000001</v>
      </c>
      <c r="I28" s="4">
        <f t="shared" si="8"/>
        <v>191379.47200000001</v>
      </c>
      <c r="J28" s="4">
        <f t="shared" si="8"/>
        <v>191379.47200000001</v>
      </c>
      <c r="K28" s="4">
        <f t="shared" si="8"/>
        <v>191379.47200000001</v>
      </c>
      <c r="L28" s="4">
        <f t="shared" si="8"/>
        <v>202150.03200000001</v>
      </c>
      <c r="M28" s="13" t="s">
        <v>97</v>
      </c>
      <c r="N28" s="4">
        <f>SUM(N20:N26)</f>
        <v>1722415.2479999997</v>
      </c>
      <c r="O28" s="4">
        <f>SUM(O20:O26)</f>
        <v>584908.97600000002</v>
      </c>
      <c r="P28" s="4">
        <f t="shared" si="2"/>
        <v>2307324.2239999995</v>
      </c>
      <c r="Q28" s="4">
        <v>2139216.55055336</v>
      </c>
      <c r="R28" s="4">
        <f t="shared" si="3"/>
        <v>168107.67344663944</v>
      </c>
      <c r="S28" s="4"/>
    </row>
    <row r="29" spans="1:19" ht="3.6" customHeight="1" x14ac:dyDescent="0.3">
      <c r="A29" s="81"/>
      <c r="B29" s="81"/>
      <c r="C29" s="81"/>
      <c r="D29" s="82"/>
      <c r="E29" s="86"/>
      <c r="F29" s="86"/>
      <c r="G29" s="86"/>
      <c r="H29" s="86"/>
      <c r="I29" s="86"/>
      <c r="J29" s="86"/>
      <c r="K29" s="86"/>
      <c r="L29" s="86"/>
      <c r="M29" s="80"/>
      <c r="N29" s="86">
        <f t="shared" si="4"/>
        <v>0</v>
      </c>
      <c r="O29" s="86">
        <f t="shared" si="1"/>
        <v>0</v>
      </c>
      <c r="P29" s="86">
        <f t="shared" si="2"/>
        <v>0</v>
      </c>
      <c r="Q29" s="86"/>
      <c r="R29" s="86">
        <f t="shared" si="3"/>
        <v>0</v>
      </c>
      <c r="S29" s="81"/>
    </row>
    <row r="30" spans="1:19" x14ac:dyDescent="0.3">
      <c r="A30" s="8">
        <f>CEO!A30+CS!A30+CFO!A30+LLA!A30+'C&amp;E'!A30+CES!A30+LLT!A30+GB!A30</f>
        <v>0</v>
      </c>
      <c r="B30" s="8">
        <f>CEO!B30+CS!B30+CFO!B30+LLA!B30+'C&amp;E'!B30+CES!B30+LLT!B30+GB!B30</f>
        <v>295515.20767999999</v>
      </c>
      <c r="C30" s="8">
        <f>CEO!C30+CS!C30+CFO!C30+LLA!C30+'C&amp;E'!C30+CES!C30+LLT!C30+GB!C30</f>
        <v>471100.05160000001</v>
      </c>
      <c r="D30" s="8">
        <f>CEO!D30+CS!D30+CFO!D30+LLA!D30+'C&amp;E'!D30+CES!D30+LLT!D30+GB!D30</f>
        <v>667871.71416000009</v>
      </c>
      <c r="E30" s="8">
        <f>CEO!E30+CS!E30+CFO!E30+LLA!E30+'C&amp;E'!E30+CES!E30+LLT!E30+GB!E30</f>
        <v>242312.57592000006</v>
      </c>
      <c r="F30" s="8">
        <f>CEO!F30+CS!F30+CFO!F30+LLA!F30+'C&amp;E'!F30+CES!F30+LLT!F30+GB!F30</f>
        <v>0</v>
      </c>
      <c r="G30" s="8">
        <f>CEO!G30+CS!G30+CFO!G30+LLA!G30+'C&amp;E'!G30+CES!G30+LLT!G30+GB!G30</f>
        <v>0</v>
      </c>
      <c r="H30" s="8">
        <f>CEO!H30+CS!H30+CFO!H30+LLA!H30+'C&amp;E'!H30+CES!H30+LLT!H30+GB!H30</f>
        <v>0</v>
      </c>
      <c r="I30" s="8">
        <f>CEO!I30+CS!I30+CFO!I30+LLA!I30+'C&amp;E'!I30+CES!I30+LLT!I30+GB!I30</f>
        <v>0</v>
      </c>
      <c r="J30" s="8">
        <f>CEO!J30+CS!J30+CFO!J30+LLA!J30+'C&amp;E'!J30+CES!J30+LLT!J30+GB!J30</f>
        <v>0</v>
      </c>
      <c r="K30" s="8">
        <f>CEO!K30+CS!K30+CFO!K30+LLA!K30+'C&amp;E'!K30+CES!K30+LLT!K30+GB!K30</f>
        <v>0</v>
      </c>
      <c r="L30" s="8">
        <f>CEO!L30+CS!L30+CFO!L30+LLA!L30+'C&amp;E'!L30+CES!L30+LLT!L30+GB!L30</f>
        <v>0</v>
      </c>
      <c r="M30" s="238" t="s">
        <v>98</v>
      </c>
      <c r="N30" s="8">
        <f t="shared" ref="N30:N44" si="9">SUM(A30:I30)</f>
        <v>1676799.5493600001</v>
      </c>
      <c r="O30" s="8">
        <f t="shared" si="1"/>
        <v>0</v>
      </c>
      <c r="P30" s="8">
        <f t="shared" si="2"/>
        <v>1676799.5493600001</v>
      </c>
      <c r="Q30" s="8">
        <v>1300000</v>
      </c>
      <c r="R30" s="8">
        <f t="shared" si="3"/>
        <v>376799.54936000006</v>
      </c>
      <c r="S30" s="8"/>
    </row>
    <row r="31" spans="1:19" x14ac:dyDescent="0.3">
      <c r="A31" s="7">
        <f>CEO!A31+CS!A31+CFO!A31+LLA!A31+'C&amp;E'!A31+CES!A31+LLT!A31+GB!A31</f>
        <v>9215.0640000000003</v>
      </c>
      <c r="B31" s="7">
        <f>CEO!B31+CS!B31+CFO!B31+LLA!B31+'C&amp;E'!B31+CES!B31+LLT!B31+GB!B31</f>
        <v>9215.0640000000003</v>
      </c>
      <c r="C31" s="7">
        <f>CEO!C31+CS!C31+CFO!C31+LLA!C31+'C&amp;E'!C31+CES!C31+LLT!C31+GB!C31</f>
        <v>9215.0640000000003</v>
      </c>
      <c r="D31" s="7">
        <f>CEO!D31+CS!D31+CFO!D31+LLA!D31+'C&amp;E'!D31+CES!D31+LLT!D31+GB!D31</f>
        <v>9215.0640000000003</v>
      </c>
      <c r="E31" s="7">
        <f>CEO!E31+CS!E31+CFO!E31+LLA!E31+'C&amp;E'!E31+CES!E31+LLT!E31+GB!E31</f>
        <v>9215.0640000000003</v>
      </c>
      <c r="F31" s="7">
        <f>CEO!F31+CS!F31+CFO!F31+LLA!F31+'C&amp;E'!F31+CES!F31+LLT!F31+GB!F31</f>
        <v>9215.0640000000003</v>
      </c>
      <c r="G31" s="7">
        <f>CEO!G31+CS!G31+CFO!G31+LLA!G31+'C&amp;E'!G31+CES!G31+LLT!G31+GB!G31</f>
        <v>9215.0640000000003</v>
      </c>
      <c r="H31" s="7">
        <f>CEO!H31+CS!H31+CFO!H31+LLA!H31+'C&amp;E'!H31+CES!H31+LLT!H31+GB!H31</f>
        <v>9215.0640000000003</v>
      </c>
      <c r="I31" s="7">
        <f>CEO!I31+CS!I31+CFO!I31+LLA!I31+'C&amp;E'!I31+CES!I31+LLT!I31+GB!I31</f>
        <v>9215.0640000000003</v>
      </c>
      <c r="J31" s="7">
        <f>CEO!J31+CS!J31+CFO!J31+LLA!J31+'C&amp;E'!J31+CES!J31+LLT!J31+GB!J31</f>
        <v>9215.0640000000003</v>
      </c>
      <c r="K31" s="7">
        <f>CEO!K31+CS!K31+CFO!K31+LLA!K31+'C&amp;E'!K31+CES!K31+LLT!K31+GB!K31</f>
        <v>9215.0640000000003</v>
      </c>
      <c r="L31" s="7">
        <f>CEO!L31+CS!L31+CFO!L31+LLA!L31+'C&amp;E'!L31+CES!L31+LLT!L31+GB!L31</f>
        <v>9214.0640000000003</v>
      </c>
      <c r="M31" s="13" t="s">
        <v>99</v>
      </c>
      <c r="N31" s="7">
        <f t="shared" si="9"/>
        <v>82935.576000000001</v>
      </c>
      <c r="O31" s="7">
        <f t="shared" si="1"/>
        <v>27644.192000000003</v>
      </c>
      <c r="P31" s="7">
        <f t="shared" si="2"/>
        <v>110579.76800000001</v>
      </c>
      <c r="Q31" s="7">
        <v>25082.640568439998</v>
      </c>
      <c r="R31" s="7">
        <f t="shared" si="3"/>
        <v>85497.127431560017</v>
      </c>
      <c r="S31" s="7"/>
    </row>
    <row r="32" spans="1:19" x14ac:dyDescent="0.3">
      <c r="A32" s="7">
        <f>CEO!A32+CS!A32+CFO!A32+LLA!A32+'C&amp;E'!A32+CES!A32+LLT!A32+GB!A32</f>
        <v>74534.808000000005</v>
      </c>
      <c r="B32" s="7">
        <f>CEO!B32+CS!B32+CFO!B32+LLA!B32+'C&amp;E'!B32+CES!B32+LLT!B32+GB!B32</f>
        <v>74534.808000000005</v>
      </c>
      <c r="C32" s="7">
        <f>CEO!C32+CS!C32+CFO!C32+LLA!C32+'C&amp;E'!C32+CES!C32+LLT!C32+GB!C32</f>
        <v>74534.808000000005</v>
      </c>
      <c r="D32" s="7">
        <f>CEO!D32+CS!D32+CFO!D32+LLA!D32+'C&amp;E'!D32+CES!D32+LLT!D32+GB!D32</f>
        <v>74534.808000000005</v>
      </c>
      <c r="E32" s="7">
        <f>CEO!E32+CS!E32+CFO!E32+LLA!E32+'C&amp;E'!E32+CES!E32+LLT!E32+GB!E32</f>
        <v>74534.808000000005</v>
      </c>
      <c r="F32" s="7">
        <f>CEO!F32+CS!F32+CFO!F32+LLA!F32+'C&amp;E'!F32+CES!F32+LLT!F32+GB!F32</f>
        <v>74534.808000000005</v>
      </c>
      <c r="G32" s="7">
        <f>CEO!G32+CS!G32+CFO!G32+LLA!G32+'C&amp;E'!G32+CES!G32+LLT!G32+GB!G32</f>
        <v>74534.808000000005</v>
      </c>
      <c r="H32" s="7">
        <f>CEO!H32+CS!H32+CFO!H32+LLA!H32+'C&amp;E'!H32+CES!H32+LLT!H32+GB!H32</f>
        <v>74534.808000000005</v>
      </c>
      <c r="I32" s="7">
        <f>CEO!I32+CS!I32+CFO!I32+LLA!I32+'C&amp;E'!I32+CES!I32+LLT!I32+GB!I32</f>
        <v>74534.808000000005</v>
      </c>
      <c r="J32" s="7">
        <f>CEO!J32+CS!J32+CFO!J32+LLA!J32+'C&amp;E'!J32+CES!J32+LLT!J32+GB!J32</f>
        <v>74534.808000000005</v>
      </c>
      <c r="K32" s="7">
        <f>CEO!K32+CS!K32+CFO!K32+LLA!K32+'C&amp;E'!K32+CES!K32+LLT!K32+GB!K32</f>
        <v>74534.808000000005</v>
      </c>
      <c r="L32" s="7">
        <f>CEO!L32+CS!L32+CFO!L32+LLA!L32+'C&amp;E'!L32+CES!L32+LLT!L32+GB!L32</f>
        <v>74535.922317440083</v>
      </c>
      <c r="M32" s="13" t="s">
        <v>100</v>
      </c>
      <c r="N32" s="7">
        <f t="shared" si="9"/>
        <v>670813.272</v>
      </c>
      <c r="O32" s="7">
        <f t="shared" si="1"/>
        <v>223605.53831744008</v>
      </c>
      <c r="P32" s="7">
        <f t="shared" si="2"/>
        <v>894418.81031744007</v>
      </c>
      <c r="Q32" s="7">
        <v>1047000</v>
      </c>
      <c r="R32" s="7">
        <f t="shared" si="3"/>
        <v>-152581.18968255993</v>
      </c>
      <c r="S32" s="7"/>
    </row>
    <row r="33" spans="1:19" x14ac:dyDescent="0.3">
      <c r="A33" s="7">
        <f>CEO!A33+CS!A33+CFO!A33+LLA!A33+'C&amp;E'!A33+CES!A33+LLT!A33+GB!A33</f>
        <v>4377.4960000000001</v>
      </c>
      <c r="B33" s="7">
        <f>CEO!B33+CS!B33+CFO!B33+LLA!B33+'C&amp;E'!B33+CES!B33+LLT!B33+GB!B33</f>
        <v>4377.4960000000001</v>
      </c>
      <c r="C33" s="7">
        <f>CEO!C33+CS!C33+CFO!C33+LLA!C33+'C&amp;E'!C33+CES!C33+LLT!C33+GB!C33</f>
        <v>4377.4960000000001</v>
      </c>
      <c r="D33" s="7">
        <f>CEO!D33+CS!D33+CFO!D33+LLA!D33+'C&amp;E'!D33+CES!D33+LLT!D33+GB!D33</f>
        <v>4377.4960000000001</v>
      </c>
      <c r="E33" s="7">
        <f>CEO!E33+CS!E33+CFO!E33+LLA!E33+'C&amp;E'!E33+CES!E33+LLT!E33+GB!E33</f>
        <v>4377.4960000000001</v>
      </c>
      <c r="F33" s="7">
        <f>CEO!F33+CS!F33+CFO!F33+LLA!F33+'C&amp;E'!F33+CES!F33+LLT!F33+GB!F33</f>
        <v>4377.4960000000001</v>
      </c>
      <c r="G33" s="7">
        <f>CEO!G33+CS!G33+CFO!G33+LLA!G33+'C&amp;E'!G33+CES!G33+LLT!G33+GB!G33</f>
        <v>4377.4960000000001</v>
      </c>
      <c r="H33" s="7">
        <f>CEO!H33+CS!H33+CFO!H33+LLA!H33+'C&amp;E'!H33+CES!H33+LLT!H33+GB!H33</f>
        <v>4377.4960000000001</v>
      </c>
      <c r="I33" s="7">
        <f>CEO!I33+CS!I33+CFO!I33+LLA!I33+'C&amp;E'!I33+CES!I33+LLT!I33+GB!I33</f>
        <v>4377.4960000000001</v>
      </c>
      <c r="J33" s="7">
        <f>CEO!J33+CS!J33+CFO!J33+LLA!J33+'C&amp;E'!J33+CES!J33+LLT!J33+GB!J33</f>
        <v>4377.4960000000001</v>
      </c>
      <c r="K33" s="7">
        <f>CEO!K33+CS!K33+CFO!K33+LLA!K33+'C&amp;E'!K33+CES!K33+LLT!K33+GB!K33</f>
        <v>4377.4960000000001</v>
      </c>
      <c r="L33" s="7">
        <f>CEO!L33+CS!L33+CFO!L33+LLA!L33+'C&amp;E'!L33+CES!L33+LLT!L33+GB!L33</f>
        <v>4378.5440000000026</v>
      </c>
      <c r="M33" s="13" t="s">
        <v>101</v>
      </c>
      <c r="N33" s="7">
        <f t="shared" si="9"/>
        <v>39397.464</v>
      </c>
      <c r="O33" s="7">
        <f t="shared" si="1"/>
        <v>13133.536000000004</v>
      </c>
      <c r="P33" s="7">
        <f t="shared" si="2"/>
        <v>52531</v>
      </c>
      <c r="Q33" s="7">
        <v>0</v>
      </c>
      <c r="R33" s="7">
        <f t="shared" si="3"/>
        <v>52531</v>
      </c>
      <c r="S33" s="7"/>
    </row>
    <row r="34" spans="1:19" x14ac:dyDescent="0.3">
      <c r="A34" s="7">
        <f>CEO!A34+CS!A34+CFO!A34+LLA!A34+'C&amp;E'!A34+CES!A34+LLT!A34+GB!A34</f>
        <v>34273.792000000001</v>
      </c>
      <c r="B34" s="7">
        <f>CEO!B34+CS!B34+CFO!B34+LLA!B34+'C&amp;E'!B34+CES!B34+LLT!B34+GB!B34</f>
        <v>34273.792000000001</v>
      </c>
      <c r="C34" s="7">
        <f>CEO!C34+CS!C34+CFO!C34+LLA!C34+'C&amp;E'!C34+CES!C34+LLT!C34+GB!C34</f>
        <v>34273.792000000001</v>
      </c>
      <c r="D34" s="7">
        <f>CEO!D34+CS!D34+CFO!D34+LLA!D34+'C&amp;E'!D34+CES!D34+LLT!D34+GB!D34</f>
        <v>34273.792000000001</v>
      </c>
      <c r="E34" s="7">
        <f>CEO!E34+CS!E34+CFO!E34+LLA!E34+'C&amp;E'!E34+CES!E34+LLT!E34+GB!E34</f>
        <v>34273.792000000001</v>
      </c>
      <c r="F34" s="7">
        <f>CEO!F34+CS!F34+CFO!F34+LLA!F34+'C&amp;E'!F34+CES!F34+LLT!F34+GB!F34</f>
        <v>34273.792000000001</v>
      </c>
      <c r="G34" s="7">
        <f>CEO!G34+CS!G34+CFO!G34+LLA!G34+'C&amp;E'!G34+CES!G34+LLT!G34+GB!G34</f>
        <v>34273.792000000001</v>
      </c>
      <c r="H34" s="7">
        <f>CEO!H34+CS!H34+CFO!H34+LLA!H34+'C&amp;E'!H34+CES!H34+LLT!H34+GB!H34</f>
        <v>34273.792000000001</v>
      </c>
      <c r="I34" s="7">
        <f>CEO!I34+CS!I34+CFO!I34+LLA!I34+'C&amp;E'!I34+CES!I34+LLT!I34+GB!I34</f>
        <v>34273.792000000001</v>
      </c>
      <c r="J34" s="7">
        <f>CEO!J34+CS!J34+CFO!J34+LLA!J34+'C&amp;E'!J34+CES!J34+LLT!J34+GB!J34</f>
        <v>34273.792000000001</v>
      </c>
      <c r="K34" s="7">
        <f>CEO!K34+CS!K34+CFO!K34+LLA!K34+'C&amp;E'!K34+CES!K34+LLT!K34+GB!K34</f>
        <v>34273.792000000001</v>
      </c>
      <c r="L34" s="7">
        <f>CEO!L34+CS!L34+CFO!L34+LLA!L34+'C&amp;E'!L34+CES!L34+LLT!L34+GB!L34</f>
        <v>34268.456572264011</v>
      </c>
      <c r="M34" s="13" t="s">
        <v>102</v>
      </c>
      <c r="N34" s="7">
        <f t="shared" si="9"/>
        <v>308464.12800000008</v>
      </c>
      <c r="O34" s="7">
        <f t="shared" si="1"/>
        <v>102816.04057226401</v>
      </c>
      <c r="P34" s="7">
        <f t="shared" si="2"/>
        <v>411280.16857226408</v>
      </c>
      <c r="Q34" s="7">
        <v>688141.95594300004</v>
      </c>
      <c r="R34" s="7">
        <f t="shared" si="3"/>
        <v>-276861.78737073595</v>
      </c>
      <c r="S34" s="7"/>
    </row>
    <row r="35" spans="1:19" x14ac:dyDescent="0.3">
      <c r="A35" s="7">
        <f>CEO!A35+CS!A35+CFO!A35+LLA!A35+'C&amp;E'!A35+CES!A35+LLT!A35+GB!A35</f>
        <v>0</v>
      </c>
      <c r="B35" s="7">
        <f>CEO!B35+CS!B35+CFO!B35+LLA!B35+'C&amp;E'!B35+CES!B35+LLT!B35+GB!B35</f>
        <v>0</v>
      </c>
      <c r="C35" s="7">
        <f>CEO!C35+CS!C35+CFO!C35+LLA!C35+'C&amp;E'!C35+CES!C35+LLT!C35+GB!C35</f>
        <v>0</v>
      </c>
      <c r="D35" s="7">
        <f>CEO!D35+CS!D35+CFO!D35+LLA!D35+'C&amp;E'!D35+CES!D35+LLT!D35+GB!D35</f>
        <v>0</v>
      </c>
      <c r="E35" s="7">
        <f>CEO!E35+CS!E35+CFO!E35+LLA!E35+'C&amp;E'!E35+CES!E35+LLT!E35+GB!E35</f>
        <v>0</v>
      </c>
      <c r="F35" s="7">
        <f>CEO!F35+CS!F35+CFO!F35+LLA!F35+'C&amp;E'!F35+CES!F35+LLT!F35+GB!F35</f>
        <v>0</v>
      </c>
      <c r="G35" s="7">
        <f>CEO!G35+CS!G35+CFO!G35+LLA!G35+'C&amp;E'!G35+CES!G35+LLT!G35+GB!G35</f>
        <v>0</v>
      </c>
      <c r="H35" s="7">
        <f>CEO!H35+CS!H35+CFO!H35+LLA!H35+'C&amp;E'!H35+CES!H35+LLT!H35+GB!H35</f>
        <v>0</v>
      </c>
      <c r="I35" s="7">
        <f>CEO!I35+CS!I35+CFO!I35+LLA!I35+'C&amp;E'!I35+CES!I35+LLT!I35+GB!I35</f>
        <v>0</v>
      </c>
      <c r="J35" s="7">
        <f>CEO!J35+CS!J35+CFO!J35+LLA!J35+'C&amp;E'!J35+CES!J35+LLT!J35+GB!J35</f>
        <v>0</v>
      </c>
      <c r="K35" s="7">
        <f>CEO!K35+CS!K35+CFO!K35+LLA!K35+'C&amp;E'!K35+CES!K35+LLT!K35+GB!K35</f>
        <v>0</v>
      </c>
      <c r="L35" s="7">
        <f>CEO!L35+CS!L35+CFO!L35+LLA!L35+'C&amp;E'!L35+CES!L35+LLT!L35+GB!L35</f>
        <v>0</v>
      </c>
      <c r="M35" s="13" t="s">
        <v>104</v>
      </c>
      <c r="N35" s="7">
        <f t="shared" si="9"/>
        <v>0</v>
      </c>
      <c r="O35" s="7">
        <f t="shared" si="1"/>
        <v>0</v>
      </c>
      <c r="P35" s="7">
        <f t="shared" si="2"/>
        <v>0</v>
      </c>
      <c r="Q35" s="7">
        <v>0</v>
      </c>
      <c r="R35" s="7">
        <f t="shared" si="3"/>
        <v>0</v>
      </c>
      <c r="S35" s="7"/>
    </row>
    <row r="36" spans="1:19" x14ac:dyDescent="0.3">
      <c r="A36" s="7">
        <f>CEO!A36+CS!A36+CFO!A36+LLA!A36+'C&amp;E'!A36+CES!A36+LLT!A36+GB!A36</f>
        <v>0</v>
      </c>
      <c r="B36" s="7">
        <f>CEO!B36+CS!B36+CFO!B36+LLA!B36+'C&amp;E'!B36+CES!B36+LLT!B36+GB!B36</f>
        <v>0</v>
      </c>
      <c r="C36" s="7">
        <f>CEO!C36+CS!C36+CFO!C36+LLA!C36+'C&amp;E'!C36+CES!C36+LLT!C36+GB!C36</f>
        <v>0</v>
      </c>
      <c r="D36" s="7">
        <f>CEO!D36+CS!D36+CFO!D36+LLA!D36+'C&amp;E'!D36+CES!D36+LLT!D36+GB!D36</f>
        <v>0</v>
      </c>
      <c r="E36" s="7">
        <f>CEO!E36+CS!E36+CFO!E36+LLA!E36+'C&amp;E'!E36+CES!E36+LLT!E36+GB!E36</f>
        <v>0</v>
      </c>
      <c r="F36" s="7">
        <f>CEO!F36+CS!F36+CFO!F36+LLA!F36+'C&amp;E'!F36+CES!F36+LLT!F36+GB!F36</f>
        <v>0</v>
      </c>
      <c r="G36" s="7">
        <f>CEO!G36+CS!G36+CFO!G36+LLA!G36+'C&amp;E'!G36+CES!G36+LLT!G36+GB!G36</f>
        <v>0</v>
      </c>
      <c r="H36" s="7">
        <f>CEO!H36+CS!H36+CFO!H36+LLA!H36+'C&amp;E'!H36+CES!H36+LLT!H36+GB!H36</f>
        <v>0</v>
      </c>
      <c r="I36" s="7">
        <f>CEO!I36+CS!I36+CFO!I36+LLA!I36+'C&amp;E'!I36+CES!I36+LLT!I36+GB!I36</f>
        <v>0</v>
      </c>
      <c r="J36" s="7">
        <f>CEO!J36+CS!J36+CFO!J36+LLA!J36+'C&amp;E'!J36+CES!J36+LLT!J36+GB!J36</f>
        <v>0</v>
      </c>
      <c r="K36" s="7">
        <f>CEO!K36+CS!K36+CFO!K36+LLA!K36+'C&amp;E'!K36+CES!K36+LLT!K36+GB!K36</f>
        <v>0</v>
      </c>
      <c r="L36" s="7">
        <f>CEO!L36+CS!L36+CFO!L36+LLA!L36+'C&amp;E'!L36+CES!L36+LLT!L36+GB!L36</f>
        <v>0</v>
      </c>
      <c r="M36" s="13" t="s">
        <v>105</v>
      </c>
      <c r="N36" s="7">
        <f t="shared" si="9"/>
        <v>0</v>
      </c>
      <c r="O36" s="7">
        <f t="shared" si="1"/>
        <v>0</v>
      </c>
      <c r="P36" s="7">
        <f t="shared" si="2"/>
        <v>0</v>
      </c>
      <c r="Q36" s="7">
        <v>40246.807649999995</v>
      </c>
      <c r="R36" s="7">
        <f t="shared" si="3"/>
        <v>-40246.807649999995</v>
      </c>
      <c r="S36" s="7"/>
    </row>
    <row r="37" spans="1:19" x14ac:dyDescent="0.3">
      <c r="A37" s="7">
        <f>CEO!A37+CS!A37+CFO!A37+LLA!A37+'C&amp;E'!A37+CES!A37+LLT!A37+GB!A37</f>
        <v>23763.4</v>
      </c>
      <c r="B37" s="7">
        <f>CEO!B37+CS!B37+CFO!B37+LLA!B37+'C&amp;E'!B37+CES!B37+LLT!B37+GB!B37</f>
        <v>23763.4</v>
      </c>
      <c r="C37" s="7">
        <f>CEO!C37+CS!C37+CFO!C37+LLA!C37+'C&amp;E'!C37+CES!C37+LLT!C37+GB!C37</f>
        <v>23763.4</v>
      </c>
      <c r="D37" s="7">
        <f>CEO!D37+CS!D37+CFO!D37+LLA!D37+'C&amp;E'!D37+CES!D37+LLT!D37+GB!D37</f>
        <v>23763.4</v>
      </c>
      <c r="E37" s="7">
        <f>CEO!E37+CS!E37+CFO!E37+LLA!E37+'C&amp;E'!E37+CES!E37+LLT!E37+GB!E37</f>
        <v>23763.4</v>
      </c>
      <c r="F37" s="7">
        <f>CEO!F37+CS!F37+CFO!F37+LLA!F37+'C&amp;E'!F37+CES!F37+LLT!F37+GB!F37</f>
        <v>23763.4</v>
      </c>
      <c r="G37" s="7">
        <f>CEO!G37+CS!G37+CFO!G37+LLA!G37+'C&amp;E'!G37+CES!G37+LLT!G37+GB!G37</f>
        <v>23763.4</v>
      </c>
      <c r="H37" s="7">
        <f>CEO!H37+CS!H37+CFO!H37+LLA!H37+'C&amp;E'!H37+CES!H37+LLT!H37+GB!H37</f>
        <v>23763.4</v>
      </c>
      <c r="I37" s="7">
        <f>CEO!I37+CS!I37+CFO!I37+LLA!I37+'C&amp;E'!I37+CES!I37+LLT!I37+GB!I37</f>
        <v>23763.4</v>
      </c>
      <c r="J37" s="7">
        <f>CEO!J37+CS!J37+CFO!J37+LLA!J37+'C&amp;E'!J37+CES!J37+LLT!J37+GB!J37</f>
        <v>23763.4</v>
      </c>
      <c r="K37" s="7">
        <f>CEO!K37+CS!K37+CFO!K37+LLA!K37+'C&amp;E'!K37+CES!K37+LLT!K37+GB!K37</f>
        <v>23763.4</v>
      </c>
      <c r="L37" s="7">
        <f>CEO!L37+CS!L37+CFO!L37+LLA!L37+'C&amp;E'!L37+CES!L37+LLT!L37+GB!L37</f>
        <v>23766.400000000001</v>
      </c>
      <c r="M37" s="238" t="s">
        <v>106</v>
      </c>
      <c r="N37" s="7">
        <f t="shared" si="9"/>
        <v>213870.59999999998</v>
      </c>
      <c r="O37" s="7">
        <f t="shared" si="1"/>
        <v>71293.200000000012</v>
      </c>
      <c r="P37" s="7">
        <f t="shared" si="2"/>
        <v>285163.8</v>
      </c>
      <c r="Q37" s="7">
        <v>361762.00398000004</v>
      </c>
      <c r="R37" s="7">
        <f t="shared" si="3"/>
        <v>-76598.203980000049</v>
      </c>
      <c r="S37" s="7"/>
    </row>
    <row r="38" spans="1:19" x14ac:dyDescent="0.3">
      <c r="A38" s="7">
        <f>CEO!A38+CS!A38+CFO!A38+LLA!A38+'C&amp;E'!A38+CES!A38+LLT!A38+GB!A38</f>
        <v>249170.38400000002</v>
      </c>
      <c r="B38" s="7">
        <f>CEO!B38+CS!B38+CFO!B38+LLA!B38+'C&amp;E'!B38+CES!B38+LLT!B38+GB!B38</f>
        <v>249170.38400000002</v>
      </c>
      <c r="C38" s="7">
        <f>CEO!C38+CS!C38+CFO!C38+LLA!C38+'C&amp;E'!C38+CES!C38+LLT!C38+GB!C38</f>
        <v>249170.38400000002</v>
      </c>
      <c r="D38" s="7">
        <f>CEO!D38+CS!D38+CFO!D38+LLA!D38+'C&amp;E'!D38+CES!D38+LLT!D38+GB!D38</f>
        <v>249170.38400000002</v>
      </c>
      <c r="E38" s="7">
        <f>CEO!E38+CS!E38+CFO!E38+LLA!E38+'C&amp;E'!E38+CES!E38+LLT!E38+GB!E38</f>
        <v>249170.38400000002</v>
      </c>
      <c r="F38" s="7">
        <f>CEO!F38+CS!F38+CFO!F38+LLA!F38+'C&amp;E'!F38+CES!F38+LLT!F38+GB!F38</f>
        <v>249170.38400000002</v>
      </c>
      <c r="G38" s="7">
        <f>CEO!G38+CS!G38+CFO!G38+LLA!G38+'C&amp;E'!G38+CES!G38+LLT!G38+GB!G38</f>
        <v>249170.38400000002</v>
      </c>
      <c r="H38" s="7">
        <f>CEO!H38+CS!H38+CFO!H38+LLA!H38+'C&amp;E'!H38+CES!H38+LLT!H38+GB!H38</f>
        <v>249170.38400000002</v>
      </c>
      <c r="I38" s="7">
        <f>CEO!I38+CS!I38+CFO!I38+LLA!I38+'C&amp;E'!I38+CES!I38+LLT!I38+GB!I38</f>
        <v>249170.38400000002</v>
      </c>
      <c r="J38" s="7">
        <f>CEO!J38+CS!J38+CFO!J38+LLA!J38+'C&amp;E'!J38+CES!J38+LLT!J38+GB!J38</f>
        <v>249170.38400000002</v>
      </c>
      <c r="K38" s="7">
        <f>CEO!K38+CS!K38+CFO!K38+LLA!K38+'C&amp;E'!K38+CES!K38+LLT!K38+GB!K38</f>
        <v>249170.38400000002</v>
      </c>
      <c r="L38" s="7">
        <f>CEO!L38+CS!L38+CFO!L38+LLA!L38+'C&amp;E'!L38+CES!L38+LLT!L38+GB!L38</f>
        <v>249175.59255999926</v>
      </c>
      <c r="M38" s="13" t="s">
        <v>107</v>
      </c>
      <c r="N38" s="7">
        <f t="shared" si="9"/>
        <v>2242533.4560000002</v>
      </c>
      <c r="O38" s="7">
        <f t="shared" si="1"/>
        <v>747516.36055999924</v>
      </c>
      <c r="P38" s="7">
        <f t="shared" si="2"/>
        <v>2990049.8165599992</v>
      </c>
      <c r="Q38" s="7">
        <v>2581344.1599999997</v>
      </c>
      <c r="R38" s="7">
        <f t="shared" si="3"/>
        <v>408705.65655999957</v>
      </c>
      <c r="S38" s="7"/>
    </row>
    <row r="39" spans="1:19" x14ac:dyDescent="0.3">
      <c r="A39" s="7">
        <f>CEO!A39+CS!A39+CFO!A39+LLA!A39+'C&amp;E'!A39+CES!A39+LLT!A39+GB!A39</f>
        <v>60451.784</v>
      </c>
      <c r="B39" s="7">
        <f>CEO!B39+CS!B39+CFO!B39+LLA!B39+'C&amp;E'!B39+CES!B39+LLT!B39+GB!B39</f>
        <v>60451.784</v>
      </c>
      <c r="C39" s="7">
        <f>CEO!C39+CS!C39+CFO!C39+LLA!C39+'C&amp;E'!C39+CES!C39+LLT!C39+GB!C39</f>
        <v>60451.784</v>
      </c>
      <c r="D39" s="7">
        <f>CEO!D39+CS!D39+CFO!D39+LLA!D39+'C&amp;E'!D39+CES!D39+LLT!D39+GB!D39</f>
        <v>60451.784</v>
      </c>
      <c r="E39" s="7">
        <f>CEO!E39+CS!E39+CFO!E39+LLA!E39+'C&amp;E'!E39+CES!E39+LLT!E39+GB!E39</f>
        <v>60451.784</v>
      </c>
      <c r="F39" s="7">
        <f>CEO!F39+CS!F39+CFO!F39+LLA!F39+'C&amp;E'!F39+CES!F39+LLT!F39+GB!F39</f>
        <v>60451.784</v>
      </c>
      <c r="G39" s="7">
        <f>CEO!G39+CS!G39+CFO!G39+LLA!G39+'C&amp;E'!G39+CES!G39+LLT!G39+GB!G39</f>
        <v>60451.784</v>
      </c>
      <c r="H39" s="7">
        <f>CEO!H39+CS!H39+CFO!H39+LLA!H39+'C&amp;E'!H39+CES!H39+LLT!H39+GB!H39</f>
        <v>60451.784</v>
      </c>
      <c r="I39" s="7">
        <f>CEO!I39+CS!I39+CFO!I39+LLA!I39+'C&amp;E'!I39+CES!I39+LLT!I39+GB!I39</f>
        <v>60451.784</v>
      </c>
      <c r="J39" s="7">
        <f>CEO!J39+CS!J39+CFO!J39+LLA!J39+'C&amp;E'!J39+CES!J39+LLT!J39+GB!J39</f>
        <v>60451.784</v>
      </c>
      <c r="K39" s="7">
        <f>CEO!K39+CS!K39+CFO!K39+LLA!K39+'C&amp;E'!K39+CES!K39+LLT!K39+GB!K39</f>
        <v>60451.784</v>
      </c>
      <c r="L39" s="7">
        <f>CEO!L39+CS!L39+CFO!L39+LLA!L39+'C&amp;E'!L39+CES!L39+LLT!L39+GB!L39</f>
        <v>60453.259586096057</v>
      </c>
      <c r="M39" s="13" t="s">
        <v>108</v>
      </c>
      <c r="N39" s="7">
        <f t="shared" si="9"/>
        <v>544066.05599999998</v>
      </c>
      <c r="O39" s="7">
        <f t="shared" si="1"/>
        <v>181356.82758609607</v>
      </c>
      <c r="P39" s="7">
        <f t="shared" si="2"/>
        <v>725422.88358609611</v>
      </c>
      <c r="Q39" s="7">
        <v>662197.40800199995</v>
      </c>
      <c r="R39" s="7">
        <f t="shared" si="3"/>
        <v>63225.475584096159</v>
      </c>
      <c r="S39" s="7"/>
    </row>
    <row r="40" spans="1:19" x14ac:dyDescent="0.3">
      <c r="A40" s="7">
        <f>CEO!A40+CS!A40+CFO!A40+LLA!A40+'C&amp;E'!A40+CES!A40+LLT!A40+GB!A40</f>
        <v>1180.048</v>
      </c>
      <c r="B40" s="7">
        <f>CEO!B40+CS!B40+CFO!B40+LLA!B40+'C&amp;E'!B40+CES!B40+LLT!B40+GB!B40</f>
        <v>1180.048</v>
      </c>
      <c r="C40" s="7">
        <f>CEO!C40+CS!C40+CFO!C40+LLA!C40+'C&amp;E'!C40+CES!C40+LLT!C40+GB!C40</f>
        <v>1180.048</v>
      </c>
      <c r="D40" s="7">
        <f>CEO!D40+CS!D40+CFO!D40+LLA!D40+'C&amp;E'!D40+CES!D40+LLT!D40+GB!D40</f>
        <v>1180.048</v>
      </c>
      <c r="E40" s="7">
        <f>CEO!E40+CS!E40+CFO!E40+LLA!E40+'C&amp;E'!E40+CES!E40+LLT!E40+GB!E40</f>
        <v>1180.048</v>
      </c>
      <c r="F40" s="7">
        <f>CEO!F40+CS!F40+CFO!F40+LLA!F40+'C&amp;E'!F40+CES!F40+LLT!F40+GB!F40</f>
        <v>1180.048</v>
      </c>
      <c r="G40" s="7">
        <f>CEO!G40+CS!G40+CFO!G40+LLA!G40+'C&amp;E'!G40+CES!G40+LLT!G40+GB!G40</f>
        <v>1180.048</v>
      </c>
      <c r="H40" s="7">
        <f>CEO!H40+CS!H40+CFO!H40+LLA!H40+'C&amp;E'!H40+CES!H40+LLT!H40+GB!H40</f>
        <v>1180.048</v>
      </c>
      <c r="I40" s="7">
        <f>CEO!I40+CS!I40+CFO!I40+LLA!I40+'C&amp;E'!I40+CES!I40+LLT!I40+GB!I40</f>
        <v>1180.048</v>
      </c>
      <c r="J40" s="7">
        <f>CEO!J40+CS!J40+CFO!J40+LLA!J40+'C&amp;E'!J40+CES!J40+LLT!J40+GB!J40</f>
        <v>1180.048</v>
      </c>
      <c r="K40" s="7">
        <f>CEO!K40+CS!K40+CFO!K40+LLA!K40+'C&amp;E'!K40+CES!K40+LLT!K40+GB!K40</f>
        <v>1180.048</v>
      </c>
      <c r="L40" s="7">
        <f>CEO!L40+CS!L40+CFO!L40+LLA!L40+'C&amp;E'!L40+CES!L40+LLT!L40+GB!L40</f>
        <v>1184.7884453126419</v>
      </c>
      <c r="M40" s="13" t="s">
        <v>109</v>
      </c>
      <c r="N40" s="7">
        <f t="shared" si="9"/>
        <v>10620.432000000001</v>
      </c>
      <c r="O40" s="7">
        <f t="shared" si="1"/>
        <v>3544.8844453126421</v>
      </c>
      <c r="P40" s="7">
        <f t="shared" si="2"/>
        <v>14165.316445312643</v>
      </c>
      <c r="Q40" s="7">
        <v>20261.523325680002</v>
      </c>
      <c r="R40" s="7">
        <f t="shared" si="3"/>
        <v>-6096.2068803673592</v>
      </c>
      <c r="S40" s="7"/>
    </row>
    <row r="41" spans="1:19" x14ac:dyDescent="0.3">
      <c r="A41" s="7">
        <f>CEO!A41+CS!A41+CFO!A41+LLA!A41+'C&amp;E'!A41+CES!A41+LLT!A41+GB!A41</f>
        <v>19656.288</v>
      </c>
      <c r="B41" s="7">
        <f>CEO!B41+CS!B41+CFO!B41+LLA!B41+'C&amp;E'!B41+CES!B41+LLT!B41+GB!B41</f>
        <v>19656.288</v>
      </c>
      <c r="C41" s="7">
        <f>CEO!C41+CS!C41+CFO!C41+LLA!C41+'C&amp;E'!C41+CES!C41+LLT!C41+GB!C41</f>
        <v>19656.288</v>
      </c>
      <c r="D41" s="7">
        <f>CEO!D41+CS!D41+CFO!D41+LLA!D41+'C&amp;E'!D41+CES!D41+LLT!D41+GB!D41</f>
        <v>19656.288</v>
      </c>
      <c r="E41" s="7">
        <f>CEO!E41+CS!E41+CFO!E41+LLA!E41+'C&amp;E'!E41+CES!E41+LLT!E41+GB!E41</f>
        <v>19656.288</v>
      </c>
      <c r="F41" s="7">
        <f>CEO!F41+CS!F41+CFO!F41+LLA!F41+'C&amp;E'!F41+CES!F41+LLT!F41+GB!F41</f>
        <v>19656.288</v>
      </c>
      <c r="G41" s="7">
        <f>CEO!G41+CS!G41+CFO!G41+LLA!G41+'C&amp;E'!G41+CES!G41+LLT!G41+GB!G41</f>
        <v>19656.288</v>
      </c>
      <c r="H41" s="7">
        <f>CEO!H41+CS!H41+CFO!H41+LLA!H41+'C&amp;E'!H41+CES!H41+LLT!H41+GB!H41</f>
        <v>19656.288</v>
      </c>
      <c r="I41" s="7">
        <f>CEO!I41+CS!I41+CFO!I41+LLA!I41+'C&amp;E'!I41+CES!I41+LLT!I41+GB!I41</f>
        <v>19656.288</v>
      </c>
      <c r="J41" s="7">
        <f>CEO!J41+CS!J41+CFO!J41+LLA!J41+'C&amp;E'!J41+CES!J41+LLT!J41+GB!J41</f>
        <v>19656.288</v>
      </c>
      <c r="K41" s="7">
        <f>CEO!K41+CS!K41+CFO!K41+LLA!K41+'C&amp;E'!K41+CES!K41+LLT!K41+GB!K41</f>
        <v>19656.288</v>
      </c>
      <c r="L41" s="7">
        <f>CEO!L41+CS!L41+CFO!L41+LLA!L41+'C&amp;E'!L41+CES!L41+LLT!L41+GB!L41</f>
        <v>19653.382450392004</v>
      </c>
      <c r="M41" s="13" t="s">
        <v>110</v>
      </c>
      <c r="N41" s="7">
        <f t="shared" si="9"/>
        <v>176906.592</v>
      </c>
      <c r="O41" s="7">
        <f t="shared" si="1"/>
        <v>58965.958450392005</v>
      </c>
      <c r="P41" s="7">
        <f t="shared" si="2"/>
        <v>235872.55045039201</v>
      </c>
      <c r="Q41" s="7">
        <v>222102.227529</v>
      </c>
      <c r="R41" s="7">
        <f t="shared" si="3"/>
        <v>13770.322921392013</v>
      </c>
      <c r="S41" s="7"/>
    </row>
    <row r="42" spans="1:19" x14ac:dyDescent="0.3">
      <c r="A42" s="7">
        <f>CEO!A42+CS!A42+CFO!A42+LLA!A42+'C&amp;E'!A42+CES!A42+LLT!A42+GB!A42</f>
        <v>13516.056</v>
      </c>
      <c r="B42" s="7">
        <f>CEO!B42+CS!B42+CFO!B42+LLA!B42+'C&amp;E'!B42+CES!B42+LLT!B42+GB!B42</f>
        <v>13516.056</v>
      </c>
      <c r="C42" s="7">
        <f>CEO!C42+CS!C42+CFO!C42+LLA!C42+'C&amp;E'!C42+CES!C42+LLT!C42+GB!C42</f>
        <v>13516.056</v>
      </c>
      <c r="D42" s="7">
        <f>CEO!D42+CS!D42+CFO!D42+LLA!D42+'C&amp;E'!D42+CES!D42+LLT!D42+GB!D42</f>
        <v>13516.056</v>
      </c>
      <c r="E42" s="7">
        <f>CEO!E42+CS!E42+CFO!E42+LLA!E42+'C&amp;E'!E42+CES!E42+LLT!E42+GB!E42</f>
        <v>13516.056</v>
      </c>
      <c r="F42" s="7">
        <f>CEO!F42+CS!F42+CFO!F42+LLA!F42+'C&amp;E'!F42+CES!F42+LLT!F42+GB!F42</f>
        <v>13516.056</v>
      </c>
      <c r="G42" s="7">
        <f>CEO!G42+CS!G42+CFO!G42+LLA!G42+'C&amp;E'!G42+CES!G42+LLT!G42+GB!G42</f>
        <v>13516.056</v>
      </c>
      <c r="H42" s="7">
        <f>CEO!H42+CS!H42+CFO!H42+LLA!H42+'C&amp;E'!H42+CES!H42+LLT!H42+GB!H42</f>
        <v>13516.056</v>
      </c>
      <c r="I42" s="7">
        <f>CEO!I42+CS!I42+CFO!I42+LLA!I42+'C&amp;E'!I42+CES!I42+LLT!I42+GB!I42</f>
        <v>13516.056</v>
      </c>
      <c r="J42" s="7">
        <f>CEO!J42+CS!J42+CFO!J42+LLA!J42+'C&amp;E'!J42+CES!J42+LLT!J42+GB!J42</f>
        <v>13516.056</v>
      </c>
      <c r="K42" s="7">
        <f>CEO!K42+CS!K42+CFO!K42+LLA!K42+'C&amp;E'!K42+CES!K42+LLT!K42+GB!K42</f>
        <v>13516.056</v>
      </c>
      <c r="L42" s="7">
        <f>CEO!L42+CS!L42+CFO!L42+LLA!L42+'C&amp;E'!L42+CES!L42+LLT!L42+GB!L42</f>
        <v>13518.053729039984</v>
      </c>
      <c r="M42" s="13" t="s">
        <v>111</v>
      </c>
      <c r="N42" s="7">
        <f t="shared" si="9"/>
        <v>121644.50399999999</v>
      </c>
      <c r="O42" s="7">
        <f t="shared" si="1"/>
        <v>40550.165729039989</v>
      </c>
      <c r="P42" s="7">
        <f t="shared" si="2"/>
        <v>162194.66972903998</v>
      </c>
      <c r="Q42" s="7">
        <v>447226.90622999996</v>
      </c>
      <c r="R42" s="7">
        <f t="shared" si="3"/>
        <v>-285032.23650095996</v>
      </c>
      <c r="S42" s="7"/>
    </row>
    <row r="43" spans="1:19" x14ac:dyDescent="0.3">
      <c r="A43" s="7">
        <f>CEO!A43+CS!A43+CFO!A43+LLA!A43+'C&amp;E'!A43+CES!A43+LLT!A43+GB!A43</f>
        <v>12851.624</v>
      </c>
      <c r="B43" s="7">
        <f>CEO!B43+CS!B43+CFO!B43+LLA!B43+'C&amp;E'!B43+CES!B43+LLT!B43+GB!B43</f>
        <v>12851.624</v>
      </c>
      <c r="C43" s="7">
        <f>CEO!C43+CS!C43+CFO!C43+LLA!C43+'C&amp;E'!C43+CES!C43+LLT!C43+GB!C43</f>
        <v>12851.624</v>
      </c>
      <c r="D43" s="7">
        <f>CEO!D43+CS!D43+CFO!D43+LLA!D43+'C&amp;E'!D43+CES!D43+LLT!D43+GB!D43</f>
        <v>12851.624</v>
      </c>
      <c r="E43" s="7">
        <f>CEO!E43+CS!E43+CFO!E43+LLA!E43+'C&amp;E'!E43+CES!E43+LLT!E43+GB!E43</f>
        <v>12851.624</v>
      </c>
      <c r="F43" s="7">
        <f>CEO!F43+CS!F43+CFO!F43+LLA!F43+'C&amp;E'!F43+CES!F43+LLT!F43+GB!F43</f>
        <v>12851.624</v>
      </c>
      <c r="G43" s="7">
        <f>CEO!G43+CS!G43+CFO!G43+LLA!G43+'C&amp;E'!G43+CES!G43+LLT!G43+GB!G43</f>
        <v>12851.624</v>
      </c>
      <c r="H43" s="7">
        <f>CEO!H43+CS!H43+CFO!H43+LLA!H43+'C&amp;E'!H43+CES!H43+LLT!H43+GB!H43</f>
        <v>12851.624</v>
      </c>
      <c r="I43" s="7">
        <f>CEO!I43+CS!I43+CFO!I43+LLA!I43+'C&amp;E'!I43+CES!I43+LLT!I43+GB!I43</f>
        <v>12851.624</v>
      </c>
      <c r="J43" s="7">
        <f>CEO!J43+CS!J43+CFO!J43+LLA!J43+'C&amp;E'!J43+CES!J43+LLT!J43+GB!J43</f>
        <v>12851.624</v>
      </c>
      <c r="K43" s="7">
        <f>CEO!K43+CS!K43+CFO!K43+LLA!K43+'C&amp;E'!K43+CES!K43+LLT!K43+GB!K43</f>
        <v>12851.624</v>
      </c>
      <c r="L43" s="7">
        <f>CEO!L43+CS!L43+CFO!L43+LLA!L43+'C&amp;E'!L43+CES!L43+LLT!L43+GB!L43</f>
        <v>12853.283843360015</v>
      </c>
      <c r="M43" s="13" t="s">
        <v>112</v>
      </c>
      <c r="N43" s="7">
        <f t="shared" si="9"/>
        <v>115664.61599999998</v>
      </c>
      <c r="O43" s="7">
        <f t="shared" si="1"/>
        <v>38556.531843360019</v>
      </c>
      <c r="P43" s="7">
        <f t="shared" si="2"/>
        <v>154221.14784336</v>
      </c>
      <c r="Q43" s="7">
        <v>167320.58382</v>
      </c>
      <c r="R43" s="7">
        <f t="shared" si="3"/>
        <v>-13099.435976640001</v>
      </c>
      <c r="S43" s="7"/>
    </row>
    <row r="44" spans="1:19" x14ac:dyDescent="0.3">
      <c r="A44" s="11">
        <f>CEO!A44+CS!A44+CFO!A44+LLA!A44+'C&amp;E'!A44+CES!A44+LLT!A44+GB!A44</f>
        <v>0</v>
      </c>
      <c r="B44" s="11">
        <f>CEO!B44+CS!B44+CFO!B44+LLA!B44+'C&amp;E'!B44+CES!B44+LLT!B44+GB!B44</f>
        <v>0</v>
      </c>
      <c r="C44" s="11">
        <f>CEO!C44+CS!C44+CFO!C44+LLA!C44+'C&amp;E'!C44+CES!C44+LLT!C44+GB!C44</f>
        <v>0</v>
      </c>
      <c r="D44" s="11">
        <f>CEO!D44+CS!D44+CFO!D44+LLA!D44+'C&amp;E'!D44+CES!D44+LLT!D44+GB!D44</f>
        <v>0</v>
      </c>
      <c r="E44" s="11">
        <f>CEO!E44+CS!E44+CFO!E44+LLA!E44+'C&amp;E'!E44+CES!E44+LLT!E44+GB!E44</f>
        <v>0</v>
      </c>
      <c r="F44" s="11">
        <f>CEO!F44+CS!F44+CFO!F44+LLA!F44+'C&amp;E'!F44+CES!F44+LLT!F44+GB!F44</f>
        <v>0</v>
      </c>
      <c r="G44" s="11">
        <f>CEO!G44+CS!G44+CFO!G44+LLA!G44+'C&amp;E'!G44+CES!G44+LLT!G44+GB!G44</f>
        <v>0</v>
      </c>
      <c r="H44" s="11">
        <f>CEO!H44+CS!H44+CFO!H44+LLA!H44+'C&amp;E'!H44+CES!H44+LLT!H44+GB!H44</f>
        <v>0</v>
      </c>
      <c r="I44" s="11">
        <f>CEO!I44+CS!I44+CFO!I44+LLA!I44+'C&amp;E'!I44+CES!I44+LLT!I44+GB!I44</f>
        <v>0</v>
      </c>
      <c r="J44" s="11">
        <f>CEO!J44+CS!J44+CFO!J44+LLA!J44+'C&amp;E'!J44+CES!J44+LLT!J44+GB!J44</f>
        <v>0</v>
      </c>
      <c r="K44" s="11">
        <f>CEO!K44+CS!K44+CFO!K44+LLA!K44+'C&amp;E'!K44+CES!K44+LLT!K44+GB!K44</f>
        <v>0</v>
      </c>
      <c r="L44" s="11">
        <f>CEO!L44+CS!L44+CFO!L44+LLA!L44+'C&amp;E'!L44+CES!L44+LLT!L44+GB!L44</f>
        <v>0</v>
      </c>
      <c r="M44" s="238" t="s">
        <v>113</v>
      </c>
      <c r="N44" s="11">
        <f t="shared" si="9"/>
        <v>0</v>
      </c>
      <c r="O44" s="11">
        <f t="shared" si="1"/>
        <v>0</v>
      </c>
      <c r="P44" s="11">
        <f t="shared" si="2"/>
        <v>0</v>
      </c>
      <c r="Q44" s="11">
        <v>0</v>
      </c>
      <c r="R44" s="11">
        <f t="shared" si="3"/>
        <v>0</v>
      </c>
      <c r="S44" s="11"/>
    </row>
    <row r="45" spans="1:19" ht="4.2" customHeight="1" x14ac:dyDescent="0.3">
      <c r="A45" s="86"/>
      <c r="B45" s="86"/>
      <c r="C45" s="86"/>
      <c r="D45" s="85"/>
      <c r="E45" s="83"/>
      <c r="F45" s="83"/>
      <c r="G45" s="83"/>
      <c r="H45" s="83"/>
      <c r="I45" s="83"/>
      <c r="J45" s="83"/>
      <c r="K45" s="83"/>
      <c r="L45" s="83"/>
      <c r="M45" s="13"/>
      <c r="N45" s="83">
        <f t="shared" si="4"/>
        <v>0</v>
      </c>
      <c r="O45" s="83">
        <f t="shared" si="1"/>
        <v>0</v>
      </c>
      <c r="P45" s="83">
        <f t="shared" si="2"/>
        <v>0</v>
      </c>
      <c r="Q45" s="83"/>
      <c r="R45" s="83">
        <f t="shared" si="3"/>
        <v>0</v>
      </c>
      <c r="S45" s="86"/>
    </row>
    <row r="46" spans="1:19" x14ac:dyDescent="0.3">
      <c r="A46" s="4">
        <f>SUM(A30:A44)</f>
        <v>502990.74400000001</v>
      </c>
      <c r="B46" s="4">
        <f>SUM(B30:B44)</f>
        <v>798505.95167999994</v>
      </c>
      <c r="C46" s="4">
        <f>SUM(C30:C44)</f>
        <v>974090.79559999984</v>
      </c>
      <c r="D46" s="4">
        <f t="shared" ref="D46:L46" si="10">SUM(D30:D44)</f>
        <v>1170862.4581600002</v>
      </c>
      <c r="E46" s="4">
        <f t="shared" si="10"/>
        <v>745303.31991999992</v>
      </c>
      <c r="F46" s="4">
        <f t="shared" si="10"/>
        <v>502990.74400000001</v>
      </c>
      <c r="G46" s="4">
        <f t="shared" si="10"/>
        <v>502990.74400000001</v>
      </c>
      <c r="H46" s="4">
        <f t="shared" si="10"/>
        <v>502990.74400000001</v>
      </c>
      <c r="I46" s="4">
        <f t="shared" si="10"/>
        <v>502990.74400000001</v>
      </c>
      <c r="J46" s="4">
        <f t="shared" si="10"/>
        <v>502990.74400000001</v>
      </c>
      <c r="K46" s="4">
        <f t="shared" si="10"/>
        <v>502990.74400000001</v>
      </c>
      <c r="L46" s="4">
        <f t="shared" si="10"/>
        <v>503001.74750390404</v>
      </c>
      <c r="M46" s="13" t="s">
        <v>114</v>
      </c>
      <c r="N46" s="4">
        <f>SUM(N30:N44)</f>
        <v>6203716.245360001</v>
      </c>
      <c r="O46" s="4">
        <f>SUM(O30:O44)</f>
        <v>1508983.2355039043</v>
      </c>
      <c r="P46" s="4">
        <f t="shared" si="2"/>
        <v>7712699.4808639055</v>
      </c>
      <c r="Q46" s="4">
        <v>7562686.2170481198</v>
      </c>
      <c r="R46" s="4">
        <f t="shared" si="3"/>
        <v>150013.26381578576</v>
      </c>
      <c r="S46" s="4"/>
    </row>
    <row r="47" spans="1:19" x14ac:dyDescent="0.3">
      <c r="A47" s="81"/>
      <c r="B47" s="81"/>
      <c r="C47" s="81"/>
      <c r="D47" s="82"/>
      <c r="E47" s="86"/>
      <c r="F47" s="86"/>
      <c r="G47" s="86"/>
      <c r="H47" s="86"/>
      <c r="I47" s="86"/>
      <c r="J47" s="86"/>
      <c r="K47" s="86"/>
      <c r="L47" s="86"/>
      <c r="M47" s="80"/>
      <c r="N47" s="86">
        <f t="shared" si="4"/>
        <v>0</v>
      </c>
      <c r="O47" s="86">
        <f t="shared" si="1"/>
        <v>0</v>
      </c>
      <c r="P47" s="86">
        <f t="shared" si="2"/>
        <v>0</v>
      </c>
      <c r="Q47" s="86"/>
      <c r="R47" s="86">
        <f t="shared" si="3"/>
        <v>0</v>
      </c>
      <c r="S47" s="81"/>
    </row>
    <row r="48" spans="1:19" x14ac:dyDescent="0.3">
      <c r="A48" s="8">
        <f>CEO!A48+CS!A48+CFO!A48+LLA!A48+'C&amp;E'!A48+CES!A48+LLT!A48+GB!A48</f>
        <v>0</v>
      </c>
      <c r="B48" s="8">
        <f>CEO!B48+CS!B48+CFO!B48+LLA!B48+'C&amp;E'!B48+CES!B48+LLT!B48+GB!B48</f>
        <v>0</v>
      </c>
      <c r="C48" s="8">
        <f>CEO!C48+CS!C48+CFO!C48+LLA!C48+'C&amp;E'!C48+CES!C48+LLT!C48+GB!C48</f>
        <v>0</v>
      </c>
      <c r="D48" s="8">
        <f>CEO!D48+CS!D48+CFO!D48+LLA!D48+'C&amp;E'!D48+CES!D48+LLT!D48+GB!D48</f>
        <v>0</v>
      </c>
      <c r="E48" s="8">
        <f>CEO!E48+CS!E48+CFO!E48+LLA!E48+'C&amp;E'!E48+CES!E48+LLT!E48+GB!E48</f>
        <v>0</v>
      </c>
      <c r="F48" s="8">
        <f>CEO!F48+CS!F48+CFO!F48+LLA!F48+'C&amp;E'!F48+CES!F48+LLT!F48+GB!F48</f>
        <v>0</v>
      </c>
      <c r="G48" s="8">
        <f>CEO!G48+CS!G48+CFO!G48+LLA!G48+'C&amp;E'!G48+CES!G48+LLT!G48+GB!G48</f>
        <v>0</v>
      </c>
      <c r="H48" s="8">
        <f>CEO!H48+CS!H48+CFO!H48+LLA!H48+'C&amp;E'!H48+CES!H48+LLT!H48+GB!H48</f>
        <v>0</v>
      </c>
      <c r="I48" s="8">
        <f>CEO!I48+CS!I48+CFO!I48+LLA!I48+'C&amp;E'!I48+CES!I48+LLT!I48+GB!I48</f>
        <v>0</v>
      </c>
      <c r="J48" s="8">
        <f>CEO!J48+CS!J48+CFO!J48+LLA!J48+'C&amp;E'!J48+CES!J48+LLT!J48+GB!J48</f>
        <v>0</v>
      </c>
      <c r="K48" s="8">
        <f>CEO!K48+CS!K48+CFO!K48+LLA!K48+'C&amp;E'!K48+CES!K48+LLT!K48+GB!K48</f>
        <v>0</v>
      </c>
      <c r="L48" s="8">
        <f>CEO!L48+CS!L48+CFO!L48+LLA!L48+'C&amp;E'!L48+CES!L48+LLT!L48+GB!L48</f>
        <v>0</v>
      </c>
      <c r="M48" s="238" t="s">
        <v>115</v>
      </c>
      <c r="N48" s="8">
        <f t="shared" ref="N48:N63" si="11">SUM(A48:I48)</f>
        <v>0</v>
      </c>
      <c r="O48" s="8">
        <f t="shared" si="1"/>
        <v>0</v>
      </c>
      <c r="P48" s="8">
        <f t="shared" si="2"/>
        <v>0</v>
      </c>
      <c r="Q48" s="8">
        <v>0</v>
      </c>
      <c r="R48" s="8">
        <f t="shared" si="3"/>
        <v>0</v>
      </c>
      <c r="S48" s="8"/>
    </row>
    <row r="49" spans="1:19" x14ac:dyDescent="0.3">
      <c r="A49" s="7">
        <f>CEO!A49+CS!A49+CFO!A49+LLA!A49+'C&amp;E'!A49+CES!A49+LLT!A49+GB!A49</f>
        <v>2300.36</v>
      </c>
      <c r="B49" s="7">
        <f>CEO!B49+CS!B49+CFO!B49+LLA!B49+'C&amp;E'!B49+CES!B49+LLT!B49+GB!B49</f>
        <v>4277.9359999999997</v>
      </c>
      <c r="C49" s="7">
        <f>CEO!C49+CS!C49+CFO!C49+LLA!C49+'C&amp;E'!C49+CES!C49+LLT!C49+GB!C49</f>
        <v>3348.36</v>
      </c>
      <c r="D49" s="7">
        <f>CEO!D49+CS!D49+CFO!D49+LLA!D49+'C&amp;E'!D49+CES!D49+LLT!D49+GB!D49</f>
        <v>4277.9359999999997</v>
      </c>
      <c r="E49" s="7">
        <f>CEO!E49+CS!E49+CFO!E49+LLA!E49+'C&amp;E'!E49+CES!E49+LLT!E49+GB!E49</f>
        <v>6016.5680000000002</v>
      </c>
      <c r="F49" s="7">
        <f>CEO!F49+CS!F49+CFO!F49+LLA!F49+'C&amp;E'!F49+CES!F49+LLT!F49+GB!F49</f>
        <v>2300.36</v>
      </c>
      <c r="G49" s="7">
        <f>CEO!G49+CS!G49+CFO!G49+LLA!G49+'C&amp;E'!G49+CES!G49+LLT!G49+GB!G49</f>
        <v>5325.9359999999997</v>
      </c>
      <c r="H49" s="7">
        <f>CEO!H49+CS!H49+CFO!H49+LLA!H49+'C&amp;E'!H49+CES!H49+LLT!H49+GB!H49</f>
        <v>4277.9359999999997</v>
      </c>
      <c r="I49" s="7">
        <f>CEO!I49+CS!I49+CFO!I49+LLA!I49+'C&amp;E'!I49+CES!I49+LLT!I49+GB!I49</f>
        <v>2300.36</v>
      </c>
      <c r="J49" s="7">
        <f>CEO!J49+CS!J49+CFO!J49+LLA!J49+'C&amp;E'!J49+CES!J49+LLT!J49+GB!J49</f>
        <v>4277.9359999999997</v>
      </c>
      <c r="K49" s="7">
        <f>CEO!K49+CS!K49+CFO!K49+LLA!K49+'C&amp;E'!K49+CES!K49+LLT!K49+GB!K49</f>
        <v>2300.36</v>
      </c>
      <c r="L49" s="7">
        <f>CEO!L49+CS!L49+CFO!L49+LLA!L49+'C&amp;E'!L49+CES!L49+LLT!L49+GB!L49</f>
        <v>4759.7109833727391</v>
      </c>
      <c r="M49" s="13" t="s">
        <v>116</v>
      </c>
      <c r="N49" s="7">
        <f t="shared" si="11"/>
        <v>34425.752</v>
      </c>
      <c r="O49" s="7">
        <f t="shared" si="1"/>
        <v>11338.006983372739</v>
      </c>
      <c r="P49" s="7">
        <f t="shared" si="2"/>
        <v>45763.75898337274</v>
      </c>
      <c r="Q49" s="7">
        <v>22209.956483599999</v>
      </c>
      <c r="R49" s="7">
        <f t="shared" si="3"/>
        <v>23553.802499772741</v>
      </c>
      <c r="S49" s="7"/>
    </row>
    <row r="50" spans="1:19" x14ac:dyDescent="0.3">
      <c r="A50" s="7">
        <f>CEO!A50+CS!A50+CFO!A50+LLA!A50+'C&amp;E'!A50+CES!A50+LLT!A50+GB!A50</f>
        <v>4308.3280000000004</v>
      </c>
      <c r="B50" s="7">
        <f>CEO!B50+CS!B50+CFO!B50+LLA!B50+'C&amp;E'!B50+CES!B50+LLT!B50+GB!B50</f>
        <v>5474.7520000000004</v>
      </c>
      <c r="C50" s="7">
        <f>CEO!C50+CS!C50+CFO!C50+LLA!C50+'C&amp;E'!C50+CES!C50+LLT!C50+GB!C50</f>
        <v>4308.3280000000004</v>
      </c>
      <c r="D50" s="7">
        <f>CEO!D50+CS!D50+CFO!D50+LLA!D50+'C&amp;E'!D50+CES!D50+LLT!D50+GB!D50</f>
        <v>4308.3280000000004</v>
      </c>
      <c r="E50" s="7">
        <f>CEO!E50+CS!E50+CFO!E50+LLA!E50+'C&amp;E'!E50+CES!E50+LLT!E50+GB!E50</f>
        <v>4308.3280000000004</v>
      </c>
      <c r="F50" s="7">
        <f>CEO!F50+CS!F50+CFO!F50+LLA!F50+'C&amp;E'!F50+CES!F50+LLT!F50+GB!F50</f>
        <v>4532.6000000000013</v>
      </c>
      <c r="G50" s="7">
        <f>CEO!G50+CS!G50+CFO!G50+LLA!G50+'C&amp;E'!G50+CES!G50+LLT!G50+GB!G50</f>
        <v>4308.3280000000004</v>
      </c>
      <c r="H50" s="7">
        <f>CEO!H50+CS!H50+CFO!H50+LLA!H50+'C&amp;E'!H50+CES!H50+LLT!H50+GB!H50</f>
        <v>4308.3280000000004</v>
      </c>
      <c r="I50" s="7">
        <f>CEO!I50+CS!I50+CFO!I50+LLA!I50+'C&amp;E'!I50+CES!I50+LLT!I50+GB!I50</f>
        <v>4308.3280000000004</v>
      </c>
      <c r="J50" s="7">
        <f>CEO!J50+CS!J50+CFO!J50+LLA!J50+'C&amp;E'!J50+CES!J50+LLT!J50+GB!J50</f>
        <v>4308.3280000000004</v>
      </c>
      <c r="K50" s="7">
        <f>CEO!K50+CS!K50+CFO!K50+LLA!K50+'C&amp;E'!K50+CES!K50+LLT!K50+GB!K50</f>
        <v>4307.7798619228697</v>
      </c>
      <c r="L50" s="7">
        <f>CEO!L50+CS!L50+CFO!L50+LLA!L50+'C&amp;E'!L50+CES!L50+LLT!L50+GB!L50</f>
        <v>4186.76</v>
      </c>
      <c r="M50" s="13" t="s">
        <v>117</v>
      </c>
      <c r="N50" s="7">
        <f t="shared" si="11"/>
        <v>40165.648000000008</v>
      </c>
      <c r="O50" s="7">
        <f t="shared" si="1"/>
        <v>12802.86786192287</v>
      </c>
      <c r="P50" s="7">
        <f t="shared" si="2"/>
        <v>52968.515861922875</v>
      </c>
      <c r="Q50" s="7">
        <v>37751.476967483635</v>
      </c>
      <c r="R50" s="7">
        <f t="shared" si="3"/>
        <v>15217.03889443924</v>
      </c>
      <c r="S50" s="7"/>
    </row>
    <row r="51" spans="1:19" x14ac:dyDescent="0.3">
      <c r="A51" s="7">
        <f>CEO!A51+CS!A51+CFO!A51+LLA!A51+'C&amp;E'!A51+CES!A51+LLT!A51+GB!A51</f>
        <v>0</v>
      </c>
      <c r="B51" s="7">
        <f>CEO!B51+CS!B51+CFO!B51+LLA!B51+'C&amp;E'!B51+CES!B51+LLT!B51+GB!B51</f>
        <v>0</v>
      </c>
      <c r="C51" s="7">
        <f>CEO!C51+CS!C51+CFO!C51+LLA!C51+'C&amp;E'!C51+CES!C51+LLT!C51+GB!C51</f>
        <v>0</v>
      </c>
      <c r="D51" s="7">
        <f>CEO!D51+CS!D51+CFO!D51+LLA!D51+'C&amp;E'!D51+CES!D51+LLT!D51+GB!D51</f>
        <v>0</v>
      </c>
      <c r="E51" s="7">
        <f>CEO!E51+CS!E51+CFO!E51+LLA!E51+'C&amp;E'!E51+CES!E51+LLT!E51+GB!E51</f>
        <v>0</v>
      </c>
      <c r="F51" s="7">
        <f>CEO!F51+CS!F51+CFO!F51+LLA!F51+'C&amp;E'!F51+CES!F51+LLT!F51+GB!F51</f>
        <v>0</v>
      </c>
      <c r="G51" s="7">
        <f>CEO!G51+CS!G51+CFO!G51+LLA!G51+'C&amp;E'!G51+CES!G51+LLT!G51+GB!G51</f>
        <v>0</v>
      </c>
      <c r="H51" s="7">
        <f>CEO!H51+CS!H51+CFO!H51+LLA!H51+'C&amp;E'!H51+CES!H51+LLT!H51+GB!H51</f>
        <v>0</v>
      </c>
      <c r="I51" s="7">
        <f>CEO!I51+CS!I51+CFO!I51+LLA!I51+'C&amp;E'!I51+CES!I51+LLT!I51+GB!I51</f>
        <v>0</v>
      </c>
      <c r="J51" s="7">
        <f>CEO!J51+CS!J51+CFO!J51+LLA!J51+'C&amp;E'!J51+CES!J51+LLT!J51+GB!J51</f>
        <v>0</v>
      </c>
      <c r="K51" s="7">
        <f>CEO!K51+CS!K51+CFO!K51+LLA!K51+'C&amp;E'!K51+CES!K51+LLT!K51+GB!K51</f>
        <v>0</v>
      </c>
      <c r="L51" s="7">
        <f>CEO!L51+CS!L51+CFO!L51+LLA!L51+'C&amp;E'!L51+CES!L51+LLT!L51+GB!L51</f>
        <v>0</v>
      </c>
      <c r="M51" s="13" t="s">
        <v>118</v>
      </c>
      <c r="N51" s="7">
        <f t="shared" si="11"/>
        <v>0</v>
      </c>
      <c r="O51" s="7">
        <f t="shared" si="1"/>
        <v>0</v>
      </c>
      <c r="P51" s="7">
        <f t="shared" si="2"/>
        <v>0</v>
      </c>
      <c r="Q51" s="7">
        <v>2000</v>
      </c>
      <c r="R51" s="7">
        <f t="shared" si="3"/>
        <v>-2000</v>
      </c>
      <c r="S51" s="7"/>
    </row>
    <row r="52" spans="1:19" x14ac:dyDescent="0.3">
      <c r="A52" s="7">
        <f>CEO!A52+CS!A52+CFO!A52+LLA!A52+'C&amp;E'!A52+CES!A52+LLT!A52+GB!A52</f>
        <v>1210.4400000000003</v>
      </c>
      <c r="B52" s="7">
        <f>CEO!B52+CS!B52+CFO!B52+LLA!B52+'C&amp;E'!B52+CES!B52+LLT!B52+GB!B52</f>
        <v>1210.4400000000003</v>
      </c>
      <c r="C52" s="7">
        <f>CEO!C52+CS!C52+CFO!C52+LLA!C52+'C&amp;E'!C52+CES!C52+LLT!C52+GB!C52</f>
        <v>1210.4400000000003</v>
      </c>
      <c r="D52" s="7">
        <f>CEO!D52+CS!D52+CFO!D52+LLA!D52+'C&amp;E'!D52+CES!D52+LLT!D52+GB!D52</f>
        <v>1210.4400000000003</v>
      </c>
      <c r="E52" s="7">
        <f>CEO!E52+CS!E52+CFO!E52+LLA!E52+'C&amp;E'!E52+CES!E52+LLT!E52+GB!E52</f>
        <v>1661.0800000000002</v>
      </c>
      <c r="F52" s="7">
        <f>CEO!F52+CS!F52+CFO!F52+LLA!F52+'C&amp;E'!F52+CES!F52+LLT!F52+GB!F52</f>
        <v>1210.4400000000003</v>
      </c>
      <c r="G52" s="7">
        <f>CEO!G52+CS!G52+CFO!G52+LLA!G52+'C&amp;E'!G52+CES!G52+LLT!G52+GB!G52</f>
        <v>1210.4400000000003</v>
      </c>
      <c r="H52" s="7">
        <f>CEO!H52+CS!H52+CFO!H52+LLA!H52+'C&amp;E'!H52+CES!H52+LLT!H52+GB!H52</f>
        <v>1210.4400000000003</v>
      </c>
      <c r="I52" s="7">
        <f>CEO!I52+CS!I52+CFO!I52+LLA!I52+'C&amp;E'!I52+CES!I52+LLT!I52+GB!I52</f>
        <v>1210.4400000000003</v>
      </c>
      <c r="J52" s="7">
        <f>CEO!J52+CS!J52+CFO!J52+LLA!J52+'C&amp;E'!J52+CES!J52+LLT!J52+GB!J52</f>
        <v>1210.4400000000003</v>
      </c>
      <c r="K52" s="7">
        <f>CEO!K52+CS!K52+CFO!K52+LLA!K52+'C&amp;E'!K52+CES!K52+LLT!K52+GB!K52</f>
        <v>1210.4400000000003</v>
      </c>
      <c r="L52" s="7">
        <f>CEO!L52+CS!L52+CFO!L52+LLA!L52+'C&amp;E'!L52+CES!L52+LLT!L52+GB!L52</f>
        <v>981.65768920698383</v>
      </c>
      <c r="M52" s="13" t="s">
        <v>119</v>
      </c>
      <c r="N52" s="7">
        <f t="shared" si="11"/>
        <v>11344.600000000002</v>
      </c>
      <c r="O52" s="7">
        <f t="shared" si="1"/>
        <v>3402.5376892069844</v>
      </c>
      <c r="P52" s="7">
        <f t="shared" si="2"/>
        <v>14747.137689206986</v>
      </c>
      <c r="Q52" s="7">
        <v>5773.6962683272732</v>
      </c>
      <c r="R52" s="7">
        <f t="shared" si="3"/>
        <v>8973.4414208797134</v>
      </c>
      <c r="S52" s="7"/>
    </row>
    <row r="53" spans="1:19" x14ac:dyDescent="0.3">
      <c r="A53" s="7">
        <f>CEO!A53+CS!A53+CFO!A53+LLA!A53+'C&amp;E'!A53+CES!A53+LLT!A53+GB!A53</f>
        <v>8247.6726666666709</v>
      </c>
      <c r="B53" s="7">
        <f>CEO!B53+CS!B53+CFO!B53+LLA!B53+'C&amp;E'!B53+CES!B53+LLT!B53+GB!B53</f>
        <v>10343.672666666671</v>
      </c>
      <c r="C53" s="7">
        <f>CEO!C53+CS!C53+CFO!C53+LLA!C53+'C&amp;E'!C53+CES!C53+LLT!C53+GB!C53</f>
        <v>8247.6726666666709</v>
      </c>
      <c r="D53" s="7">
        <f>CEO!D53+CS!D53+CFO!D53+LLA!D53+'C&amp;E'!D53+CES!D53+LLT!D53+GB!D53</f>
        <v>8247.6726666666709</v>
      </c>
      <c r="E53" s="7">
        <f>CEO!E53+CS!E53+CFO!E53+LLA!E53+'C&amp;E'!E53+CES!E53+LLT!E53+GB!E53</f>
        <v>10343.672666666671</v>
      </c>
      <c r="F53" s="7">
        <f>CEO!F53+CS!F53+CFO!F53+LLA!F53+'C&amp;E'!F53+CES!F53+LLT!F53+GB!F53</f>
        <v>8247.6726666666709</v>
      </c>
      <c r="G53" s="7">
        <f>CEO!G53+CS!G53+CFO!G53+LLA!G53+'C&amp;E'!G53+CES!G53+LLT!G53+GB!G53</f>
        <v>8247.6726666666709</v>
      </c>
      <c r="H53" s="7">
        <f>CEO!H53+CS!H53+CFO!H53+LLA!H53+'C&amp;E'!H53+CES!H53+LLT!H53+GB!H53</f>
        <v>10801.648666666671</v>
      </c>
      <c r="I53" s="7">
        <f>CEO!I53+CS!I53+CFO!I53+LLA!I53+'C&amp;E'!I53+CES!I53+LLT!I53+GB!I53</f>
        <v>8247.6726666666709</v>
      </c>
      <c r="J53" s="7">
        <f>CEO!J53+CS!J53+CFO!J53+LLA!J53+'C&amp;E'!J53+CES!J53+LLT!J53+GB!J53</f>
        <v>8247.6726666666709</v>
      </c>
      <c r="K53" s="7">
        <f>CEO!K53+CS!K53+CFO!K53+LLA!K53+'C&amp;E'!K53+CES!K53+LLT!K53+GB!K53</f>
        <v>8247.6726666666709</v>
      </c>
      <c r="L53" s="7">
        <f>CEO!L53+CS!L53+CFO!L53+LLA!L53+'C&amp;E'!L53+CES!L53+LLT!L53+GB!L53</f>
        <v>8256.6726666666709</v>
      </c>
      <c r="M53" s="13" t="s">
        <v>120</v>
      </c>
      <c r="N53" s="7">
        <f t="shared" si="11"/>
        <v>80975.030000000042</v>
      </c>
      <c r="O53" s="7">
        <f t="shared" si="1"/>
        <v>24752.018000000011</v>
      </c>
      <c r="P53" s="7">
        <f t="shared" si="2"/>
        <v>105727.04800000005</v>
      </c>
      <c r="Q53" s="7">
        <v>68231.911765155266</v>
      </c>
      <c r="R53" s="7">
        <f t="shared" si="3"/>
        <v>37495.136234844787</v>
      </c>
      <c r="S53" s="7"/>
    </row>
    <row r="54" spans="1:19" x14ac:dyDescent="0.3">
      <c r="A54" s="7">
        <f>CEO!A54+CS!A54+CFO!A54+LLA!A54+'C&amp;E'!A54+CES!A54+LLT!A54+GB!A54</f>
        <v>0</v>
      </c>
      <c r="B54" s="7">
        <f>CEO!B54+CS!B54+CFO!B54+LLA!B54+'C&amp;E'!B54+CES!B54+LLT!B54+GB!B54</f>
        <v>0</v>
      </c>
      <c r="C54" s="7">
        <f>CEO!C54+CS!C54+CFO!C54+LLA!C54+'C&amp;E'!C54+CES!C54+LLT!C54+GB!C54</f>
        <v>0</v>
      </c>
      <c r="D54" s="7">
        <f>CEO!D54+CS!D54+CFO!D54+LLA!D54+'C&amp;E'!D54+CES!D54+LLT!D54+GB!D54</f>
        <v>0</v>
      </c>
      <c r="E54" s="7">
        <f>CEO!E54+CS!E54+CFO!E54+LLA!E54+'C&amp;E'!E54+CES!E54+LLT!E54+GB!E54</f>
        <v>0</v>
      </c>
      <c r="F54" s="7">
        <f>CEO!F54+CS!F54+CFO!F54+LLA!F54+'C&amp;E'!F54+CES!F54+LLT!F54+GB!F54</f>
        <v>0</v>
      </c>
      <c r="G54" s="7">
        <f>CEO!G54+CS!G54+CFO!G54+LLA!G54+'C&amp;E'!G54+CES!G54+LLT!G54+GB!G54</f>
        <v>0</v>
      </c>
      <c r="H54" s="7">
        <f>CEO!H54+CS!H54+CFO!H54+LLA!H54+'C&amp;E'!H54+CES!H54+LLT!H54+GB!H54</f>
        <v>0</v>
      </c>
      <c r="I54" s="7">
        <f>CEO!I54+CS!I54+CFO!I54+LLA!I54+'C&amp;E'!I54+CES!I54+LLT!I54+GB!I54</f>
        <v>0</v>
      </c>
      <c r="J54" s="7">
        <f>CEO!J54+CS!J54+CFO!J54+LLA!J54+'C&amp;E'!J54+CES!J54+LLT!J54+GB!J54</f>
        <v>0</v>
      </c>
      <c r="K54" s="7">
        <f>CEO!K54+CS!K54+CFO!K54+LLA!K54+'C&amp;E'!K54+CES!K54+LLT!K54+GB!K54</f>
        <v>0</v>
      </c>
      <c r="L54" s="7">
        <f>CEO!L54+CS!L54+CFO!L54+LLA!L54+'C&amp;E'!L54+CES!L54+LLT!L54+GB!L54</f>
        <v>0</v>
      </c>
      <c r="M54" s="13" t="s">
        <v>121</v>
      </c>
      <c r="N54" s="7">
        <f t="shared" si="11"/>
        <v>0</v>
      </c>
      <c r="O54" s="7">
        <f t="shared" si="1"/>
        <v>0</v>
      </c>
      <c r="P54" s="7">
        <f t="shared" si="2"/>
        <v>0</v>
      </c>
      <c r="Q54" s="7">
        <v>0</v>
      </c>
      <c r="R54" s="7">
        <f t="shared" si="3"/>
        <v>0</v>
      </c>
      <c r="S54" s="7"/>
    </row>
    <row r="55" spans="1:19" x14ac:dyDescent="0.3">
      <c r="A55" s="7">
        <f>CEO!A55+CS!A55+CFO!A55+LLA!A55+'C&amp;E'!A55+CES!A55+LLT!A55+GB!A55</f>
        <v>3265.1194214666671</v>
      </c>
      <c r="B55" s="7">
        <f>CEO!B55+CS!B55+CFO!B55+LLA!B55+'C&amp;E'!B55+CES!B55+LLT!B55+GB!B55</f>
        <v>3265.1194214666671</v>
      </c>
      <c r="C55" s="7">
        <f>CEO!C55+CS!C55+CFO!C55+LLA!C55+'C&amp;E'!C55+CES!C55+LLT!C55+GB!C55</f>
        <v>3265.1194214666671</v>
      </c>
      <c r="D55" s="7">
        <f>CEO!D55+CS!D55+CFO!D55+LLA!D55+'C&amp;E'!D55+CES!D55+LLT!D55+GB!D55</f>
        <v>3265.1194214666671</v>
      </c>
      <c r="E55" s="7">
        <f>CEO!E55+CS!E55+CFO!E55+LLA!E55+'C&amp;E'!E55+CES!E55+LLT!E55+GB!E55</f>
        <v>5361.1194214666666</v>
      </c>
      <c r="F55" s="7">
        <f>CEO!F55+CS!F55+CFO!F55+LLA!F55+'C&amp;E'!F55+CES!F55+LLT!F55+GB!F55</f>
        <v>3265.1194214666671</v>
      </c>
      <c r="G55" s="7">
        <f>CEO!G55+CS!G55+CFO!G55+LLA!G55+'C&amp;E'!G55+CES!G55+LLT!G55+GB!G55</f>
        <v>3265.1194214666671</v>
      </c>
      <c r="H55" s="7">
        <f>CEO!H55+CS!H55+CFO!H55+LLA!H55+'C&amp;E'!H55+CES!H55+LLT!H55+GB!H55</f>
        <v>5554.9994214666676</v>
      </c>
      <c r="I55" s="7">
        <f>CEO!I55+CS!I55+CFO!I55+LLA!I55+'C&amp;E'!I55+CES!I55+LLT!I55+GB!I55</f>
        <v>6529.0629706314776</v>
      </c>
      <c r="J55" s="7">
        <f>CEO!J55+CS!J55+CFO!J55+LLA!J55+'C&amp;E'!J55+CES!J55+LLT!J55+GB!J55</f>
        <v>3265.1194214666671</v>
      </c>
      <c r="K55" s="7">
        <f>CEO!K55+CS!K55+CFO!K55+LLA!K55+'C&amp;E'!K55+CES!K55+LLT!K55+GB!K55</f>
        <v>3265.1194214666671</v>
      </c>
      <c r="L55" s="7">
        <f>CEO!L55+CS!L55+CFO!L55+LLA!L55+'C&amp;E'!L55+CES!L55+LLT!L55+GB!L55</f>
        <v>3265.1194214666671</v>
      </c>
      <c r="M55" s="238" t="s">
        <v>122</v>
      </c>
      <c r="N55" s="7">
        <f t="shared" si="11"/>
        <v>37035.898342364817</v>
      </c>
      <c r="O55" s="7">
        <f t="shared" si="1"/>
        <v>9795.3582644000016</v>
      </c>
      <c r="P55" s="7">
        <f t="shared" si="2"/>
        <v>46831.256606764815</v>
      </c>
      <c r="Q55" s="7">
        <v>51833.558607600004</v>
      </c>
      <c r="R55" s="7">
        <f t="shared" si="3"/>
        <v>-5002.3020008351887</v>
      </c>
      <c r="S55" s="7"/>
    </row>
    <row r="56" spans="1:19" x14ac:dyDescent="0.3">
      <c r="A56" s="7">
        <f>CEO!A56+CS!A56+CFO!A56+LLA!A56+'C&amp;E'!A56+CES!A56+LLT!A56+GB!A56</f>
        <v>8.0111324981165429E-14</v>
      </c>
      <c r="B56" s="7">
        <f>CEO!B56+CS!B56+CFO!B56+LLA!B56+'C&amp;E'!B56+CES!B56+LLT!B56+GB!B56</f>
        <v>8.0111324981165429E-14</v>
      </c>
      <c r="C56" s="7">
        <f>CEO!C56+CS!C56+CFO!C56+LLA!C56+'C&amp;E'!C56+CES!C56+LLT!C56+GB!C56</f>
        <v>8.0111324981165429E-14</v>
      </c>
      <c r="D56" s="7">
        <f>CEO!D56+CS!D56+CFO!D56+LLA!D56+'C&amp;E'!D56+CES!D56+LLT!D56+GB!D56</f>
        <v>8.0111324981165429E-14</v>
      </c>
      <c r="E56" s="7">
        <f>CEO!E56+CS!E56+CFO!E56+LLA!E56+'C&amp;E'!E56+CES!E56+LLT!E56+GB!E56</f>
        <v>8.0111324981165429E-14</v>
      </c>
      <c r="F56" s="7">
        <f>CEO!F56+CS!F56+CFO!F56+LLA!F56+'C&amp;E'!F56+CES!F56+LLT!F56+GB!F56</f>
        <v>8.0111324981165429E-14</v>
      </c>
      <c r="G56" s="7">
        <f>CEO!G56+CS!G56+CFO!G56+LLA!G56+'C&amp;E'!G56+CES!G56+LLT!G56+GB!G56</f>
        <v>8.0111324981165429E-14</v>
      </c>
      <c r="H56" s="7">
        <f>CEO!H56+CS!H56+CFO!H56+LLA!H56+'C&amp;E'!H56+CES!H56+LLT!H56+GB!H56</f>
        <v>8.0111324981165429E-14</v>
      </c>
      <c r="I56" s="7">
        <f>CEO!I56+CS!I56+CFO!I56+LLA!I56+'C&amp;E'!I56+CES!I56+LLT!I56+GB!I56</f>
        <v>8.0111324981165429E-14</v>
      </c>
      <c r="J56" s="7">
        <f>CEO!J56+CS!J56+CFO!J56+LLA!J56+'C&amp;E'!J56+CES!J56+LLT!J56+GB!J56</f>
        <v>8.0111324981165429E-14</v>
      </c>
      <c r="K56" s="7">
        <f>CEO!K56+CS!K56+CFO!K56+LLA!K56+'C&amp;E'!K56+CES!K56+LLT!K56+GB!K56</f>
        <v>8.0111324981165429E-14</v>
      </c>
      <c r="L56" s="7">
        <f>CEO!L56+CS!L56+CFO!L56+LLA!L56+'C&amp;E'!L56+CES!L56+LLT!L56+GB!L56</f>
        <v>8.0111324981165429E-14</v>
      </c>
      <c r="M56" s="13" t="s">
        <v>123</v>
      </c>
      <c r="N56" s="7">
        <f t="shared" si="11"/>
        <v>7.2100192483048872E-13</v>
      </c>
      <c r="O56" s="7">
        <f t="shared" si="1"/>
        <v>2.4033397494349627E-13</v>
      </c>
      <c r="P56" s="7">
        <f t="shared" si="2"/>
        <v>9.6133589977398509E-13</v>
      </c>
      <c r="Q56" s="7">
        <v>9.6133589977398509E-13</v>
      </c>
      <c r="R56" s="7">
        <f t="shared" si="3"/>
        <v>0</v>
      </c>
      <c r="S56" s="7"/>
    </row>
    <row r="57" spans="1:19" x14ac:dyDescent="0.3">
      <c r="A57" s="7">
        <f>CEO!A57+CS!A57+CFO!A57+LLA!A57+'C&amp;E'!A57+CES!A57+LLT!A57+GB!A57</f>
        <v>8663.8160000000007</v>
      </c>
      <c r="B57" s="7">
        <f>CEO!B57+CS!B57+CFO!B57+LLA!B57+'C&amp;E'!B57+CES!B57+LLT!B57+GB!B57</f>
        <v>8663.8160000000007</v>
      </c>
      <c r="C57" s="7">
        <f>CEO!C57+CS!C57+CFO!C57+LLA!C57+'C&amp;E'!C57+CES!C57+LLT!C57+GB!C57</f>
        <v>8663.8160000000007</v>
      </c>
      <c r="D57" s="7">
        <f>CEO!D57+CS!D57+CFO!D57+LLA!D57+'C&amp;E'!D57+CES!D57+LLT!D57+GB!D57</f>
        <v>8663.8160000000007</v>
      </c>
      <c r="E57" s="7">
        <f>CEO!E57+CS!E57+CFO!E57+LLA!E57+'C&amp;E'!E57+CES!E57+LLT!E57+GB!E57</f>
        <v>8663.8160000000007</v>
      </c>
      <c r="F57" s="7">
        <f>CEO!F57+CS!F57+CFO!F57+LLA!F57+'C&amp;E'!F57+CES!F57+LLT!F57+GB!F57</f>
        <v>8663.8160000000007</v>
      </c>
      <c r="G57" s="7">
        <f>CEO!G57+CS!G57+CFO!G57+LLA!G57+'C&amp;E'!G57+CES!G57+LLT!G57+GB!G57</f>
        <v>8663.8160000000007</v>
      </c>
      <c r="H57" s="7">
        <f>CEO!H57+CS!H57+CFO!H57+LLA!H57+'C&amp;E'!H57+CES!H57+LLT!H57+GB!H57</f>
        <v>8663.8160000000007</v>
      </c>
      <c r="I57" s="7">
        <f>CEO!I57+CS!I57+CFO!I57+LLA!I57+'C&amp;E'!I57+CES!I57+LLT!I57+GB!I57</f>
        <v>8663.8160000000007</v>
      </c>
      <c r="J57" s="7">
        <f>CEO!J57+CS!J57+CFO!J57+LLA!J57+'C&amp;E'!J57+CES!J57+LLT!J57+GB!J57</f>
        <v>8663.8160000000007</v>
      </c>
      <c r="K57" s="7">
        <f>CEO!K57+CS!K57+CFO!K57+LLA!K57+'C&amp;E'!K57+CES!K57+LLT!K57+GB!K57</f>
        <v>8663.8160000000007</v>
      </c>
      <c r="L57" s="7">
        <f>CEO!L57+CS!L57+CFO!L57+LLA!L57+'C&amp;E'!L57+CES!L57+LLT!L57+GB!L57</f>
        <v>8659.8160000000007</v>
      </c>
      <c r="M57" s="13" t="s">
        <v>124</v>
      </c>
      <c r="N57" s="7">
        <f t="shared" si="11"/>
        <v>77974.344000000012</v>
      </c>
      <c r="O57" s="7">
        <f t="shared" si="1"/>
        <v>25987.448000000004</v>
      </c>
      <c r="P57" s="7">
        <f t="shared" si="2"/>
        <v>103961.79200000002</v>
      </c>
      <c r="Q57" s="7">
        <v>90000</v>
      </c>
      <c r="R57" s="7">
        <f t="shared" si="3"/>
        <v>13961.792000000016</v>
      </c>
      <c r="S57" s="7"/>
    </row>
    <row r="58" spans="1:19" x14ac:dyDescent="0.3">
      <c r="A58" s="7">
        <f>CEO!A58+CS!A58+CFO!A58+LLA!A58+'C&amp;E'!A58+CES!A58+LLT!A58+GB!A58</f>
        <v>12692.153333333334</v>
      </c>
      <c r="B58" s="7">
        <f>CEO!B58+CS!B58+CFO!B58+LLA!B58+'C&amp;E'!B58+CES!B58+LLT!B58+GB!B58</f>
        <v>12697.393333333333</v>
      </c>
      <c r="C58" s="7">
        <f>CEO!C58+CS!C58+CFO!C58+LLA!C58+'C&amp;E'!C58+CES!C58+LLT!C58+GB!C58</f>
        <v>12697.393333333333</v>
      </c>
      <c r="D58" s="7">
        <f>CEO!D58+CS!D58+CFO!D58+LLA!D58+'C&amp;E'!D58+CES!D58+LLT!D58+GB!D58</f>
        <v>12697.393333333333</v>
      </c>
      <c r="E58" s="7">
        <f>CEO!E58+CS!E58+CFO!E58+LLA!E58+'C&amp;E'!E58+CES!E58+LLT!E58+GB!E58</f>
        <v>12697.393333333333</v>
      </c>
      <c r="F58" s="7">
        <f>CEO!F58+CS!F58+CFO!F58+LLA!F58+'C&amp;E'!F58+CES!F58+LLT!F58+GB!F58</f>
        <v>12697.393333333333</v>
      </c>
      <c r="G58" s="7">
        <f>CEO!G58+CS!G58+CFO!G58+LLA!G58+'C&amp;E'!G58+CES!G58+LLT!G58+GB!G58</f>
        <v>12697.393333333333</v>
      </c>
      <c r="H58" s="7">
        <f>CEO!H58+CS!H58+CFO!H58+LLA!H58+'C&amp;E'!H58+CES!H58+LLT!H58+GB!H58</f>
        <v>14697.393333333333</v>
      </c>
      <c r="I58" s="7">
        <f>CEO!I58+CS!I58+CFO!I58+LLA!I58+'C&amp;E'!I58+CES!I58+LLT!I58+GB!I58</f>
        <v>12697.393333333333</v>
      </c>
      <c r="J58" s="7">
        <f>CEO!J58+CS!J58+CFO!J58+LLA!J58+'C&amp;E'!J58+CES!J58+LLT!J58+GB!J58</f>
        <v>12697.393333333333</v>
      </c>
      <c r="K58" s="7">
        <f>CEO!K58+CS!K58+CFO!K58+LLA!K58+'C&amp;E'!K58+CES!K58+LLT!K58+GB!K58</f>
        <v>12697.393333333333</v>
      </c>
      <c r="L58" s="7">
        <f>CEO!L58+CS!L58+CFO!L58+LLA!L58+'C&amp;E'!L58+CES!L58+LLT!L58+GB!L58</f>
        <v>12793.393333333333</v>
      </c>
      <c r="M58" s="13" t="s">
        <v>125</v>
      </c>
      <c r="N58" s="7">
        <f t="shared" si="11"/>
        <v>116271.30000000002</v>
      </c>
      <c r="O58" s="7">
        <f t="shared" si="1"/>
        <v>38188.18</v>
      </c>
      <c r="P58" s="7">
        <f t="shared" si="2"/>
        <v>154459.48000000001</v>
      </c>
      <c r="Q58" s="7">
        <v>101367.84391636364</v>
      </c>
      <c r="R58" s="7">
        <f t="shared" si="3"/>
        <v>53091.636083636375</v>
      </c>
      <c r="S58" s="7"/>
    </row>
    <row r="59" spans="1:19" x14ac:dyDescent="0.3">
      <c r="A59" s="7">
        <f>CEO!A59+CS!A59+CFO!A59+LLA!A59+'C&amp;E'!A59+CES!A59+LLT!A59+GB!A59</f>
        <v>0</v>
      </c>
      <c r="B59" s="7">
        <f>CEO!B59+CS!B59+CFO!B59+LLA!B59+'C&amp;E'!B59+CES!B59+LLT!B59+GB!B59</f>
        <v>0</v>
      </c>
      <c r="C59" s="7">
        <f>CEO!C59+CS!C59+CFO!C59+LLA!C59+'C&amp;E'!C59+CES!C59+LLT!C59+GB!C59</f>
        <v>0</v>
      </c>
      <c r="D59" s="7">
        <f>CEO!D59+CS!D59+CFO!D59+LLA!D59+'C&amp;E'!D59+CES!D59+LLT!D59+GB!D59</f>
        <v>0</v>
      </c>
      <c r="E59" s="7">
        <f>CEO!E59+CS!E59+CFO!E59+LLA!E59+'C&amp;E'!E59+CES!E59+LLT!E59+GB!E59</f>
        <v>0</v>
      </c>
      <c r="F59" s="7">
        <f>CEO!F59+CS!F59+CFO!F59+LLA!F59+'C&amp;E'!F59+CES!F59+LLT!F59+GB!F59</f>
        <v>0</v>
      </c>
      <c r="G59" s="7">
        <f>CEO!G59+CS!G59+CFO!G59+LLA!G59+'C&amp;E'!G59+CES!G59+LLT!G59+GB!G59</f>
        <v>0</v>
      </c>
      <c r="H59" s="7">
        <f>CEO!H59+CS!H59+CFO!H59+LLA!H59+'C&amp;E'!H59+CES!H59+LLT!H59+GB!H59</f>
        <v>0</v>
      </c>
      <c r="I59" s="7">
        <f>CEO!I59+CS!I59+CFO!I59+LLA!I59+'C&amp;E'!I59+CES!I59+LLT!I59+GB!I59</f>
        <v>0</v>
      </c>
      <c r="J59" s="7">
        <f>CEO!J59+CS!J59+CFO!J59+LLA!J59+'C&amp;E'!J59+CES!J59+LLT!J59+GB!J59</f>
        <v>0</v>
      </c>
      <c r="K59" s="7">
        <f>CEO!K59+CS!K59+CFO!K59+LLA!K59+'C&amp;E'!K59+CES!K59+LLT!K59+GB!K59</f>
        <v>0</v>
      </c>
      <c r="L59" s="7">
        <f>CEO!L59+CS!L59+CFO!L59+LLA!L59+'C&amp;E'!L59+CES!L59+LLT!L59+GB!L59</f>
        <v>0</v>
      </c>
      <c r="M59" s="13" t="s">
        <v>126</v>
      </c>
      <c r="N59" s="7">
        <f t="shared" si="11"/>
        <v>0</v>
      </c>
      <c r="O59" s="7">
        <f t="shared" si="1"/>
        <v>0</v>
      </c>
      <c r="P59" s="7">
        <f t="shared" si="2"/>
        <v>0</v>
      </c>
      <c r="Q59" s="7">
        <v>8197.6049999999996</v>
      </c>
      <c r="R59" s="7">
        <f t="shared" si="3"/>
        <v>-8197.6049999999996</v>
      </c>
      <c r="S59" s="7"/>
    </row>
    <row r="60" spans="1:19" x14ac:dyDescent="0.3">
      <c r="A60" s="7">
        <f>CEO!A60+CS!A60+CFO!A60+LLA!A60+'C&amp;E'!A60+CES!A60+LLT!A60+GB!A60</f>
        <v>3406</v>
      </c>
      <c r="B60" s="7">
        <f>CEO!B60+CS!B60+CFO!B60+LLA!B60+'C&amp;E'!B60+CES!B60+LLT!B60+GB!B60</f>
        <v>3406</v>
      </c>
      <c r="C60" s="7">
        <f>CEO!C60+CS!C60+CFO!C60+LLA!C60+'C&amp;E'!C60+CES!C60+LLT!C60+GB!C60</f>
        <v>3406</v>
      </c>
      <c r="D60" s="7">
        <f>CEO!D60+CS!D60+CFO!D60+LLA!D60+'C&amp;E'!D60+CES!D60+LLT!D60+GB!D60</f>
        <v>3406</v>
      </c>
      <c r="E60" s="7">
        <f>CEO!E60+CS!E60+CFO!E60+LLA!E60+'C&amp;E'!E60+CES!E60+LLT!E60+GB!E60</f>
        <v>3406</v>
      </c>
      <c r="F60" s="7">
        <f>CEO!F60+CS!F60+CFO!F60+LLA!F60+'C&amp;E'!F60+CES!F60+LLT!F60+GB!F60</f>
        <v>3406</v>
      </c>
      <c r="G60" s="7">
        <f>CEO!G60+CS!G60+CFO!G60+LLA!G60+'C&amp;E'!G60+CES!G60+LLT!G60+GB!G60</f>
        <v>3406</v>
      </c>
      <c r="H60" s="7">
        <f>CEO!H60+CS!H60+CFO!H60+LLA!H60+'C&amp;E'!H60+CES!H60+LLT!H60+GB!H60</f>
        <v>3406</v>
      </c>
      <c r="I60" s="7">
        <f>CEO!I60+CS!I60+CFO!I60+LLA!I60+'C&amp;E'!I60+CES!I60+LLT!I60+GB!I60</f>
        <v>3406</v>
      </c>
      <c r="J60" s="7">
        <f>CEO!J60+CS!J60+CFO!J60+LLA!J60+'C&amp;E'!J60+CES!J60+LLT!J60+GB!J60</f>
        <v>3406</v>
      </c>
      <c r="K60" s="7">
        <f>CEO!K60+CS!K60+CFO!K60+LLA!K60+'C&amp;E'!K60+CES!K60+LLT!K60+GB!K60</f>
        <v>3406</v>
      </c>
      <c r="L60" s="7">
        <f>CEO!L60+CS!L60+CFO!L60+LLA!L60+'C&amp;E'!L60+CES!L60+LLT!L60+GB!L60</f>
        <v>3406</v>
      </c>
      <c r="M60" s="13" t="s">
        <v>128</v>
      </c>
      <c r="N60" s="7">
        <f t="shared" si="11"/>
        <v>30654</v>
      </c>
      <c r="O60" s="7">
        <f t="shared" si="1"/>
        <v>10218</v>
      </c>
      <c r="P60" s="7">
        <f t="shared" si="2"/>
        <v>40872</v>
      </c>
      <c r="Q60" s="7">
        <v>39000</v>
      </c>
      <c r="R60" s="7">
        <f t="shared" si="3"/>
        <v>1872</v>
      </c>
      <c r="S60" s="7"/>
    </row>
    <row r="61" spans="1:19" x14ac:dyDescent="0.3">
      <c r="A61" s="7">
        <f>CEO!A61+CS!A61+CFO!A61+LLA!A61+'C&amp;E'!A61+CES!A61+LLT!A61+GB!A61</f>
        <v>9720.2000000000007</v>
      </c>
      <c r="B61" s="7">
        <f>CEO!B61+CS!B61+CFO!B61+LLA!B61+'C&amp;E'!B61+CES!B61+LLT!B61+GB!B61</f>
        <v>9720.2000000000007</v>
      </c>
      <c r="C61" s="7">
        <f>CEO!C61+CS!C61+CFO!C61+LLA!C61+'C&amp;E'!C61+CES!C61+LLT!C61+GB!C61</f>
        <v>9720.2000000000007</v>
      </c>
      <c r="D61" s="7">
        <f>CEO!D61+CS!D61+CFO!D61+LLA!D61+'C&amp;E'!D61+CES!D61+LLT!D61+GB!D61</f>
        <v>9720.2000000000007</v>
      </c>
      <c r="E61" s="7">
        <f>CEO!E61+CS!E61+CFO!E61+LLA!E61+'C&amp;E'!E61+CES!E61+LLT!E61+GB!E61</f>
        <v>9720.2000000000007</v>
      </c>
      <c r="F61" s="7">
        <f>CEO!F61+CS!F61+CFO!F61+LLA!F61+'C&amp;E'!F61+CES!F61+LLT!F61+GB!F61</f>
        <v>9720.2000000000007</v>
      </c>
      <c r="G61" s="7">
        <f>CEO!G61+CS!G61+CFO!G61+LLA!G61+'C&amp;E'!G61+CES!G61+LLT!G61+GB!G61</f>
        <v>9720.2000000000007</v>
      </c>
      <c r="H61" s="7">
        <f>CEO!H61+CS!H61+CFO!H61+LLA!H61+'C&amp;E'!H61+CES!H61+LLT!H61+GB!H61</f>
        <v>9720.2000000000007</v>
      </c>
      <c r="I61" s="7">
        <f>CEO!I61+CS!I61+CFO!I61+LLA!I61+'C&amp;E'!I61+CES!I61+LLT!I61+GB!I61</f>
        <v>9720.2000000000007</v>
      </c>
      <c r="J61" s="7">
        <f>CEO!J61+CS!J61+CFO!J61+LLA!J61+'C&amp;E'!J61+CES!J61+LLT!J61+GB!J61</f>
        <v>9720.2000000000007</v>
      </c>
      <c r="K61" s="7">
        <f>CEO!K61+CS!K61+CFO!K61+LLA!K61+'C&amp;E'!K61+CES!K61+LLT!K61+GB!K61</f>
        <v>9720.2000000000007</v>
      </c>
      <c r="L61" s="7">
        <f>CEO!L61+CS!L61+CFO!L61+LLA!L61+'C&amp;E'!L61+CES!L61+LLT!L61+GB!L61</f>
        <v>9722.2000000000007</v>
      </c>
      <c r="M61" s="13" t="s">
        <v>129</v>
      </c>
      <c r="N61" s="7">
        <f t="shared" si="11"/>
        <v>87481.799999999988</v>
      </c>
      <c r="O61" s="7">
        <f t="shared" si="1"/>
        <v>29162.600000000002</v>
      </c>
      <c r="P61" s="7">
        <f t="shared" si="2"/>
        <v>116644.4</v>
      </c>
      <c r="Q61" s="7">
        <v>111302.09999999999</v>
      </c>
      <c r="R61" s="7">
        <f t="shared" si="3"/>
        <v>5342.3000000000029</v>
      </c>
      <c r="S61" s="7"/>
    </row>
    <row r="62" spans="1:19" x14ac:dyDescent="0.3">
      <c r="A62" s="7">
        <f>CEO!A62+CS!A62+CFO!A62+LLA!A62+'C&amp;E'!A62+CES!A62+LLT!A62+GB!A62</f>
        <v>5335.4204</v>
      </c>
      <c r="B62" s="7">
        <f>CEO!B62+CS!B62+CFO!B62+LLA!B62+'C&amp;E'!B62+CES!B62+LLT!B62+GB!B62</f>
        <v>5335.4204</v>
      </c>
      <c r="C62" s="7">
        <f>CEO!C62+CS!C62+CFO!C62+LLA!C62+'C&amp;E'!C62+CES!C62+LLT!C62+GB!C62</f>
        <v>5335.4204</v>
      </c>
      <c r="D62" s="7">
        <f>CEO!D62+CS!D62+CFO!D62+LLA!D62+'C&amp;E'!D62+CES!D62+LLT!D62+GB!D62</f>
        <v>5335.4204</v>
      </c>
      <c r="E62" s="7">
        <f>CEO!E62+CS!E62+CFO!E62+LLA!E62+'C&amp;E'!E62+CES!E62+LLT!E62+GB!E62</f>
        <v>5335.4204</v>
      </c>
      <c r="F62" s="7">
        <f>CEO!F62+CS!F62+CFO!F62+LLA!F62+'C&amp;E'!F62+CES!F62+LLT!F62+GB!F62</f>
        <v>5335.4204</v>
      </c>
      <c r="G62" s="7">
        <f>CEO!G62+CS!G62+CFO!G62+LLA!G62+'C&amp;E'!G62+CES!G62+LLT!G62+GB!G62</f>
        <v>5335.4204</v>
      </c>
      <c r="H62" s="7">
        <f>CEO!H62+CS!H62+CFO!H62+LLA!H62+'C&amp;E'!H62+CES!H62+LLT!H62+GB!H62</f>
        <v>5335.4204</v>
      </c>
      <c r="I62" s="7">
        <f>CEO!I62+CS!I62+CFO!I62+LLA!I62+'C&amp;E'!I62+CES!I62+LLT!I62+GB!I62</f>
        <v>50609.727895368</v>
      </c>
      <c r="J62" s="7">
        <f>CEO!J62+CS!J62+CFO!J62+LLA!J62+'C&amp;E'!J62+CES!J62+LLT!J62+GB!J62</f>
        <v>5335.4204</v>
      </c>
      <c r="K62" s="7">
        <f>CEO!K62+CS!K62+CFO!K62+LLA!K62+'C&amp;E'!K62+CES!K62+LLT!K62+GB!K62</f>
        <v>5335.4204</v>
      </c>
      <c r="L62" s="7">
        <f>CEO!L62+CS!L62+CFO!L62+LLA!L62+'C&amp;E'!L62+CES!L62+LLT!L62+GB!L62</f>
        <v>5335.4204</v>
      </c>
      <c r="M62" s="238" t="s">
        <v>130</v>
      </c>
      <c r="N62" s="7">
        <f t="shared" si="11"/>
        <v>93293.091095368</v>
      </c>
      <c r="O62" s="7">
        <f t="shared" si="1"/>
        <v>16006.261200000001</v>
      </c>
      <c r="P62" s="7">
        <f t="shared" si="2"/>
        <v>109299.35229536801</v>
      </c>
      <c r="Q62" s="7">
        <v>0</v>
      </c>
      <c r="R62" s="7">
        <f t="shared" si="3"/>
        <v>109299.35229536801</v>
      </c>
      <c r="S62" s="7"/>
    </row>
    <row r="63" spans="1:19" x14ac:dyDescent="0.3">
      <c r="A63" s="11">
        <f>CEO!A63+CS!A63+CFO!A63+LLA!A63+'C&amp;E'!A63+CES!A63+LLT!A63+GB!A63</f>
        <v>13189.08</v>
      </c>
      <c r="B63" s="11">
        <f>CEO!B63+CS!B63+CFO!B63+LLA!B63+'C&amp;E'!B63+CES!B63+LLT!B63+GB!B63</f>
        <v>13189.08</v>
      </c>
      <c r="C63" s="11">
        <f>CEO!C63+CS!C63+CFO!C63+LLA!C63+'C&amp;E'!C63+CES!C63+LLT!C63+GB!C63</f>
        <v>13189.08</v>
      </c>
      <c r="D63" s="11">
        <f>CEO!D63+CS!D63+CFO!D63+LLA!D63+'C&amp;E'!D63+CES!D63+LLT!D63+GB!D63</f>
        <v>13189.08</v>
      </c>
      <c r="E63" s="11">
        <f>CEO!E63+CS!E63+CFO!E63+LLA!E63+'C&amp;E'!E63+CES!E63+LLT!E63+GB!E63</f>
        <v>13189.08</v>
      </c>
      <c r="F63" s="11">
        <f>CEO!F63+CS!F63+CFO!F63+LLA!F63+'C&amp;E'!F63+CES!F63+LLT!F63+GB!F63</f>
        <v>13189.08</v>
      </c>
      <c r="G63" s="11">
        <f>CEO!G63+CS!G63+CFO!G63+LLA!G63+'C&amp;E'!G63+CES!G63+LLT!G63+GB!G63</f>
        <v>13189.08</v>
      </c>
      <c r="H63" s="11">
        <f>CEO!H63+CS!H63+CFO!H63+LLA!H63+'C&amp;E'!H63+CES!H63+LLT!H63+GB!H63</f>
        <v>13189.08</v>
      </c>
      <c r="I63" s="11">
        <f>CEO!I63+CS!I63+CFO!I63+LLA!I63+'C&amp;E'!I63+CES!I63+LLT!I63+GB!I63</f>
        <v>13189.08</v>
      </c>
      <c r="J63" s="11">
        <f>CEO!J63+CS!J63+CFO!J63+LLA!J63+'C&amp;E'!J63+CES!J63+LLT!J63+GB!J63</f>
        <v>13189.08</v>
      </c>
      <c r="K63" s="11">
        <f>CEO!K63+CS!K63+CFO!K63+LLA!K63+'C&amp;E'!K63+CES!K63+LLT!K63+GB!K63</f>
        <v>13189.08</v>
      </c>
      <c r="L63" s="11">
        <f>CEO!L63+CS!L63+CFO!L63+LLA!L63+'C&amp;E'!L63+CES!L63+LLT!L63+GB!L63</f>
        <v>13193.08</v>
      </c>
      <c r="M63" s="238" t="s">
        <v>131</v>
      </c>
      <c r="N63" s="11">
        <f t="shared" si="11"/>
        <v>118701.72</v>
      </c>
      <c r="O63" s="11">
        <f t="shared" si="1"/>
        <v>39571.24</v>
      </c>
      <c r="P63" s="11">
        <f t="shared" si="2"/>
        <v>158272.95999999999</v>
      </c>
      <c r="Q63" s="11">
        <v>262985.60222999996</v>
      </c>
      <c r="R63" s="11">
        <f t="shared" si="3"/>
        <v>-104712.64222999997</v>
      </c>
      <c r="S63" s="11"/>
    </row>
    <row r="64" spans="1:19" ht="4.95" customHeight="1" thickBot="1" x14ac:dyDescent="0.35">
      <c r="A64" s="89"/>
      <c r="B64" s="89"/>
      <c r="C64" s="89"/>
      <c r="D64" s="90"/>
      <c r="E64" s="91"/>
      <c r="F64" s="91"/>
      <c r="G64" s="91"/>
      <c r="H64" s="91"/>
      <c r="I64" s="91"/>
      <c r="J64" s="91"/>
      <c r="K64" s="91"/>
      <c r="L64" s="91"/>
      <c r="M64" s="13"/>
      <c r="N64" s="91">
        <f t="shared" si="4"/>
        <v>0</v>
      </c>
      <c r="O64" s="91">
        <f t="shared" si="1"/>
        <v>0</v>
      </c>
      <c r="P64" s="91">
        <f t="shared" si="2"/>
        <v>0</v>
      </c>
      <c r="Q64" s="91"/>
      <c r="R64" s="91">
        <f t="shared" si="3"/>
        <v>0</v>
      </c>
      <c r="S64" s="89"/>
    </row>
    <row r="65" spans="1:19" x14ac:dyDescent="0.3">
      <c r="A65" s="4">
        <f>SUM(A48:A63)</f>
        <v>72338.589821466681</v>
      </c>
      <c r="B65" s="4">
        <f>SUM(B48:B63)</f>
        <v>77583.829821466672</v>
      </c>
      <c r="C65" s="4">
        <f t="shared" ref="C65:L65" si="12">SUM(C48:C63)</f>
        <v>73391.829821466672</v>
      </c>
      <c r="D65" s="4">
        <f t="shared" si="12"/>
        <v>74321.405821466673</v>
      </c>
      <c r="E65" s="4">
        <f t="shared" si="12"/>
        <v>80702.67782146667</v>
      </c>
      <c r="F65" s="4">
        <f t="shared" si="12"/>
        <v>72568.101821466684</v>
      </c>
      <c r="G65" s="4">
        <f t="shared" si="12"/>
        <v>75369.405821466673</v>
      </c>
      <c r="H65" s="4">
        <f t="shared" si="12"/>
        <v>81165.261821466673</v>
      </c>
      <c r="I65" s="4">
        <f t="shared" si="12"/>
        <v>120882.08086599949</v>
      </c>
      <c r="J65" s="4">
        <f t="shared" si="12"/>
        <v>74321.405821466673</v>
      </c>
      <c r="K65" s="4">
        <f t="shared" si="12"/>
        <v>72343.281683389549</v>
      </c>
      <c r="L65" s="4">
        <f t="shared" si="12"/>
        <v>74559.8304940464</v>
      </c>
      <c r="M65" s="13" t="s">
        <v>132</v>
      </c>
      <c r="N65" s="4">
        <f t="shared" ref="N65:O65" si="13">SUM(N48:N63)</f>
        <v>728323.18343773286</v>
      </c>
      <c r="O65" s="4">
        <f t="shared" si="13"/>
        <v>221224.51799890262</v>
      </c>
      <c r="P65" s="4">
        <f t="shared" si="2"/>
        <v>949547.70143663546</v>
      </c>
      <c r="Q65" s="4">
        <v>800653.75123852969</v>
      </c>
      <c r="R65" s="4">
        <f t="shared" si="3"/>
        <v>148893.95019810577</v>
      </c>
      <c r="S65" s="4"/>
    </row>
    <row r="66" spans="1:19" x14ac:dyDescent="0.3">
      <c r="A66" s="81"/>
      <c r="B66" s="81"/>
      <c r="C66" s="81"/>
      <c r="D66" s="82"/>
      <c r="E66" s="86"/>
      <c r="F66" s="86"/>
      <c r="G66" s="86"/>
      <c r="H66" s="86"/>
      <c r="I66" s="86"/>
      <c r="J66" s="86"/>
      <c r="K66" s="86"/>
      <c r="L66" s="86"/>
      <c r="M66" s="80"/>
      <c r="N66" s="86">
        <f t="shared" si="4"/>
        <v>0</v>
      </c>
      <c r="O66" s="86">
        <f t="shared" si="1"/>
        <v>0</v>
      </c>
      <c r="P66" s="86">
        <f t="shared" si="2"/>
        <v>0</v>
      </c>
      <c r="Q66" s="86"/>
      <c r="R66" s="86">
        <f t="shared" si="3"/>
        <v>0</v>
      </c>
      <c r="S66" s="81"/>
    </row>
    <row r="67" spans="1:19" x14ac:dyDescent="0.3">
      <c r="A67" s="8">
        <f>CEO!A67+CS!A67+CFO!A67+LLA!A67+'C&amp;E'!A67+CES!A67+LLT!A67+GB!A67</f>
        <v>0</v>
      </c>
      <c r="B67" s="8">
        <f>CEO!B67+CS!B67+CFO!B67+LLA!B67+'C&amp;E'!B67+CES!B67+LLT!B67+GB!B67</f>
        <v>0</v>
      </c>
      <c r="C67" s="8">
        <f>CEO!C67+CS!C67+CFO!C67+LLA!C67+'C&amp;E'!C67+CES!C67+LLT!C67+GB!C67</f>
        <v>57005.96</v>
      </c>
      <c r="D67" s="8">
        <f>CEO!D67+CS!D67+CFO!D67+LLA!D67+'C&amp;E'!D67+CES!D67+LLT!D67+GB!D67</f>
        <v>0</v>
      </c>
      <c r="E67" s="8">
        <f>CEO!E67+CS!E67+CFO!E67+LLA!E67+'C&amp;E'!E67+CES!E67+LLT!E67+GB!E67</f>
        <v>0</v>
      </c>
      <c r="F67" s="8">
        <f>CEO!F67+CS!F67+CFO!F67+LLA!F67+'C&amp;E'!F67+CES!F67+LLT!F67+GB!F67</f>
        <v>152594.04</v>
      </c>
      <c r="G67" s="8">
        <f>CEO!G67+CS!G67+CFO!G67+LLA!G67+'C&amp;E'!G67+CES!G67+LLT!G67+GB!G67</f>
        <v>0</v>
      </c>
      <c r="H67" s="8">
        <f>CEO!H67+CS!H67+CFO!H67+LLA!H67+'C&amp;E'!H67+CES!H67+LLT!H67+GB!H67</f>
        <v>0</v>
      </c>
      <c r="I67" s="8">
        <f>CEO!I67+CS!I67+CFO!I67+LLA!I67+'C&amp;E'!I67+CES!I67+LLT!I67+GB!I67</f>
        <v>0</v>
      </c>
      <c r="J67" s="8">
        <f>CEO!J67+CS!J67+CFO!J67+LLA!J67+'C&amp;E'!J67+CES!J67+LLT!J67+GB!J67</f>
        <v>0</v>
      </c>
      <c r="K67" s="8">
        <f>CEO!K67+CS!K67+CFO!K67+LLA!K67+'C&amp;E'!K67+CES!K67+LLT!K67+GB!K67</f>
        <v>0</v>
      </c>
      <c r="L67" s="8">
        <f>CEO!L67+CS!L67+CFO!L67+LLA!L67+'C&amp;E'!L67+CES!L67+LLT!L67+GB!L67</f>
        <v>0</v>
      </c>
      <c r="M67" s="238" t="s">
        <v>133</v>
      </c>
      <c r="N67" s="8">
        <f t="shared" ref="N67:N89" si="14">SUM(A67:I67)</f>
        <v>209600</v>
      </c>
      <c r="O67" s="8">
        <f t="shared" si="1"/>
        <v>0</v>
      </c>
      <c r="P67" s="8">
        <f t="shared" si="2"/>
        <v>209600</v>
      </c>
      <c r="Q67" s="8">
        <v>200000</v>
      </c>
      <c r="R67" s="8">
        <f t="shared" si="3"/>
        <v>9600</v>
      </c>
      <c r="S67" s="8"/>
    </row>
    <row r="68" spans="1:19" x14ac:dyDescent="0.3">
      <c r="A68" s="7">
        <f>CEO!A68+CS!A68+CFO!A68+LLA!A68+'C&amp;E'!A68+CES!A68+LLT!A68+GB!A68</f>
        <v>20954.6897796333</v>
      </c>
      <c r="B68" s="7">
        <f>CEO!B68+CS!B68+CFO!B68+LLA!B68+'C&amp;E'!B68+CES!B68+LLT!B68+GB!B68</f>
        <v>20954.6897796333</v>
      </c>
      <c r="C68" s="7">
        <f>CEO!C68+CS!C68+CFO!C68+LLA!C68+'C&amp;E'!C68+CES!C68+LLT!C68+GB!C68</f>
        <v>20954.6897796333</v>
      </c>
      <c r="D68" s="7">
        <f>CEO!D68+CS!D68+CFO!D68+LLA!D68+'C&amp;E'!D68+CES!D68+LLT!D68+GB!D68</f>
        <v>20954.6897796333</v>
      </c>
      <c r="E68" s="7">
        <f>CEO!E68+CS!E68+CFO!E68+LLA!E68+'C&amp;E'!E68+CES!E68+LLT!E68+GB!E68</f>
        <v>20954.6897796333</v>
      </c>
      <c r="F68" s="7">
        <f>CEO!F68+CS!F68+CFO!F68+LLA!F68+'C&amp;E'!F68+CES!F68+LLT!F68+GB!F68</f>
        <v>20954.6897796333</v>
      </c>
      <c r="G68" s="7">
        <f>CEO!G68+CS!G68+CFO!G68+LLA!G68+'C&amp;E'!G68+CES!G68+LLT!G68+GB!G68</f>
        <v>20954.6897796333</v>
      </c>
      <c r="H68" s="7">
        <f>CEO!H68+CS!H68+CFO!H68+LLA!H68+'C&amp;E'!H68+CES!H68+LLT!H68+GB!H68</f>
        <v>20954.6897796333</v>
      </c>
      <c r="I68" s="7">
        <f>CEO!I68+CS!I68+CFO!I68+LLA!I68+'C&amp;E'!I68+CES!I68+LLT!I68+GB!I68</f>
        <v>20954.6897796333</v>
      </c>
      <c r="J68" s="7">
        <f>CEO!J68+CS!J68+CFO!J68+LLA!J68+'C&amp;E'!J68+CES!J68+LLT!J68+GB!J68</f>
        <v>20954.6897796333</v>
      </c>
      <c r="K68" s="7">
        <f>CEO!K68+CS!K68+CFO!K68+LLA!K68+'C&amp;E'!K68+CES!K68+LLT!K68+GB!K68</f>
        <v>20954.6897796333</v>
      </c>
      <c r="L68" s="7">
        <f>CEO!L68+CS!L68+CFO!L68+LLA!L68+'C&amp;E'!L68+CES!L68+LLT!L68+GB!L68</f>
        <v>20954.6897796333</v>
      </c>
      <c r="M68" s="13" t="s">
        <v>134</v>
      </c>
      <c r="N68" s="7">
        <f t="shared" si="14"/>
        <v>188592.20801669973</v>
      </c>
      <c r="O68" s="7">
        <f t="shared" si="1"/>
        <v>62864.069338899899</v>
      </c>
      <c r="P68" s="7">
        <f t="shared" si="2"/>
        <v>251456.27735559962</v>
      </c>
      <c r="Q68" s="7">
        <v>270880.19594999996</v>
      </c>
      <c r="R68" s="7">
        <f t="shared" si="3"/>
        <v>-19423.91859440034</v>
      </c>
      <c r="S68" s="7"/>
    </row>
    <row r="69" spans="1:19" x14ac:dyDescent="0.3">
      <c r="A69" s="7">
        <f>CEO!A69+CS!A69+CFO!A69+LLA!A69+'C&amp;E'!A69+CES!A69+LLT!A69+GB!A69</f>
        <v>3492.9839999999999</v>
      </c>
      <c r="B69" s="7">
        <f>CEO!B69+CS!B69+CFO!B69+LLA!B69+'C&amp;E'!B69+CES!B69+LLT!B69+GB!B69</f>
        <v>3492.9839999999999</v>
      </c>
      <c r="C69" s="7">
        <f>CEO!C69+CS!C69+CFO!C69+LLA!C69+'C&amp;E'!C69+CES!C69+LLT!C69+GB!C69</f>
        <v>3492.9839999999999</v>
      </c>
      <c r="D69" s="7">
        <f>CEO!D69+CS!D69+CFO!D69+LLA!D69+'C&amp;E'!D69+CES!D69+LLT!D69+GB!D69</f>
        <v>3492.9839999999999</v>
      </c>
      <c r="E69" s="7">
        <f>CEO!E69+CS!E69+CFO!E69+LLA!E69+'C&amp;E'!E69+CES!E69+LLT!E69+GB!E69</f>
        <v>3492.9839999999999</v>
      </c>
      <c r="F69" s="7">
        <f>CEO!F69+CS!F69+CFO!F69+LLA!F69+'C&amp;E'!F69+CES!F69+LLT!F69+GB!F69</f>
        <v>213096.984</v>
      </c>
      <c r="G69" s="7">
        <f>CEO!G69+CS!G69+CFO!G69+LLA!G69+'C&amp;E'!G69+CES!G69+LLT!G69+GB!G69</f>
        <v>3492.9839999999999</v>
      </c>
      <c r="H69" s="7">
        <f>CEO!H69+CS!H69+CFO!H69+LLA!H69+'C&amp;E'!H69+CES!H69+LLT!H69+GB!H69</f>
        <v>3492.9839999999999</v>
      </c>
      <c r="I69" s="7">
        <f>CEO!I69+CS!I69+CFO!I69+LLA!I69+'C&amp;E'!I69+CES!I69+LLT!I69+GB!I69</f>
        <v>3492.9839999999999</v>
      </c>
      <c r="J69" s="7">
        <f>CEO!J69+CS!J69+CFO!J69+LLA!J69+'C&amp;E'!J69+CES!J69+LLT!J69+GB!J69</f>
        <v>3492.9839999999999</v>
      </c>
      <c r="K69" s="7">
        <f>CEO!K69+CS!K69+CFO!K69+LLA!K69+'C&amp;E'!K69+CES!K69+LLT!K69+GB!K69</f>
        <v>3492.9839999999999</v>
      </c>
      <c r="L69" s="7">
        <f>CEO!L69+CS!L69+CFO!L69+LLA!L69+'C&amp;E'!L69+CES!L69+LLT!L69+GB!L69</f>
        <v>3492.9839999999999</v>
      </c>
      <c r="M69" s="13" t="s">
        <v>135</v>
      </c>
      <c r="N69" s="7">
        <f t="shared" si="14"/>
        <v>241040.85599999997</v>
      </c>
      <c r="O69" s="7">
        <f t="shared" si="1"/>
        <v>10478.951999999999</v>
      </c>
      <c r="P69" s="7">
        <f t="shared" si="2"/>
        <v>251519.80799999996</v>
      </c>
      <c r="Q69" s="7">
        <v>200000</v>
      </c>
      <c r="R69" s="7">
        <f t="shared" si="3"/>
        <v>51519.807999999961</v>
      </c>
      <c r="S69" s="7"/>
    </row>
    <row r="70" spans="1:19" x14ac:dyDescent="0.3">
      <c r="A70" s="7">
        <f>CEO!A70+CS!A70+CFO!A70+LLA!A70+'C&amp;E'!A70+CES!A70+LLT!A70+GB!A70</f>
        <v>0</v>
      </c>
      <c r="B70" s="7">
        <f>CEO!B70+CS!B70+CFO!B70+LLA!B70+'C&amp;E'!B70+CES!B70+LLT!B70+GB!B70</f>
        <v>0</v>
      </c>
      <c r="C70" s="7">
        <f>CEO!C70+CS!C70+CFO!C70+LLA!C70+'C&amp;E'!C70+CES!C70+LLT!C70+GB!C70</f>
        <v>0</v>
      </c>
      <c r="D70" s="7">
        <f>CEO!D70+CS!D70+CFO!D70+LLA!D70+'C&amp;E'!D70+CES!D70+LLT!D70+GB!D70</f>
        <v>0</v>
      </c>
      <c r="E70" s="7">
        <f>CEO!E70+CS!E70+CFO!E70+LLA!E70+'C&amp;E'!E70+CES!E70+LLT!E70+GB!E70</f>
        <v>0</v>
      </c>
      <c r="F70" s="7">
        <f>CEO!F70+CS!F70+CFO!F70+LLA!F70+'C&amp;E'!F70+CES!F70+LLT!F70+GB!F70</f>
        <v>0</v>
      </c>
      <c r="G70" s="7">
        <f>CEO!G70+CS!G70+CFO!G70+LLA!G70+'C&amp;E'!G70+CES!G70+LLT!G70+GB!G70</f>
        <v>0</v>
      </c>
      <c r="H70" s="7">
        <f>CEO!H70+CS!H70+CFO!H70+LLA!H70+'C&amp;E'!H70+CES!H70+LLT!H70+GB!H70</f>
        <v>0</v>
      </c>
      <c r="I70" s="7">
        <f>CEO!I70+CS!I70+CFO!I70+LLA!I70+'C&amp;E'!I70+CES!I70+LLT!I70+GB!I70</f>
        <v>0</v>
      </c>
      <c r="J70" s="7">
        <f>CEO!J70+CS!J70+CFO!J70+LLA!J70+'C&amp;E'!J70+CES!J70+LLT!J70+GB!J70</f>
        <v>0</v>
      </c>
      <c r="K70" s="7">
        <f>CEO!K70+CS!K70+CFO!K70+LLA!K70+'C&amp;E'!K70+CES!K70+LLT!K70+GB!K70</f>
        <v>0</v>
      </c>
      <c r="L70" s="7">
        <f>CEO!L70+CS!L70+CFO!L70+LLA!L70+'C&amp;E'!L70+CES!L70+LLT!L70+GB!L70</f>
        <v>0</v>
      </c>
      <c r="M70" s="13" t="s">
        <v>136</v>
      </c>
      <c r="N70" s="7">
        <f t="shared" si="14"/>
        <v>0</v>
      </c>
      <c r="O70" s="7">
        <f t="shared" si="1"/>
        <v>0</v>
      </c>
      <c r="P70" s="7">
        <f t="shared" si="2"/>
        <v>0</v>
      </c>
      <c r="Q70" s="7">
        <v>0</v>
      </c>
      <c r="R70" s="7">
        <f t="shared" si="3"/>
        <v>0</v>
      </c>
      <c r="S70" s="7"/>
    </row>
    <row r="71" spans="1:19" x14ac:dyDescent="0.3">
      <c r="A71" s="7">
        <f>CEO!A71+CS!A71+CFO!A71+LLA!A71+'C&amp;E'!A71+CES!A71+LLT!A71+GB!A71</f>
        <v>108537.92466666667</v>
      </c>
      <c r="B71" s="7">
        <f>CEO!B71+CS!B71+CFO!B71+LLA!B71+'C&amp;E'!B71+CES!B71+LLT!B71+GB!B71</f>
        <v>108537.92466666667</v>
      </c>
      <c r="C71" s="7">
        <f>CEO!C71+CS!C71+CFO!C71+LLA!C71+'C&amp;E'!C71+CES!C71+LLT!C71+GB!C71</f>
        <v>108537.92466666667</v>
      </c>
      <c r="D71" s="7">
        <f>CEO!D71+CS!D71+CFO!D71+LLA!D71+'C&amp;E'!D71+CES!D71+LLT!D71+GB!D71</f>
        <v>108537.92466666667</v>
      </c>
      <c r="E71" s="7">
        <f>CEO!E71+CS!E71+CFO!E71+LLA!E71+'C&amp;E'!E71+CES!E71+LLT!E71+GB!E71</f>
        <v>108537.92466666667</v>
      </c>
      <c r="F71" s="7">
        <f>CEO!F71+CS!F71+CFO!F71+LLA!F71+'C&amp;E'!F71+CES!F71+LLT!F71+GB!F71</f>
        <v>108537.92466666667</v>
      </c>
      <c r="G71" s="7">
        <f>CEO!G71+CS!G71+CFO!G71+LLA!G71+'C&amp;E'!G71+CES!G71+LLT!G71+GB!G71</f>
        <v>108537.92466666667</v>
      </c>
      <c r="H71" s="7">
        <f>CEO!H71+CS!H71+CFO!H71+LLA!H71+'C&amp;E'!H71+CES!H71+LLT!H71+GB!H71</f>
        <v>108537.92466666667</v>
      </c>
      <c r="I71" s="7">
        <f>CEO!I71+CS!I71+CFO!I71+LLA!I71+'C&amp;E'!I71+CES!I71+LLT!I71+GB!I71</f>
        <v>108537.92466666667</v>
      </c>
      <c r="J71" s="7">
        <f>CEO!J71+CS!J71+CFO!J71+LLA!J71+'C&amp;E'!J71+CES!J71+LLT!J71+GB!J71</f>
        <v>108537.92466666667</v>
      </c>
      <c r="K71" s="7">
        <f>CEO!K71+CS!K71+CFO!K71+LLA!K71+'C&amp;E'!K71+CES!K71+LLT!K71+GB!K71</f>
        <v>108537.92466666667</v>
      </c>
      <c r="L71" s="7">
        <f>CEO!L71+CS!L71+CFO!L71+LLA!L71+'C&amp;E'!L71+CES!L71+LLT!L71+GB!L71</f>
        <v>108566.92466666667</v>
      </c>
      <c r="M71" s="13" t="s">
        <v>137</v>
      </c>
      <c r="N71" s="7">
        <f t="shared" si="14"/>
        <v>976841.32200000004</v>
      </c>
      <c r="O71" s="7">
        <f t="shared" si="1"/>
        <v>325642.77400000003</v>
      </c>
      <c r="P71" s="7">
        <f t="shared" si="2"/>
        <v>1302484.0960000001</v>
      </c>
      <c r="Q71" s="7">
        <v>1123931.9448630002</v>
      </c>
      <c r="R71" s="7">
        <f t="shared" si="3"/>
        <v>178552.15113699995</v>
      </c>
      <c r="S71" s="7"/>
    </row>
    <row r="72" spans="1:19" x14ac:dyDescent="0.3">
      <c r="A72" s="7">
        <f>CEO!A72+CS!A72+CFO!A72+LLA!A72+'C&amp;E'!A72+CES!A72+LLT!A72+GB!A72</f>
        <v>2380.0080000000003</v>
      </c>
      <c r="B72" s="7">
        <f>CEO!B72+CS!B72+CFO!B72+LLA!B72+'C&amp;E'!B72+CES!B72+LLT!B72+GB!B72</f>
        <v>2380.0080000000003</v>
      </c>
      <c r="C72" s="7">
        <f>CEO!C72+CS!C72+CFO!C72+LLA!C72+'C&amp;E'!C72+CES!C72+LLT!C72+GB!C72</f>
        <v>2380.0080000000003</v>
      </c>
      <c r="D72" s="7">
        <f>CEO!D72+CS!D72+CFO!D72+LLA!D72+'C&amp;E'!D72+CES!D72+LLT!D72+GB!D72</f>
        <v>2380.0080000000003</v>
      </c>
      <c r="E72" s="7">
        <f>CEO!E72+CS!E72+CFO!E72+LLA!E72+'C&amp;E'!E72+CES!E72+LLT!E72+GB!E72</f>
        <v>2380.0080000000003</v>
      </c>
      <c r="F72" s="7">
        <f>CEO!F72+CS!F72+CFO!F72+LLA!F72+'C&amp;E'!F72+CES!F72+LLT!F72+GB!F72</f>
        <v>2380.0080000000003</v>
      </c>
      <c r="G72" s="7">
        <f>CEO!G72+CS!G72+CFO!G72+LLA!G72+'C&amp;E'!G72+CES!G72+LLT!G72+GB!G72</f>
        <v>2380.0080000000003</v>
      </c>
      <c r="H72" s="7">
        <f>CEO!H72+CS!H72+CFO!H72+LLA!H72+'C&amp;E'!H72+CES!H72+LLT!H72+GB!H72</f>
        <v>2380.0080000000003</v>
      </c>
      <c r="I72" s="7">
        <f>CEO!I72+CS!I72+CFO!I72+LLA!I72+'C&amp;E'!I72+CES!I72+LLT!I72+GB!I72</f>
        <v>2380.0080000000003</v>
      </c>
      <c r="J72" s="7">
        <f>CEO!J72+CS!J72+CFO!J72+LLA!J72+'C&amp;E'!J72+CES!J72+LLT!J72+GB!J72</f>
        <v>2380.0080000000003</v>
      </c>
      <c r="K72" s="7">
        <f>CEO!K72+CS!K72+CFO!K72+LLA!K72+'C&amp;E'!K72+CES!K72+LLT!K72+GB!K72</f>
        <v>2380.0080000000003</v>
      </c>
      <c r="L72" s="7">
        <f>CEO!L72+CS!L72+CFO!L72+LLA!L72+'C&amp;E'!L72+CES!L72+LLT!L72+GB!L72</f>
        <v>2379.0080000000003</v>
      </c>
      <c r="M72" s="13" t="s">
        <v>138</v>
      </c>
      <c r="N72" s="7">
        <f t="shared" si="14"/>
        <v>21420.072000000004</v>
      </c>
      <c r="O72" s="7">
        <f t="shared" ref="O72:O135" si="15">SUM(J72:L72)</f>
        <v>7139.0240000000013</v>
      </c>
      <c r="P72" s="7">
        <f t="shared" ref="P72:P135" si="16">SUM(N72:O72)</f>
        <v>28559.096000000005</v>
      </c>
      <c r="Q72" s="7">
        <v>0</v>
      </c>
      <c r="R72" s="7">
        <f t="shared" ref="R72:R135" si="17">P72-Q72</f>
        <v>28559.096000000005</v>
      </c>
      <c r="S72" s="7"/>
    </row>
    <row r="73" spans="1:19" x14ac:dyDescent="0.3">
      <c r="A73" s="7">
        <f>CEO!A73+CS!A73+CFO!A73+LLA!A73+'C&amp;E'!A73+CES!A73+LLT!A73+GB!A73</f>
        <v>0</v>
      </c>
      <c r="B73" s="7">
        <f>CEO!B73+CS!B73+CFO!B73+LLA!B73+'C&amp;E'!B73+CES!B73+LLT!B73+GB!B73</f>
        <v>0</v>
      </c>
      <c r="C73" s="7">
        <f>CEO!C73+CS!C73+CFO!C73+LLA!C73+'C&amp;E'!C73+CES!C73+LLT!C73+GB!C73</f>
        <v>0</v>
      </c>
      <c r="D73" s="7">
        <f>CEO!D73+CS!D73+CFO!D73+LLA!D73+'C&amp;E'!D73+CES!D73+LLT!D73+GB!D73</f>
        <v>0</v>
      </c>
      <c r="E73" s="7">
        <f>CEO!E73+CS!E73+CFO!E73+LLA!E73+'C&amp;E'!E73+CES!E73+LLT!E73+GB!E73</f>
        <v>0</v>
      </c>
      <c r="F73" s="7">
        <f>CEO!F73+CS!F73+CFO!F73+LLA!F73+'C&amp;E'!F73+CES!F73+LLT!F73+GB!F73</f>
        <v>0</v>
      </c>
      <c r="G73" s="7">
        <f>CEO!G73+CS!G73+CFO!G73+LLA!G73+'C&amp;E'!G73+CES!G73+LLT!G73+GB!G73</f>
        <v>0</v>
      </c>
      <c r="H73" s="7">
        <f>CEO!H73+CS!H73+CFO!H73+LLA!H73+'C&amp;E'!H73+CES!H73+LLT!H73+GB!H73</f>
        <v>0</v>
      </c>
      <c r="I73" s="7">
        <f>CEO!I73+CS!I73+CFO!I73+LLA!I73+'C&amp;E'!I73+CES!I73+LLT!I73+GB!I73</f>
        <v>0</v>
      </c>
      <c r="J73" s="7">
        <f>CEO!J73+CS!J73+CFO!J73+LLA!J73+'C&amp;E'!J73+CES!J73+LLT!J73+GB!J73</f>
        <v>0</v>
      </c>
      <c r="K73" s="7">
        <f>CEO!K73+CS!K73+CFO!K73+LLA!K73+'C&amp;E'!K73+CES!K73+LLT!K73+GB!K73</f>
        <v>0</v>
      </c>
      <c r="L73" s="7">
        <f>CEO!L73+CS!L73+CFO!L73+LLA!L73+'C&amp;E'!L73+CES!L73+LLT!L73+GB!L73</f>
        <v>0</v>
      </c>
      <c r="M73" s="13" t="s">
        <v>123</v>
      </c>
      <c r="N73" s="7">
        <f t="shared" si="14"/>
        <v>0</v>
      </c>
      <c r="O73" s="7">
        <f t="shared" si="15"/>
        <v>0</v>
      </c>
      <c r="P73" s="7">
        <f t="shared" si="16"/>
        <v>0</v>
      </c>
      <c r="Q73" s="7">
        <v>0</v>
      </c>
      <c r="R73" s="7">
        <f t="shared" si="17"/>
        <v>0</v>
      </c>
      <c r="S73" s="7"/>
    </row>
    <row r="74" spans="1:19" x14ac:dyDescent="0.3">
      <c r="A74" s="7">
        <f>CEO!A74+CS!A74+CFO!A74+LLA!A74+'C&amp;E'!A74+CES!A74+LLT!A74+GB!A74</f>
        <v>293473.53600000002</v>
      </c>
      <c r="B74" s="7">
        <f>CEO!B74+CS!B74+CFO!B74+LLA!B74+'C&amp;E'!B74+CES!B74+LLT!B74+GB!B74</f>
        <v>293473.53600000002</v>
      </c>
      <c r="C74" s="7">
        <f>CEO!C74+CS!C74+CFO!C74+LLA!C74+'C&amp;E'!C74+CES!C74+LLT!C74+GB!C74</f>
        <v>293473.53600000002</v>
      </c>
      <c r="D74" s="7">
        <f>CEO!D74+CS!D74+CFO!D74+LLA!D74+'C&amp;E'!D74+CES!D74+LLT!D74+GB!D74</f>
        <v>293473.53600000002</v>
      </c>
      <c r="E74" s="7">
        <f>CEO!E74+CS!E74+CFO!E74+LLA!E74+'C&amp;E'!E74+CES!E74+LLT!E74+GB!E74</f>
        <v>293473.53600000002</v>
      </c>
      <c r="F74" s="7">
        <f>CEO!F74+CS!F74+CFO!F74+LLA!F74+'C&amp;E'!F74+CES!F74+LLT!F74+GB!F74</f>
        <v>293473.53600000002</v>
      </c>
      <c r="G74" s="7">
        <f>CEO!G74+CS!G74+CFO!G74+LLA!G74+'C&amp;E'!G74+CES!G74+LLT!G74+GB!G74</f>
        <v>293473.53600000002</v>
      </c>
      <c r="H74" s="7">
        <f>CEO!H74+CS!H74+CFO!H74+LLA!H74+'C&amp;E'!H74+CES!H74+LLT!H74+GB!H74</f>
        <v>293473.53600000002</v>
      </c>
      <c r="I74" s="7">
        <f>CEO!I74+CS!I74+CFO!I74+LLA!I74+'C&amp;E'!I74+CES!I74+LLT!I74+GB!I74</f>
        <v>293473.53600000002</v>
      </c>
      <c r="J74" s="7">
        <f>CEO!J74+CS!J74+CFO!J74+LLA!J74+'C&amp;E'!J74+CES!J74+LLT!J74+GB!J74</f>
        <v>293473.53600000002</v>
      </c>
      <c r="K74" s="7">
        <f>CEO!K74+CS!K74+CFO!K74+LLA!K74+'C&amp;E'!K74+CES!K74+LLT!K74+GB!K74</f>
        <v>293473.53600000002</v>
      </c>
      <c r="L74" s="7">
        <f>CEO!L74+CS!L74+CFO!L74+LLA!L74+'C&amp;E'!L74+CES!L74+LLT!L74+GB!L74</f>
        <v>293479.53600000002</v>
      </c>
      <c r="M74" s="238" t="s">
        <v>139</v>
      </c>
      <c r="N74" s="7">
        <f t="shared" si="14"/>
        <v>2641261.824</v>
      </c>
      <c r="O74" s="7">
        <f t="shared" si="15"/>
        <v>880426.60800000001</v>
      </c>
      <c r="P74" s="7">
        <f t="shared" si="16"/>
        <v>3521688.432</v>
      </c>
      <c r="Q74" s="7">
        <v>3462666.8296299996</v>
      </c>
      <c r="R74" s="7">
        <f t="shared" si="17"/>
        <v>59021.602370000444</v>
      </c>
      <c r="S74" s="7"/>
    </row>
    <row r="75" spans="1:19" x14ac:dyDescent="0.3">
      <c r="A75" s="7">
        <f>CEO!A75+CS!A75+CFO!A75+LLA!A75+'C&amp;E'!A75+CES!A75+LLT!A75+GB!A75</f>
        <v>12241.688</v>
      </c>
      <c r="B75" s="7">
        <f>CEO!B75+CS!B75+CFO!B75+LLA!B75+'C&amp;E'!B75+CES!B75+LLT!B75+GB!B75</f>
        <v>12241.688</v>
      </c>
      <c r="C75" s="7">
        <f>CEO!C75+CS!C75+CFO!C75+LLA!C75+'C&amp;E'!C75+CES!C75+LLT!C75+GB!C75</f>
        <v>12241.688</v>
      </c>
      <c r="D75" s="7">
        <f>CEO!D75+CS!D75+CFO!D75+LLA!D75+'C&amp;E'!D75+CES!D75+LLT!D75+GB!D75</f>
        <v>12241.688</v>
      </c>
      <c r="E75" s="7">
        <f>CEO!E75+CS!E75+CFO!E75+LLA!E75+'C&amp;E'!E75+CES!E75+LLT!E75+GB!E75</f>
        <v>12241.688</v>
      </c>
      <c r="F75" s="7">
        <f>CEO!F75+CS!F75+CFO!F75+LLA!F75+'C&amp;E'!F75+CES!F75+LLT!F75+GB!F75</f>
        <v>12241.688</v>
      </c>
      <c r="G75" s="7">
        <f>CEO!G75+CS!G75+CFO!G75+LLA!G75+'C&amp;E'!G75+CES!G75+LLT!G75+GB!G75</f>
        <v>12241.688</v>
      </c>
      <c r="H75" s="7">
        <f>CEO!H75+CS!H75+CFO!H75+LLA!H75+'C&amp;E'!H75+CES!H75+LLT!H75+GB!H75</f>
        <v>12241.688</v>
      </c>
      <c r="I75" s="7">
        <f>CEO!I75+CS!I75+CFO!I75+LLA!I75+'C&amp;E'!I75+CES!I75+LLT!I75+GB!I75</f>
        <v>12241.688</v>
      </c>
      <c r="J75" s="7">
        <f>CEO!J75+CS!J75+CFO!J75+LLA!J75+'C&amp;E'!J75+CES!J75+LLT!J75+GB!J75</f>
        <v>12241.688</v>
      </c>
      <c r="K75" s="7">
        <f>CEO!K75+CS!K75+CFO!K75+LLA!K75+'C&amp;E'!K75+CES!K75+LLT!K75+GB!K75</f>
        <v>12241.688</v>
      </c>
      <c r="L75" s="7">
        <f>CEO!L75+CS!L75+CFO!L75+LLA!L75+'C&amp;E'!L75+CES!L75+LLT!L75+GB!L75</f>
        <v>12244.688</v>
      </c>
      <c r="M75" s="13" t="s">
        <v>140</v>
      </c>
      <c r="N75" s="7">
        <f t="shared" si="14"/>
        <v>110175.19199999998</v>
      </c>
      <c r="O75" s="7">
        <f t="shared" si="15"/>
        <v>36728.063999999998</v>
      </c>
      <c r="P75" s="7">
        <f t="shared" si="16"/>
        <v>146903.25599999999</v>
      </c>
      <c r="Q75" s="7">
        <v>273128.12</v>
      </c>
      <c r="R75" s="7">
        <f t="shared" si="17"/>
        <v>-126224.864</v>
      </c>
      <c r="S75" s="7"/>
    </row>
    <row r="76" spans="1:19" x14ac:dyDescent="0.3">
      <c r="A76" s="7">
        <f>CEO!A76+CS!A76+CFO!A76+LLA!A76+'C&amp;E'!A76+CES!A76+LLT!A76+GB!A76</f>
        <v>2356.9520000000002</v>
      </c>
      <c r="B76" s="7">
        <f>CEO!B76+CS!B76+CFO!B76+LLA!B76+'C&amp;E'!B76+CES!B76+LLT!B76+GB!B76</f>
        <v>2356.9520000000002</v>
      </c>
      <c r="C76" s="7">
        <f>CEO!C76+CS!C76+CFO!C76+LLA!C76+'C&amp;E'!C76+CES!C76+LLT!C76+GB!C76</f>
        <v>2356.9520000000002</v>
      </c>
      <c r="D76" s="7">
        <f>CEO!D76+CS!D76+CFO!D76+LLA!D76+'C&amp;E'!D76+CES!D76+LLT!D76+GB!D76</f>
        <v>2356.9520000000002</v>
      </c>
      <c r="E76" s="7">
        <f>CEO!E76+CS!E76+CFO!E76+LLA!E76+'C&amp;E'!E76+CES!E76+LLT!E76+GB!E76</f>
        <v>2356.9520000000002</v>
      </c>
      <c r="F76" s="7">
        <f>CEO!F76+CS!F76+CFO!F76+LLA!F76+'C&amp;E'!F76+CES!F76+LLT!F76+GB!F76</f>
        <v>2356.9520000000002</v>
      </c>
      <c r="G76" s="7">
        <f>CEO!G76+CS!G76+CFO!G76+LLA!G76+'C&amp;E'!G76+CES!G76+LLT!G76+GB!G76</f>
        <v>2356.9520000000002</v>
      </c>
      <c r="H76" s="7">
        <f>CEO!H76+CS!H76+CFO!H76+LLA!H76+'C&amp;E'!H76+CES!H76+LLT!H76+GB!H76</f>
        <v>2356.9520000000002</v>
      </c>
      <c r="I76" s="7">
        <f>CEO!I76+CS!I76+CFO!I76+LLA!I76+'C&amp;E'!I76+CES!I76+LLT!I76+GB!I76</f>
        <v>2356.9520000000002</v>
      </c>
      <c r="J76" s="7">
        <f>CEO!J76+CS!J76+CFO!J76+LLA!J76+'C&amp;E'!J76+CES!J76+LLT!J76+GB!J76</f>
        <v>2356.9520000000002</v>
      </c>
      <c r="K76" s="7">
        <f>CEO!K76+CS!K76+CFO!K76+LLA!K76+'C&amp;E'!K76+CES!K76+LLT!K76+GB!K76</f>
        <v>2356.9520000000002</v>
      </c>
      <c r="L76" s="7">
        <f>CEO!L76+CS!L76+CFO!L76+LLA!L76+'C&amp;E'!L76+CES!L76+LLT!L76+GB!L76</f>
        <v>2352.9520000000002</v>
      </c>
      <c r="M76" s="13" t="s">
        <v>141</v>
      </c>
      <c r="N76" s="7">
        <f t="shared" si="14"/>
        <v>21212.568000000007</v>
      </c>
      <c r="O76" s="7">
        <f t="shared" si="15"/>
        <v>7066.8560000000007</v>
      </c>
      <c r="P76" s="7">
        <f t="shared" si="16"/>
        <v>28279.424000000006</v>
      </c>
      <c r="Q76" s="7">
        <v>13264.641</v>
      </c>
      <c r="R76" s="7">
        <f t="shared" si="17"/>
        <v>15014.783000000007</v>
      </c>
      <c r="S76" s="7"/>
    </row>
    <row r="77" spans="1:19" x14ac:dyDescent="0.3">
      <c r="A77" s="7">
        <f>CEO!A77+CS!A77+CFO!A77+LLA!A77+'C&amp;E'!A77+CES!A77+LLT!A77+GB!A77</f>
        <v>0</v>
      </c>
      <c r="B77" s="7">
        <f>CEO!B77+CS!B77+CFO!B77+LLA!B77+'C&amp;E'!B77+CES!B77+LLT!B77+GB!B77</f>
        <v>0</v>
      </c>
      <c r="C77" s="7">
        <f>CEO!C77+CS!C77+CFO!C77+LLA!C77+'C&amp;E'!C77+CES!C77+LLT!C77+GB!C77</f>
        <v>0</v>
      </c>
      <c r="D77" s="7">
        <f>CEO!D77+CS!D77+CFO!D77+LLA!D77+'C&amp;E'!D77+CES!D77+LLT!D77+GB!D77</f>
        <v>0</v>
      </c>
      <c r="E77" s="7">
        <f>CEO!E77+CS!E77+CFO!E77+LLA!E77+'C&amp;E'!E77+CES!E77+LLT!E77+GB!E77</f>
        <v>0</v>
      </c>
      <c r="F77" s="7">
        <f>CEO!F77+CS!F77+CFO!F77+LLA!F77+'C&amp;E'!F77+CES!F77+LLT!F77+GB!F77</f>
        <v>0</v>
      </c>
      <c r="G77" s="7">
        <f>CEO!G77+CS!G77+CFO!G77+LLA!G77+'C&amp;E'!G77+CES!G77+LLT!G77+GB!G77</f>
        <v>0</v>
      </c>
      <c r="H77" s="7">
        <f>CEO!H77+CS!H77+CFO!H77+LLA!H77+'C&amp;E'!H77+CES!H77+LLT!H77+GB!H77</f>
        <v>0</v>
      </c>
      <c r="I77" s="7">
        <f>CEO!I77+CS!I77+CFO!I77+LLA!I77+'C&amp;E'!I77+CES!I77+LLT!I77+GB!I77</f>
        <v>0</v>
      </c>
      <c r="J77" s="7">
        <f>CEO!J77+CS!J77+CFO!J77+LLA!J77+'C&amp;E'!J77+CES!J77+LLT!J77+GB!J77</f>
        <v>0</v>
      </c>
      <c r="K77" s="7">
        <f>CEO!K77+CS!K77+CFO!K77+LLA!K77+'C&amp;E'!K77+CES!K77+LLT!K77+GB!K77</f>
        <v>0</v>
      </c>
      <c r="L77" s="7">
        <f>CEO!L77+CS!L77+CFO!L77+LLA!L77+'C&amp;E'!L77+CES!L77+LLT!L77+GB!L77</f>
        <v>0</v>
      </c>
      <c r="M77" s="13" t="s">
        <v>142</v>
      </c>
      <c r="N77" s="7">
        <f t="shared" si="14"/>
        <v>0</v>
      </c>
      <c r="O77" s="7">
        <f t="shared" si="15"/>
        <v>0</v>
      </c>
      <c r="P77" s="7">
        <f t="shared" si="16"/>
        <v>0</v>
      </c>
      <c r="Q77" s="7">
        <v>0</v>
      </c>
      <c r="R77" s="7">
        <f t="shared" si="17"/>
        <v>0</v>
      </c>
      <c r="S77" s="7"/>
    </row>
    <row r="78" spans="1:19" x14ac:dyDescent="0.3">
      <c r="A78" s="7">
        <f>CEO!A78+CS!A78+CFO!A78+LLA!A78+'C&amp;E'!A78+CES!A78+LLT!A78+GB!A78</f>
        <v>0</v>
      </c>
      <c r="B78" s="7">
        <f>CEO!B78+CS!B78+CFO!B78+LLA!B78+'C&amp;E'!B78+CES!B78+LLT!B78+GB!B78</f>
        <v>0</v>
      </c>
      <c r="C78" s="7">
        <f>CEO!C78+CS!C78+CFO!C78+LLA!C78+'C&amp;E'!C78+CES!C78+LLT!C78+GB!C78</f>
        <v>0</v>
      </c>
      <c r="D78" s="7">
        <f>CEO!D78+CS!D78+CFO!D78+LLA!D78+'C&amp;E'!D78+CES!D78+LLT!D78+GB!D78</f>
        <v>0</v>
      </c>
      <c r="E78" s="7">
        <f>CEO!E78+CS!E78+CFO!E78+LLA!E78+'C&amp;E'!E78+CES!E78+LLT!E78+GB!E78</f>
        <v>0</v>
      </c>
      <c r="F78" s="7">
        <f>CEO!F78+CS!F78+CFO!F78+LLA!F78+'C&amp;E'!F78+CES!F78+LLT!F78+GB!F78</f>
        <v>0</v>
      </c>
      <c r="G78" s="7">
        <f>CEO!G78+CS!G78+CFO!G78+LLA!G78+'C&amp;E'!G78+CES!G78+LLT!G78+GB!G78</f>
        <v>0</v>
      </c>
      <c r="H78" s="7">
        <f>CEO!H78+CS!H78+CFO!H78+LLA!H78+'C&amp;E'!H78+CES!H78+LLT!H78+GB!H78</f>
        <v>0</v>
      </c>
      <c r="I78" s="7">
        <f>CEO!I78+CS!I78+CFO!I78+LLA!I78+'C&amp;E'!I78+CES!I78+LLT!I78+GB!I78</f>
        <v>0</v>
      </c>
      <c r="J78" s="7">
        <f>CEO!J78+CS!J78+CFO!J78+LLA!J78+'C&amp;E'!J78+CES!J78+LLT!J78+GB!J78</f>
        <v>0</v>
      </c>
      <c r="K78" s="7">
        <f>CEO!K78+CS!K78+CFO!K78+LLA!K78+'C&amp;E'!K78+CES!K78+LLT!K78+GB!K78</f>
        <v>0</v>
      </c>
      <c r="L78" s="7">
        <f>CEO!L78+CS!L78+CFO!L78+LLA!L78+'C&amp;E'!L78+CES!L78+LLT!L78+GB!L78</f>
        <v>0</v>
      </c>
      <c r="M78" s="13" t="s">
        <v>143</v>
      </c>
      <c r="N78" s="7">
        <f t="shared" si="14"/>
        <v>0</v>
      </c>
      <c r="O78" s="7">
        <f t="shared" si="15"/>
        <v>0</v>
      </c>
      <c r="P78" s="7">
        <f t="shared" si="16"/>
        <v>0</v>
      </c>
      <c r="Q78" s="7">
        <v>0</v>
      </c>
      <c r="R78" s="7">
        <f t="shared" si="17"/>
        <v>0</v>
      </c>
      <c r="S78" s="7"/>
    </row>
    <row r="79" spans="1:19" x14ac:dyDescent="0.3">
      <c r="A79" s="7">
        <f>CEO!A79+CS!A79+CFO!A79+LLA!A79+'C&amp;E'!A79+CES!A79+LLT!A79+GB!A79</f>
        <v>8732.9840000000004</v>
      </c>
      <c r="B79" s="7">
        <f>CEO!B79+CS!B79+CFO!B79+LLA!B79+'C&amp;E'!B79+CES!B79+LLT!B79+GB!B79</f>
        <v>8732.9840000000004</v>
      </c>
      <c r="C79" s="7">
        <f>CEO!C79+CS!C79+CFO!C79+LLA!C79+'C&amp;E'!C79+CES!C79+LLT!C79+GB!C79</f>
        <v>8732.9840000000004</v>
      </c>
      <c r="D79" s="7">
        <f>CEO!D79+CS!D79+CFO!D79+LLA!D79+'C&amp;E'!D79+CES!D79+LLT!D79+GB!D79</f>
        <v>8732.9840000000004</v>
      </c>
      <c r="E79" s="7">
        <f>CEO!E79+CS!E79+CFO!E79+LLA!E79+'C&amp;E'!E79+CES!E79+LLT!E79+GB!E79</f>
        <v>8732.9840000000004</v>
      </c>
      <c r="F79" s="7">
        <f>CEO!F79+CS!F79+CFO!F79+LLA!F79+'C&amp;E'!F79+CES!F79+LLT!F79+GB!F79</f>
        <v>8732.9840000000004</v>
      </c>
      <c r="G79" s="7">
        <f>CEO!G79+CS!G79+CFO!G79+LLA!G79+'C&amp;E'!G79+CES!G79+LLT!G79+GB!G79</f>
        <v>8732.9840000000004</v>
      </c>
      <c r="H79" s="7">
        <f>CEO!H79+CS!H79+CFO!H79+LLA!H79+'C&amp;E'!H79+CES!H79+LLT!H79+GB!H79</f>
        <v>8732.9840000000004</v>
      </c>
      <c r="I79" s="7">
        <f>CEO!I79+CS!I79+CFO!I79+LLA!I79+'C&amp;E'!I79+CES!I79+LLT!I79+GB!I79</f>
        <v>8732.9840000000004</v>
      </c>
      <c r="J79" s="7">
        <f>CEO!J79+CS!J79+CFO!J79+LLA!J79+'C&amp;E'!J79+CES!J79+LLT!J79+GB!J79</f>
        <v>8732.9840000000004</v>
      </c>
      <c r="K79" s="7">
        <f>CEO!K79+CS!K79+CFO!K79+LLA!K79+'C&amp;E'!K79+CES!K79+LLT!K79+GB!K79</f>
        <v>8732.9840000000004</v>
      </c>
      <c r="L79" s="7">
        <f>CEO!L79+CS!L79+CFO!L79+LLA!L79+'C&amp;E'!L79+CES!L79+LLT!L79+GB!L79</f>
        <v>8736.9840000000004</v>
      </c>
      <c r="M79" s="13" t="s">
        <v>144</v>
      </c>
      <c r="N79" s="7">
        <f t="shared" si="14"/>
        <v>78596.855999999985</v>
      </c>
      <c r="O79" s="7">
        <f t="shared" si="15"/>
        <v>26202.952000000001</v>
      </c>
      <c r="P79" s="7">
        <f t="shared" si="16"/>
        <v>104799.80799999999</v>
      </c>
      <c r="Q79" s="7">
        <v>100000</v>
      </c>
      <c r="R79" s="7">
        <f t="shared" si="17"/>
        <v>4799.80799999999</v>
      </c>
      <c r="S79" s="7"/>
    </row>
    <row r="80" spans="1:19" x14ac:dyDescent="0.3">
      <c r="A80" s="7">
        <f>CEO!A80+CS!A80+CFO!A80+LLA!A80+'C&amp;E'!A80+CES!A80+LLT!A80+GB!A80</f>
        <v>0</v>
      </c>
      <c r="B80" s="7">
        <f>CEO!B80+CS!B80+CFO!B80+LLA!B80+'C&amp;E'!B80+CES!B80+LLT!B80+GB!B80</f>
        <v>0</v>
      </c>
      <c r="C80" s="7">
        <f>CEO!C80+CS!C80+CFO!C80+LLA!C80+'C&amp;E'!C80+CES!C80+LLT!C80+GB!C80</f>
        <v>0</v>
      </c>
      <c r="D80" s="7">
        <f>CEO!D80+CS!D80+CFO!D80+LLA!D80+'C&amp;E'!D80+CES!D80+LLT!D80+GB!D80</f>
        <v>0</v>
      </c>
      <c r="E80" s="7">
        <f>CEO!E80+CS!E80+CFO!E80+LLA!E80+'C&amp;E'!E80+CES!E80+LLT!E80+GB!E80</f>
        <v>0</v>
      </c>
      <c r="F80" s="7">
        <f>CEO!F80+CS!F80+CFO!F80+LLA!F80+'C&amp;E'!F80+CES!F80+LLT!F80+GB!F80</f>
        <v>0</v>
      </c>
      <c r="G80" s="7">
        <f>CEO!G80+CS!G80+CFO!G80+LLA!G80+'C&amp;E'!G80+CES!G80+LLT!G80+GB!G80</f>
        <v>0</v>
      </c>
      <c r="H80" s="7">
        <f>CEO!H80+CS!H80+CFO!H80+LLA!H80+'C&amp;E'!H80+CES!H80+LLT!H80+GB!H80</f>
        <v>0</v>
      </c>
      <c r="I80" s="7">
        <f>CEO!I80+CS!I80+CFO!I80+LLA!I80+'C&amp;E'!I80+CES!I80+LLT!I80+GB!I80</f>
        <v>0</v>
      </c>
      <c r="J80" s="7">
        <f>CEO!J80+CS!J80+CFO!J80+LLA!J80+'C&amp;E'!J80+CES!J80+LLT!J80+GB!J80</f>
        <v>0</v>
      </c>
      <c r="K80" s="7">
        <f>CEO!K80+CS!K80+CFO!K80+LLA!K80+'C&amp;E'!K80+CES!K80+LLT!K80+GB!K80</f>
        <v>0</v>
      </c>
      <c r="L80" s="7">
        <f>CEO!L80+CS!L80+CFO!L80+LLA!L80+'C&amp;E'!L80+CES!L80+LLT!L80+GB!L80</f>
        <v>0</v>
      </c>
      <c r="M80" s="13" t="s">
        <v>145</v>
      </c>
      <c r="N80" s="7">
        <f t="shared" si="14"/>
        <v>0</v>
      </c>
      <c r="O80" s="7">
        <f t="shared" si="15"/>
        <v>0</v>
      </c>
      <c r="P80" s="7">
        <f t="shared" si="16"/>
        <v>0</v>
      </c>
      <c r="Q80" s="7">
        <v>0</v>
      </c>
      <c r="R80" s="7">
        <f t="shared" si="17"/>
        <v>0</v>
      </c>
      <c r="S80" s="7"/>
    </row>
    <row r="81" spans="1:19" x14ac:dyDescent="0.3">
      <c r="A81" s="7">
        <f>CEO!A81+CS!A81+CFO!A81+LLA!A81+'C&amp;E'!A81+CES!A81+LLT!A81+GB!A81</f>
        <v>0</v>
      </c>
      <c r="B81" s="7">
        <f>CEO!B81+CS!B81+CFO!B81+LLA!B81+'C&amp;E'!B81+CES!B81+LLT!B81+GB!B81</f>
        <v>0</v>
      </c>
      <c r="C81" s="7">
        <f>CEO!C81+CS!C81+CFO!C81+LLA!C81+'C&amp;E'!C81+CES!C81+LLT!C81+GB!C81</f>
        <v>0</v>
      </c>
      <c r="D81" s="7">
        <f>CEO!D81+CS!D81+CFO!D81+LLA!D81+'C&amp;E'!D81+CES!D81+LLT!D81+GB!D81</f>
        <v>0</v>
      </c>
      <c r="E81" s="7">
        <f>CEO!E81+CS!E81+CFO!E81+LLA!E81+'C&amp;E'!E81+CES!E81+LLT!E81+GB!E81</f>
        <v>13355.712</v>
      </c>
      <c r="F81" s="7">
        <f>CEO!F81+CS!F81+CFO!F81+LLA!F81+'C&amp;E'!F81+CES!F81+LLT!F81+GB!F81</f>
        <v>0</v>
      </c>
      <c r="G81" s="7">
        <f>CEO!G81+CS!G81+CFO!G81+LLA!G81+'C&amp;E'!G81+CES!G81+LLT!G81+GB!G81</f>
        <v>62198.75808</v>
      </c>
      <c r="H81" s="7">
        <f>CEO!H81+CS!H81+CFO!H81+LLA!H81+'C&amp;E'!H81+CES!H81+LLT!H81+GB!H81</f>
        <v>0</v>
      </c>
      <c r="I81" s="7">
        <f>CEO!I81+CS!I81+CFO!I81+LLA!I81+'C&amp;E'!I81+CES!I81+LLT!I81+GB!I81</f>
        <v>0</v>
      </c>
      <c r="J81" s="7">
        <f>CEO!J81+CS!J81+CFO!J81+LLA!J81+'C&amp;E'!J81+CES!J81+LLT!J81+GB!J81</f>
        <v>0</v>
      </c>
      <c r="K81" s="7">
        <f>CEO!K81+CS!K81+CFO!K81+LLA!K81+'C&amp;E'!K81+CES!K81+LLT!K81+GB!K81</f>
        <v>32121.200000000001</v>
      </c>
      <c r="L81" s="7">
        <f>CEO!L81+CS!L81+CFO!L81+LLA!L81+'C&amp;E'!L81+CES!L81+LLT!L81+GB!L81</f>
        <v>18366.2</v>
      </c>
      <c r="M81" s="238" t="s">
        <v>146</v>
      </c>
      <c r="N81" s="7">
        <f t="shared" si="14"/>
        <v>75554.470079999999</v>
      </c>
      <c r="O81" s="7">
        <f t="shared" si="15"/>
        <v>50487.4</v>
      </c>
      <c r="P81" s="7">
        <f t="shared" si="16"/>
        <v>126041.87007999999</v>
      </c>
      <c r="Q81" s="7">
        <v>185000</v>
      </c>
      <c r="R81" s="7">
        <f t="shared" si="17"/>
        <v>-58958.129920000007</v>
      </c>
      <c r="S81" s="7"/>
    </row>
    <row r="82" spans="1:19" x14ac:dyDescent="0.3">
      <c r="A82" s="7">
        <f>CEO!A82+CS!A82+CFO!A82+LLA!A82+'C&amp;E'!A82+CES!A82+LLT!A82+GB!A82</f>
        <v>126291.33600000001</v>
      </c>
      <c r="B82" s="7">
        <f>CEO!B82+CS!B82+CFO!B82+LLA!B82+'C&amp;E'!B82+CES!B82+LLT!B82+GB!B82</f>
        <v>126291.33600000001</v>
      </c>
      <c r="C82" s="7">
        <f>CEO!C82+CS!C82+CFO!C82+LLA!C82+'C&amp;E'!C82+CES!C82+LLT!C82+GB!C82</f>
        <v>126291.33600000001</v>
      </c>
      <c r="D82" s="7">
        <f>CEO!D82+CS!D82+CFO!D82+LLA!D82+'C&amp;E'!D82+CES!D82+LLT!D82+GB!D82</f>
        <v>126291.33600000001</v>
      </c>
      <c r="E82" s="7">
        <f>CEO!E82+CS!E82+CFO!E82+LLA!E82+'C&amp;E'!E82+CES!E82+LLT!E82+GB!E82</f>
        <v>126291.33600000001</v>
      </c>
      <c r="F82" s="7">
        <f>CEO!F82+CS!F82+CFO!F82+LLA!F82+'C&amp;E'!F82+CES!F82+LLT!F82+GB!F82</f>
        <v>126291.33600000001</v>
      </c>
      <c r="G82" s="7">
        <f>CEO!G82+CS!G82+CFO!G82+LLA!G82+'C&amp;E'!G82+CES!G82+LLT!G82+GB!G82</f>
        <v>126291.33600000001</v>
      </c>
      <c r="H82" s="7">
        <f>CEO!H82+CS!H82+CFO!H82+LLA!H82+'C&amp;E'!H82+CES!H82+LLT!H82+GB!H82</f>
        <v>126291.33600000001</v>
      </c>
      <c r="I82" s="7">
        <f>CEO!I82+CS!I82+CFO!I82+LLA!I82+'C&amp;E'!I82+CES!I82+LLT!I82+GB!I82</f>
        <v>126291.33600000001</v>
      </c>
      <c r="J82" s="7">
        <f>CEO!J82+CS!J82+CFO!J82+LLA!J82+'C&amp;E'!J82+CES!J82+LLT!J82+GB!J82</f>
        <v>126291.33600000001</v>
      </c>
      <c r="K82" s="7">
        <f>CEO!K82+CS!K82+CFO!K82+LLA!K82+'C&amp;E'!K82+CES!K82+LLT!K82+GB!K82</f>
        <v>126291.33600000001</v>
      </c>
      <c r="L82" s="7">
        <f>CEO!L82+CS!L82+CFO!L82+LLA!L82+'C&amp;E'!L82+CES!L82+LLT!L82+GB!L82</f>
        <v>126291.33600000001</v>
      </c>
      <c r="M82" s="238" t="s">
        <v>147</v>
      </c>
      <c r="N82" s="7">
        <f t="shared" si="14"/>
        <v>1136622.0240000002</v>
      </c>
      <c r="O82" s="7">
        <f t="shared" si="15"/>
        <v>378874.00800000003</v>
      </c>
      <c r="P82" s="7">
        <f t="shared" si="16"/>
        <v>1515496.0320000001</v>
      </c>
      <c r="Q82" s="7">
        <v>166309.82386199999</v>
      </c>
      <c r="R82" s="7">
        <f t="shared" si="17"/>
        <v>1349186.2081380002</v>
      </c>
      <c r="S82" s="7"/>
    </row>
    <row r="83" spans="1:19" x14ac:dyDescent="0.3">
      <c r="A83" s="7">
        <f>CEO!A83+CS!A83+CFO!A83+LLA!A83+'C&amp;E'!A83+CES!A83+LLT!A83+GB!A83</f>
        <v>0</v>
      </c>
      <c r="B83" s="7">
        <f>CEO!B83+CS!B83+CFO!B83+LLA!B83+'C&amp;E'!B83+CES!B83+LLT!B83+GB!B83</f>
        <v>0</v>
      </c>
      <c r="C83" s="7">
        <f>CEO!C83+CS!C83+CFO!C83+LLA!C83+'C&amp;E'!C83+CES!C83+LLT!C83+GB!C83</f>
        <v>0</v>
      </c>
      <c r="D83" s="7">
        <f>CEO!D83+CS!D83+CFO!D83+LLA!D83+'C&amp;E'!D83+CES!D83+LLT!D83+GB!D83</f>
        <v>0</v>
      </c>
      <c r="E83" s="7">
        <f>CEO!E83+CS!E83+CFO!E83+LLA!E83+'C&amp;E'!E83+CES!E83+LLT!E83+GB!E83</f>
        <v>0</v>
      </c>
      <c r="F83" s="7">
        <f>CEO!F83+CS!F83+CFO!F83+LLA!F83+'C&amp;E'!F83+CES!F83+LLT!F83+GB!F83</f>
        <v>0</v>
      </c>
      <c r="G83" s="7">
        <f>CEO!G83+CS!G83+CFO!G83+LLA!G83+'C&amp;E'!G83+CES!G83+LLT!G83+GB!G83</f>
        <v>0</v>
      </c>
      <c r="H83" s="7">
        <f>CEO!H83+CS!H83+CFO!H83+LLA!H83+'C&amp;E'!H83+CES!H83+LLT!H83+GB!H83</f>
        <v>0</v>
      </c>
      <c r="I83" s="7">
        <f>CEO!I83+CS!I83+CFO!I83+LLA!I83+'C&amp;E'!I83+CES!I83+LLT!I83+GB!I83</f>
        <v>0</v>
      </c>
      <c r="J83" s="7">
        <f>CEO!J83+CS!J83+CFO!J83+LLA!J83+'C&amp;E'!J83+CES!J83+LLT!J83+GB!J83</f>
        <v>0</v>
      </c>
      <c r="K83" s="7">
        <f>CEO!K83+CS!K83+CFO!K83+LLA!K83+'C&amp;E'!K83+CES!K83+LLT!K83+GB!K83</f>
        <v>0</v>
      </c>
      <c r="L83" s="7">
        <f>CEO!L83+CS!L83+CFO!L83+LLA!L83+'C&amp;E'!L83+CES!L83+LLT!L83+GB!L83</f>
        <v>0</v>
      </c>
      <c r="M83" s="238" t="s">
        <v>148</v>
      </c>
      <c r="N83" s="7">
        <f t="shared" si="14"/>
        <v>0</v>
      </c>
      <c r="O83" s="7">
        <f t="shared" si="15"/>
        <v>0</v>
      </c>
      <c r="P83" s="7">
        <f t="shared" si="16"/>
        <v>0</v>
      </c>
      <c r="Q83" s="7">
        <v>0</v>
      </c>
      <c r="R83" s="7">
        <f t="shared" si="17"/>
        <v>0</v>
      </c>
      <c r="S83" s="7"/>
    </row>
    <row r="84" spans="1:19" x14ac:dyDescent="0.3">
      <c r="A84" s="7">
        <f>CEO!A84+CS!A84+CFO!A84+LLA!A84+'C&amp;E'!A84+CES!A84+LLT!A84+GB!A84</f>
        <v>0</v>
      </c>
      <c r="B84" s="7">
        <f>CEO!B84+CS!B84+CFO!B84+LLA!B84+'C&amp;E'!B84+CES!B84+LLT!B84+GB!B84</f>
        <v>0</v>
      </c>
      <c r="C84" s="7">
        <f>CEO!C84+CS!C84+CFO!C84+LLA!C84+'C&amp;E'!C84+CES!C84+LLT!C84+GB!C84</f>
        <v>0</v>
      </c>
      <c r="D84" s="7">
        <f>CEO!D84+CS!D84+CFO!D84+LLA!D84+'C&amp;E'!D84+CES!D84+LLT!D84+GB!D84</f>
        <v>0</v>
      </c>
      <c r="E84" s="7">
        <f>CEO!E84+CS!E84+CFO!E84+LLA!E84+'C&amp;E'!E84+CES!E84+LLT!E84+GB!E84</f>
        <v>0</v>
      </c>
      <c r="F84" s="7">
        <f>CEO!F84+CS!F84+CFO!F84+LLA!F84+'C&amp;E'!F84+CES!F84+LLT!F84+GB!F84</f>
        <v>0</v>
      </c>
      <c r="G84" s="7">
        <f>CEO!G84+CS!G84+CFO!G84+LLA!G84+'C&amp;E'!G84+CES!G84+LLT!G84+GB!G84</f>
        <v>0</v>
      </c>
      <c r="H84" s="7">
        <f>CEO!H84+CS!H84+CFO!H84+LLA!H84+'C&amp;E'!H84+CES!H84+LLT!H84+GB!H84</f>
        <v>0</v>
      </c>
      <c r="I84" s="7">
        <f>CEO!I84+CS!I84+CFO!I84+LLA!I84+'C&amp;E'!I84+CES!I84+LLT!I84+GB!I84</f>
        <v>0</v>
      </c>
      <c r="J84" s="7">
        <f>CEO!J84+CS!J84+CFO!J84+LLA!J84+'C&amp;E'!J84+CES!J84+LLT!J84+GB!J84</f>
        <v>0</v>
      </c>
      <c r="K84" s="7">
        <f>CEO!K84+CS!K84+CFO!K84+LLA!K84+'C&amp;E'!K84+CES!K84+LLT!K84+GB!K84</f>
        <v>0</v>
      </c>
      <c r="L84" s="7">
        <f>CEO!L84+CS!L84+CFO!L84+LLA!L84+'C&amp;E'!L84+CES!L84+LLT!L84+GB!L84</f>
        <v>0</v>
      </c>
      <c r="M84" s="13" t="s">
        <v>149</v>
      </c>
      <c r="N84" s="7">
        <f t="shared" si="14"/>
        <v>0</v>
      </c>
      <c r="O84" s="7">
        <f t="shared" si="15"/>
        <v>0</v>
      </c>
      <c r="P84" s="7">
        <f t="shared" si="16"/>
        <v>0</v>
      </c>
      <c r="Q84" s="7">
        <v>0</v>
      </c>
      <c r="R84" s="7">
        <f t="shared" si="17"/>
        <v>0</v>
      </c>
      <c r="S84" s="7"/>
    </row>
    <row r="85" spans="1:19" x14ac:dyDescent="0.3">
      <c r="A85" s="7">
        <f>CEO!A85+CS!A85+CFO!A85+LLA!A85+'C&amp;E'!A85+CES!A85+LLT!A85+GB!A85</f>
        <v>0</v>
      </c>
      <c r="B85" s="7">
        <f>CEO!B85+CS!B85+CFO!B85+LLA!B85+'C&amp;E'!B85+CES!B85+LLT!B85+GB!B85</f>
        <v>0</v>
      </c>
      <c r="C85" s="7">
        <f>CEO!C85+CS!C85+CFO!C85+LLA!C85+'C&amp;E'!C85+CES!C85+LLT!C85+GB!C85</f>
        <v>0</v>
      </c>
      <c r="D85" s="7">
        <f>CEO!D85+CS!D85+CFO!D85+LLA!D85+'C&amp;E'!D85+CES!D85+LLT!D85+GB!D85</f>
        <v>0</v>
      </c>
      <c r="E85" s="7">
        <f>CEO!E85+CS!E85+CFO!E85+LLA!E85+'C&amp;E'!E85+CES!E85+LLT!E85+GB!E85</f>
        <v>0</v>
      </c>
      <c r="F85" s="7">
        <f>CEO!F85+CS!F85+CFO!F85+LLA!F85+'C&amp;E'!F85+CES!F85+LLT!F85+GB!F85</f>
        <v>0</v>
      </c>
      <c r="G85" s="7">
        <f>CEO!G85+CS!G85+CFO!G85+LLA!G85+'C&amp;E'!G85+CES!G85+LLT!G85+GB!G85</f>
        <v>0</v>
      </c>
      <c r="H85" s="7">
        <f>CEO!H85+CS!H85+CFO!H85+LLA!H85+'C&amp;E'!H85+CES!H85+LLT!H85+GB!H85</f>
        <v>0</v>
      </c>
      <c r="I85" s="7">
        <f>CEO!I85+CS!I85+CFO!I85+LLA!I85+'C&amp;E'!I85+CES!I85+LLT!I85+GB!I85</f>
        <v>0</v>
      </c>
      <c r="J85" s="7">
        <f>CEO!J85+CS!J85+CFO!J85+LLA!J85+'C&amp;E'!J85+CES!J85+LLT!J85+GB!J85</f>
        <v>0</v>
      </c>
      <c r="K85" s="7">
        <f>CEO!K85+CS!K85+CFO!K85+LLA!K85+'C&amp;E'!K85+CES!K85+LLT!K85+GB!K85</f>
        <v>0</v>
      </c>
      <c r="L85" s="7">
        <f>CEO!L85+CS!L85+CFO!L85+LLA!L85+'C&amp;E'!L85+CES!L85+LLT!L85+GB!L85</f>
        <v>0</v>
      </c>
      <c r="M85" s="13" t="s">
        <v>150</v>
      </c>
      <c r="N85" s="7">
        <f t="shared" si="14"/>
        <v>0</v>
      </c>
      <c r="O85" s="7">
        <f t="shared" si="15"/>
        <v>0</v>
      </c>
      <c r="P85" s="7">
        <f t="shared" si="16"/>
        <v>0</v>
      </c>
      <c r="Q85" s="7">
        <v>0</v>
      </c>
      <c r="R85" s="7">
        <f t="shared" si="17"/>
        <v>0</v>
      </c>
      <c r="S85" s="7"/>
    </row>
    <row r="86" spans="1:19" x14ac:dyDescent="0.3">
      <c r="A86" s="7">
        <f>CEO!A86+CS!A86+CFO!A86+LLA!A86+'C&amp;E'!A86+CES!A86+LLT!A86+GB!A86</f>
        <v>0</v>
      </c>
      <c r="B86" s="7">
        <f>CEO!B86+CS!B86+CFO!B86+LLA!B86+'C&amp;E'!B86+CES!B86+LLT!B86+GB!B86</f>
        <v>0</v>
      </c>
      <c r="C86" s="7">
        <f>CEO!C86+CS!C86+CFO!C86+LLA!C86+'C&amp;E'!C86+CES!C86+LLT!C86+GB!C86</f>
        <v>0</v>
      </c>
      <c r="D86" s="7">
        <f>CEO!D86+CS!D86+CFO!D86+LLA!D86+'C&amp;E'!D86+CES!D86+LLT!D86+GB!D86</f>
        <v>0</v>
      </c>
      <c r="E86" s="7">
        <f>CEO!E86+CS!E86+CFO!E86+LLA!E86+'C&amp;E'!E86+CES!E86+LLT!E86+GB!E86</f>
        <v>0</v>
      </c>
      <c r="F86" s="7">
        <f>CEO!F86+CS!F86+CFO!F86+LLA!F86+'C&amp;E'!F86+CES!F86+LLT!F86+GB!F86</f>
        <v>0</v>
      </c>
      <c r="G86" s="7">
        <f>CEO!G86+CS!G86+CFO!G86+LLA!G86+'C&amp;E'!G86+CES!G86+LLT!G86+GB!G86</f>
        <v>0</v>
      </c>
      <c r="H86" s="7">
        <f>CEO!H86+CS!H86+CFO!H86+LLA!H86+'C&amp;E'!H86+CES!H86+LLT!H86+GB!H86</f>
        <v>0</v>
      </c>
      <c r="I86" s="7">
        <f>CEO!I86+CS!I86+CFO!I86+LLA!I86+'C&amp;E'!I86+CES!I86+LLT!I86+GB!I86</f>
        <v>0</v>
      </c>
      <c r="J86" s="7">
        <f>CEO!J86+CS!J86+CFO!J86+LLA!J86+'C&amp;E'!J86+CES!J86+LLT!J86+GB!J86</f>
        <v>0</v>
      </c>
      <c r="K86" s="7">
        <f>CEO!K86+CS!K86+CFO!K86+LLA!K86+'C&amp;E'!K86+CES!K86+LLT!K86+GB!K86</f>
        <v>0</v>
      </c>
      <c r="L86" s="7">
        <f>CEO!L86+CS!L86+CFO!L86+LLA!L86+'C&amp;E'!L86+CES!L86+LLT!L86+GB!L86</f>
        <v>0</v>
      </c>
      <c r="M86" s="13" t="s">
        <v>151</v>
      </c>
      <c r="N86" s="7">
        <f t="shared" si="14"/>
        <v>0</v>
      </c>
      <c r="O86" s="7">
        <f t="shared" si="15"/>
        <v>0</v>
      </c>
      <c r="P86" s="7">
        <f t="shared" si="16"/>
        <v>0</v>
      </c>
      <c r="Q86" s="7">
        <v>0</v>
      </c>
      <c r="R86" s="7">
        <f t="shared" si="17"/>
        <v>0</v>
      </c>
      <c r="S86" s="7"/>
    </row>
    <row r="87" spans="1:19" x14ac:dyDescent="0.3">
      <c r="A87" s="7">
        <f>CEO!A87+CS!A87+CFO!A87+LLA!A87+'C&amp;E'!A87+CES!A87+LLT!A87+GB!A87</f>
        <v>4318.808</v>
      </c>
      <c r="B87" s="7">
        <f>CEO!B87+CS!B87+CFO!B87+LLA!B87+'C&amp;E'!B87+CES!B87+LLT!B87+GB!B87</f>
        <v>4318.808</v>
      </c>
      <c r="C87" s="7">
        <f>CEO!C87+CS!C87+CFO!C87+LLA!C87+'C&amp;E'!C87+CES!C87+LLT!C87+GB!C87</f>
        <v>4318.808</v>
      </c>
      <c r="D87" s="7">
        <f>CEO!D87+CS!D87+CFO!D87+LLA!D87+'C&amp;E'!D87+CES!D87+LLT!D87+GB!D87</f>
        <v>4318.808</v>
      </c>
      <c r="E87" s="7">
        <f>CEO!E87+CS!E87+CFO!E87+LLA!E87+'C&amp;E'!E87+CES!E87+LLT!E87+GB!E87</f>
        <v>4318.808</v>
      </c>
      <c r="F87" s="7">
        <f>CEO!F87+CS!F87+CFO!F87+LLA!F87+'C&amp;E'!F87+CES!F87+LLT!F87+GB!F87</f>
        <v>4318.808</v>
      </c>
      <c r="G87" s="7">
        <f>CEO!G87+CS!G87+CFO!G87+LLA!G87+'C&amp;E'!G87+CES!G87+LLT!G87+GB!G87</f>
        <v>4318.808</v>
      </c>
      <c r="H87" s="7">
        <f>CEO!H87+CS!H87+CFO!H87+LLA!H87+'C&amp;E'!H87+CES!H87+LLT!H87+GB!H87</f>
        <v>4318.808</v>
      </c>
      <c r="I87" s="7">
        <f>CEO!I87+CS!I87+CFO!I87+LLA!I87+'C&amp;E'!I87+CES!I87+LLT!I87+GB!I87</f>
        <v>4318.808</v>
      </c>
      <c r="J87" s="7">
        <f>CEO!J87+CS!J87+CFO!J87+LLA!J87+'C&amp;E'!J87+CES!J87+LLT!J87+GB!J87</f>
        <v>4318.808</v>
      </c>
      <c r="K87" s="7">
        <f>CEO!K87+CS!K87+CFO!K87+LLA!K87+'C&amp;E'!K87+CES!K87+LLT!K87+GB!K87</f>
        <v>4318.808</v>
      </c>
      <c r="L87" s="7">
        <f>CEO!L87+CS!L87+CFO!L87+LLA!L87+'C&amp;E'!L87+CES!L87+LLT!L87+GB!L87</f>
        <v>4318.808</v>
      </c>
      <c r="M87" s="13" t="s">
        <v>152</v>
      </c>
      <c r="N87" s="7">
        <f t="shared" si="14"/>
        <v>38869.271999999997</v>
      </c>
      <c r="O87" s="7">
        <f t="shared" si="15"/>
        <v>12956.423999999999</v>
      </c>
      <c r="P87" s="7">
        <f t="shared" si="16"/>
        <v>51825.695999999996</v>
      </c>
      <c r="Q87" s="7">
        <v>0</v>
      </c>
      <c r="R87" s="7">
        <f t="shared" si="17"/>
        <v>51825.695999999996</v>
      </c>
      <c r="S87" s="7"/>
    </row>
    <row r="88" spans="1:19" x14ac:dyDescent="0.3">
      <c r="A88" s="7">
        <f>CEO!A88+CS!A88+CFO!A88+LLA!A88+'C&amp;E'!A88+CES!A88+LLT!A88+GB!A88</f>
        <v>0</v>
      </c>
      <c r="B88" s="7">
        <f>CEO!B88+CS!B88+CFO!B88+LLA!B88+'C&amp;E'!B88+CES!B88+LLT!B88+GB!B88</f>
        <v>0</v>
      </c>
      <c r="C88" s="7">
        <f>CEO!C88+CS!C88+CFO!C88+LLA!C88+'C&amp;E'!C88+CES!C88+LLT!C88+GB!C88</f>
        <v>0</v>
      </c>
      <c r="D88" s="7">
        <f>CEO!D88+CS!D88+CFO!D88+LLA!D88+'C&amp;E'!D88+CES!D88+LLT!D88+GB!D88</f>
        <v>0</v>
      </c>
      <c r="E88" s="7">
        <f>CEO!E88+CS!E88+CFO!E88+LLA!E88+'C&amp;E'!E88+CES!E88+LLT!E88+GB!E88</f>
        <v>0</v>
      </c>
      <c r="F88" s="7">
        <f>CEO!F88+CS!F88+CFO!F88+LLA!F88+'C&amp;E'!F88+CES!F88+LLT!F88+GB!F88</f>
        <v>0</v>
      </c>
      <c r="G88" s="7">
        <f>CEO!G88+CS!G88+CFO!G88+LLA!G88+'C&amp;E'!G88+CES!G88+LLT!G88+GB!G88</f>
        <v>0</v>
      </c>
      <c r="H88" s="7">
        <f>CEO!H88+CS!H88+CFO!H88+LLA!H88+'C&amp;E'!H88+CES!H88+LLT!H88+GB!H88</f>
        <v>0</v>
      </c>
      <c r="I88" s="7">
        <f>CEO!I88+CS!I88+CFO!I88+LLA!I88+'C&amp;E'!I88+CES!I88+LLT!I88+GB!I88</f>
        <v>0</v>
      </c>
      <c r="J88" s="7">
        <f>CEO!J88+CS!J88+CFO!J88+LLA!J88+'C&amp;E'!J88+CES!J88+LLT!J88+GB!J88</f>
        <v>0</v>
      </c>
      <c r="K88" s="7">
        <f>CEO!K88+CS!K88+CFO!K88+LLA!K88+'C&amp;E'!K88+CES!K88+LLT!K88+GB!K88</f>
        <v>0</v>
      </c>
      <c r="L88" s="7">
        <f>CEO!L88+CS!L88+CFO!L88+LLA!L88+'C&amp;E'!L88+CES!L88+LLT!L88+GB!L88</f>
        <v>0</v>
      </c>
      <c r="M88" s="13" t="s">
        <v>153</v>
      </c>
      <c r="N88" s="7">
        <f t="shared" si="14"/>
        <v>0</v>
      </c>
      <c r="O88" s="7">
        <f t="shared" si="15"/>
        <v>0</v>
      </c>
      <c r="P88" s="7">
        <f t="shared" si="16"/>
        <v>0</v>
      </c>
      <c r="Q88" s="7">
        <v>16103.362572296999</v>
      </c>
      <c r="R88" s="7">
        <f t="shared" si="17"/>
        <v>-16103.362572296999</v>
      </c>
      <c r="S88" s="7"/>
    </row>
    <row r="89" spans="1:19" x14ac:dyDescent="0.3">
      <c r="A89" s="11">
        <f>CEO!A89+CS!A89+CFO!A89+LLA!A89+'C&amp;E'!A89+CES!A89+LLT!A89+GB!A89</f>
        <v>0</v>
      </c>
      <c r="B89" s="11">
        <f>CEO!B89+CS!B89+CFO!B89+LLA!B89+'C&amp;E'!B89+CES!B89+LLT!B89+GB!B89</f>
        <v>0</v>
      </c>
      <c r="C89" s="11">
        <f>CEO!C89+CS!C89+CFO!C89+LLA!C89+'C&amp;E'!C89+CES!C89+LLT!C89+GB!C89</f>
        <v>0</v>
      </c>
      <c r="D89" s="11">
        <f>CEO!D89+CS!D89+CFO!D89+LLA!D89+'C&amp;E'!D89+CES!D89+LLT!D89+GB!D89</f>
        <v>0</v>
      </c>
      <c r="E89" s="11">
        <f>CEO!E89+CS!E89+CFO!E89+LLA!E89+'C&amp;E'!E89+CES!E89+LLT!E89+GB!E89</f>
        <v>0</v>
      </c>
      <c r="F89" s="11">
        <f>CEO!F89+CS!F89+CFO!F89+LLA!F89+'C&amp;E'!F89+CES!F89+LLT!F89+GB!F89</f>
        <v>0</v>
      </c>
      <c r="G89" s="11">
        <f>CEO!G89+CS!G89+CFO!G89+LLA!G89+'C&amp;E'!G89+CES!G89+LLT!G89+GB!G89</f>
        <v>0</v>
      </c>
      <c r="H89" s="11">
        <f>CEO!H89+CS!H89+CFO!H89+LLA!H89+'C&amp;E'!H89+CES!H89+LLT!H89+GB!H89</f>
        <v>0</v>
      </c>
      <c r="I89" s="11">
        <f>CEO!I89+CS!I89+CFO!I89+LLA!I89+'C&amp;E'!I89+CES!I89+LLT!I89+GB!I89</f>
        <v>0</v>
      </c>
      <c r="J89" s="11">
        <f>CEO!J89+CS!J89+CFO!J89+LLA!J89+'C&amp;E'!J89+CES!J89+LLT!J89+GB!J89</f>
        <v>0</v>
      </c>
      <c r="K89" s="11">
        <f>CEO!K89+CS!K89+CFO!K89+LLA!K89+'C&amp;E'!K89+CES!K89+LLT!K89+GB!K89</f>
        <v>0</v>
      </c>
      <c r="L89" s="11">
        <f>CEO!L89+CS!L89+CFO!L89+LLA!L89+'C&amp;E'!L89+CES!L89+LLT!L89+GB!L89</f>
        <v>0</v>
      </c>
      <c r="M89" s="238" t="s">
        <v>154</v>
      </c>
      <c r="N89" s="11">
        <f t="shared" si="14"/>
        <v>0</v>
      </c>
      <c r="O89" s="11">
        <f t="shared" si="15"/>
        <v>0</v>
      </c>
      <c r="P89" s="11">
        <f t="shared" si="16"/>
        <v>0</v>
      </c>
      <c r="Q89" s="11">
        <v>0</v>
      </c>
      <c r="R89" s="11">
        <f t="shared" si="17"/>
        <v>0</v>
      </c>
      <c r="S89" s="11"/>
    </row>
    <row r="90" spans="1:19" ht="4.2" customHeight="1" thickBot="1" x14ac:dyDescent="0.35">
      <c r="A90" s="93"/>
      <c r="B90" s="93"/>
      <c r="C90" s="93"/>
      <c r="D90" s="94"/>
      <c r="E90" s="91"/>
      <c r="F90" s="91"/>
      <c r="G90" s="91"/>
      <c r="H90" s="91"/>
      <c r="I90" s="91"/>
      <c r="J90" s="91"/>
      <c r="K90" s="91"/>
      <c r="L90" s="91"/>
      <c r="M90" s="13"/>
      <c r="N90" s="91">
        <f t="shared" ref="N90:N135" si="18">SUM(A90:H90)</f>
        <v>0</v>
      </c>
      <c r="O90" s="91">
        <f t="shared" si="15"/>
        <v>0</v>
      </c>
      <c r="P90" s="91">
        <f t="shared" si="16"/>
        <v>0</v>
      </c>
      <c r="Q90" s="91"/>
      <c r="R90" s="91">
        <f t="shared" si="17"/>
        <v>0</v>
      </c>
      <c r="S90" s="93"/>
    </row>
    <row r="91" spans="1:19" x14ac:dyDescent="0.3">
      <c r="A91" s="4">
        <f>SUM(A67:A89)</f>
        <v>582780.91044629994</v>
      </c>
      <c r="B91" s="4">
        <f>SUM(B67:B89)</f>
        <v>582780.91044629994</v>
      </c>
      <c r="C91" s="4">
        <f t="shared" ref="C91:L91" si="19">SUM(C67:C89)</f>
        <v>639786.8704462999</v>
      </c>
      <c r="D91" s="4">
        <f t="shared" si="19"/>
        <v>582780.91044629994</v>
      </c>
      <c r="E91" s="4">
        <f t="shared" si="19"/>
        <v>596136.6224463</v>
      </c>
      <c r="F91" s="4">
        <f t="shared" si="19"/>
        <v>944978.95044629998</v>
      </c>
      <c r="G91" s="4">
        <f t="shared" si="19"/>
        <v>644979.6685263</v>
      </c>
      <c r="H91" s="4">
        <f t="shared" si="19"/>
        <v>582780.91044629994</v>
      </c>
      <c r="I91" s="4">
        <f t="shared" si="19"/>
        <v>582780.91044629994</v>
      </c>
      <c r="J91" s="4">
        <f t="shared" si="19"/>
        <v>582780.91044629994</v>
      </c>
      <c r="K91" s="4">
        <f t="shared" si="19"/>
        <v>614902.11044630001</v>
      </c>
      <c r="L91" s="4">
        <f t="shared" si="19"/>
        <v>601184.11044630001</v>
      </c>
      <c r="M91" s="13" t="s">
        <v>155</v>
      </c>
      <c r="N91" s="4">
        <f t="shared" ref="N91:O91" si="20">SUM(N67:N89)</f>
        <v>5739786.6640967</v>
      </c>
      <c r="O91" s="4">
        <f t="shared" si="20"/>
        <v>1798867.1313389</v>
      </c>
      <c r="P91" s="4">
        <f t="shared" si="16"/>
        <v>7538653.7954356</v>
      </c>
      <c r="Q91" s="4">
        <v>6011284.9178772969</v>
      </c>
      <c r="R91" s="4">
        <f t="shared" si="17"/>
        <v>1527368.8775583031</v>
      </c>
      <c r="S91" s="4"/>
    </row>
    <row r="92" spans="1:19" x14ac:dyDescent="0.3">
      <c r="A92" s="81"/>
      <c r="B92" s="81"/>
      <c r="C92" s="81"/>
      <c r="D92" s="82"/>
      <c r="E92" s="86"/>
      <c r="F92" s="86"/>
      <c r="G92" s="86"/>
      <c r="H92" s="86"/>
      <c r="I92" s="86"/>
      <c r="J92" s="86"/>
      <c r="K92" s="86"/>
      <c r="L92" s="86"/>
      <c r="M92" s="80"/>
      <c r="N92" s="86">
        <f t="shared" si="18"/>
        <v>0</v>
      </c>
      <c r="O92" s="86">
        <f t="shared" si="15"/>
        <v>0</v>
      </c>
      <c r="P92" s="86">
        <f t="shared" si="16"/>
        <v>0</v>
      </c>
      <c r="Q92" s="86"/>
      <c r="R92" s="86">
        <f t="shared" si="17"/>
        <v>0</v>
      </c>
      <c r="S92" s="81"/>
    </row>
    <row r="93" spans="1:19" x14ac:dyDescent="0.3">
      <c r="A93" s="8">
        <f>CEO!A93+CS!A93+CFO!A93+LLA!A93+'C&amp;E'!A93+CES!A93+LLT!A93+GB!A93</f>
        <v>5095.3760000000002</v>
      </c>
      <c r="B93" s="8">
        <f>CEO!B93+CS!B93+CFO!B93+LLA!B93+'C&amp;E'!B93+CES!B93+LLT!B93+GB!B93</f>
        <v>3806.3360000000002</v>
      </c>
      <c r="C93" s="8">
        <f>CEO!C93+CS!C93+CFO!C93+LLA!C93+'C&amp;E'!C93+CES!C93+LLT!C93+GB!C93</f>
        <v>5095.3760000000002</v>
      </c>
      <c r="D93" s="8">
        <f>CEO!D93+CS!D93+CFO!D93+LLA!D93+'C&amp;E'!D93+CES!D93+LLT!D93+GB!D93</f>
        <v>3806.3360000000002</v>
      </c>
      <c r="E93" s="8">
        <f>CEO!E93+CS!E93+CFO!E93+LLA!E93+'C&amp;E'!E93+CES!E93+LLT!E93+GB!E93</f>
        <v>3806.3360000000002</v>
      </c>
      <c r="F93" s="8">
        <f>CEO!F93+CS!F93+CFO!F93+LLA!F93+'C&amp;E'!F93+CES!F93+LLT!F93+GB!F93</f>
        <v>3806.3360000000002</v>
      </c>
      <c r="G93" s="8">
        <f>CEO!G93+CS!G93+CFO!G93+LLA!G93+'C&amp;E'!G93+CES!G93+LLT!G93+GB!G93</f>
        <v>3806.3360000000002</v>
      </c>
      <c r="H93" s="8">
        <f>CEO!H93+CS!H93+CFO!H93+LLA!H93+'C&amp;E'!H93+CES!H93+LLT!H93+GB!H93</f>
        <v>3806.3360000000002</v>
      </c>
      <c r="I93" s="8">
        <f>CEO!I93+CS!I93+CFO!I93+LLA!I93+'C&amp;E'!I93+CES!I93+LLT!I93+GB!I93</f>
        <v>3806.3360000000002</v>
      </c>
      <c r="J93" s="8">
        <f>CEO!J93+CS!J93+CFO!J93+LLA!J93+'C&amp;E'!J93+CES!J93+LLT!J93+GB!J93</f>
        <v>3806.3360000000002</v>
      </c>
      <c r="K93" s="8">
        <f>CEO!K93+CS!K93+CFO!K93+LLA!K93+'C&amp;E'!K93+CES!K93+LLT!K93+GB!K93</f>
        <v>3806.3360000000002</v>
      </c>
      <c r="L93" s="8">
        <f>CEO!L93+CS!L93+CFO!L93+LLA!L93+'C&amp;E'!L93+CES!L93+LLT!L93+GB!L93</f>
        <v>168307.08800000002</v>
      </c>
      <c r="M93" s="238" t="s">
        <v>156</v>
      </c>
      <c r="N93" s="8">
        <f t="shared" si="18"/>
        <v>33028.767999999996</v>
      </c>
      <c r="O93" s="8">
        <f t="shared" si="15"/>
        <v>175919.76</v>
      </c>
      <c r="P93" s="8">
        <f t="shared" si="16"/>
        <v>208948.52799999999</v>
      </c>
      <c r="Q93" s="8">
        <v>177941.539334</v>
      </c>
      <c r="R93" s="8">
        <f t="shared" si="17"/>
        <v>31006.98866599999</v>
      </c>
      <c r="S93" s="8"/>
    </row>
    <row r="94" spans="1:19" x14ac:dyDescent="0.3">
      <c r="A94" s="7">
        <f>CEO!A94+CS!A94+CFO!A94+LLA!A94+'C&amp;E'!A94+CES!A94+LLT!A94+GB!A94</f>
        <v>5097.3169212393295</v>
      </c>
      <c r="B94" s="7">
        <f>CEO!B94+CS!B94+CFO!B94+LLA!B94+'C&amp;E'!B94+CES!B94+LLT!B94+GB!B94</f>
        <v>4641.4369212393303</v>
      </c>
      <c r="C94" s="7">
        <f>CEO!C94+CS!C94+CFO!C94+LLA!C94+'C&amp;E'!C94+CES!C94+LLT!C94+GB!C94</f>
        <v>5097.3169212393295</v>
      </c>
      <c r="D94" s="7">
        <f>CEO!D94+CS!D94+CFO!D94+LLA!D94+'C&amp;E'!D94+CES!D94+LLT!D94+GB!D94</f>
        <v>4641.4369212393303</v>
      </c>
      <c r="E94" s="7">
        <f>CEO!E94+CS!E94+CFO!E94+LLA!E94+'C&amp;E'!E94+CES!E94+LLT!E94+GB!E94</f>
        <v>4641.4369212393303</v>
      </c>
      <c r="F94" s="7">
        <f>CEO!F94+CS!F94+CFO!F94+LLA!F94+'C&amp;E'!F94+CES!F94+LLT!F94+GB!F94</f>
        <v>4641.4369212393303</v>
      </c>
      <c r="G94" s="7">
        <f>CEO!G94+CS!G94+CFO!G94+LLA!G94+'C&amp;E'!G94+CES!G94+LLT!G94+GB!G94</f>
        <v>4641.4369212393303</v>
      </c>
      <c r="H94" s="7">
        <f>CEO!H94+CS!H94+CFO!H94+LLA!H94+'C&amp;E'!H94+CES!H94+LLT!H94+GB!H94</f>
        <v>4641.4369212393303</v>
      </c>
      <c r="I94" s="7">
        <f>CEO!I94+CS!I94+CFO!I94+LLA!I94+'C&amp;E'!I94+CES!I94+LLT!I94+GB!I94</f>
        <v>4641.4369212393303</v>
      </c>
      <c r="J94" s="7">
        <f>CEO!J94+CS!J94+CFO!J94+LLA!J94+'C&amp;E'!J94+CES!J94+LLT!J94+GB!J94</f>
        <v>4641.4369212393303</v>
      </c>
      <c r="K94" s="7">
        <f>CEO!K94+CS!K94+CFO!K94+LLA!K94+'C&amp;E'!K94+CES!K94+LLT!K94+GB!K94</f>
        <v>4641.4369212393303</v>
      </c>
      <c r="L94" s="7">
        <f>CEO!L94+CS!L94+CFO!L94+LLA!L94+'C&amp;E'!L94+CES!L94+LLT!L94+GB!L94</f>
        <v>4639.4369212393303</v>
      </c>
      <c r="M94" s="13" t="s">
        <v>158</v>
      </c>
      <c r="N94" s="7">
        <f t="shared" si="18"/>
        <v>38043.255369914637</v>
      </c>
      <c r="O94" s="7">
        <f t="shared" si="15"/>
        <v>13922.310763717991</v>
      </c>
      <c r="P94" s="7">
        <f t="shared" si="16"/>
        <v>51965.56613363263</v>
      </c>
      <c r="Q94" s="7">
        <v>73143.988280999998</v>
      </c>
      <c r="R94" s="7">
        <f t="shared" si="17"/>
        <v>-21178.422147367368</v>
      </c>
      <c r="S94" s="7"/>
    </row>
    <row r="95" spans="1:19" x14ac:dyDescent="0.3">
      <c r="A95" s="7">
        <f>CEO!A95+CS!A95+CFO!A95+LLA!A95+'C&amp;E'!A95+CES!A95+LLT!A95+GB!A95</f>
        <v>0</v>
      </c>
      <c r="B95" s="7">
        <f>CEO!B95+CS!B95+CFO!B95+LLA!B95+'C&amp;E'!B95+CES!B95+LLT!B95+GB!B95</f>
        <v>0</v>
      </c>
      <c r="C95" s="7">
        <f>CEO!C95+CS!C95+CFO!C95+LLA!C95+'C&amp;E'!C95+CES!C95+LLT!C95+GB!C95</f>
        <v>0</v>
      </c>
      <c r="D95" s="7">
        <f>CEO!D95+CS!D95+CFO!D95+LLA!D95+'C&amp;E'!D95+CES!D95+LLT!D95+GB!D95</f>
        <v>0</v>
      </c>
      <c r="E95" s="7">
        <f>CEO!E95+CS!E95+CFO!E95+LLA!E95+'C&amp;E'!E95+CES!E95+LLT!E95+GB!E95</f>
        <v>0</v>
      </c>
      <c r="F95" s="7">
        <f>CEO!F95+CS!F95+CFO!F95+LLA!F95+'C&amp;E'!F95+CES!F95+LLT!F95+GB!F95</f>
        <v>0</v>
      </c>
      <c r="G95" s="7">
        <f>CEO!G95+CS!G95+CFO!G95+LLA!G95+'C&amp;E'!G95+CES!G95+LLT!G95+GB!G95</f>
        <v>0</v>
      </c>
      <c r="H95" s="7">
        <f>CEO!H95+CS!H95+CFO!H95+LLA!H95+'C&amp;E'!H95+CES!H95+LLT!H95+GB!H95</f>
        <v>0</v>
      </c>
      <c r="I95" s="7">
        <f>CEO!I95+CS!I95+CFO!I95+LLA!I95+'C&amp;E'!I95+CES!I95+LLT!I95+GB!I95</f>
        <v>0</v>
      </c>
      <c r="J95" s="7">
        <f>CEO!J95+CS!J95+CFO!J95+LLA!J95+'C&amp;E'!J95+CES!J95+LLT!J95+GB!J95</f>
        <v>0</v>
      </c>
      <c r="K95" s="7">
        <f>CEO!K95+CS!K95+CFO!K95+LLA!K95+'C&amp;E'!K95+CES!K95+LLT!K95+GB!K95</f>
        <v>0</v>
      </c>
      <c r="L95" s="7">
        <f>CEO!L95+CS!L95+CFO!L95+LLA!L95+'C&amp;E'!L95+CES!L95+LLT!L95+GB!L95</f>
        <v>0</v>
      </c>
      <c r="M95" s="13" t="s">
        <v>159</v>
      </c>
      <c r="N95" s="7">
        <f t="shared" si="18"/>
        <v>0</v>
      </c>
      <c r="O95" s="7">
        <f t="shared" si="15"/>
        <v>0</v>
      </c>
      <c r="P95" s="7">
        <f t="shared" si="16"/>
        <v>0</v>
      </c>
      <c r="Q95" s="7">
        <v>0</v>
      </c>
      <c r="R95" s="7">
        <f t="shared" si="17"/>
        <v>0</v>
      </c>
      <c r="S95" s="7"/>
    </row>
    <row r="96" spans="1:19" x14ac:dyDescent="0.3">
      <c r="A96" s="7">
        <f>CEO!A96+CS!A96+CFO!A96+LLA!A96+'C&amp;E'!A96+CES!A96+LLT!A96+GB!A96</f>
        <v>1210.4399999999998</v>
      </c>
      <c r="B96" s="7">
        <f>CEO!B96+CS!B96+CFO!B96+LLA!B96+'C&amp;E'!B96+CES!B96+LLT!B96+GB!B96</f>
        <v>1210.4399999999998</v>
      </c>
      <c r="C96" s="7">
        <f>CEO!C96+CS!C96+CFO!C96+LLA!C96+'C&amp;E'!C96+CES!C96+LLT!C96+GB!C96</f>
        <v>1210.4399999999998</v>
      </c>
      <c r="D96" s="7">
        <f>CEO!D96+CS!D96+CFO!D96+LLA!D96+'C&amp;E'!D96+CES!D96+LLT!D96+GB!D96</f>
        <v>1210.4399999999998</v>
      </c>
      <c r="E96" s="7">
        <f>CEO!E96+CS!E96+CFO!E96+LLA!E96+'C&amp;E'!E96+CES!E96+LLT!E96+GB!E96</f>
        <v>1210.4399999999998</v>
      </c>
      <c r="F96" s="7">
        <f>CEO!F96+CS!F96+CFO!F96+LLA!F96+'C&amp;E'!F96+CES!F96+LLT!F96+GB!F96</f>
        <v>1210.4399999999998</v>
      </c>
      <c r="G96" s="7">
        <f>CEO!G96+CS!G96+CFO!G96+LLA!G96+'C&amp;E'!G96+CES!G96+LLT!G96+GB!G96</f>
        <v>1210.4399999999998</v>
      </c>
      <c r="H96" s="7">
        <f>CEO!H96+CS!H96+CFO!H96+LLA!H96+'C&amp;E'!H96+CES!H96+LLT!H96+GB!H96</f>
        <v>1210.4399999999998</v>
      </c>
      <c r="I96" s="7">
        <f>CEO!I96+CS!I96+CFO!I96+LLA!I96+'C&amp;E'!I96+CES!I96+LLT!I96+GB!I96</f>
        <v>1210.4399999999998</v>
      </c>
      <c r="J96" s="7">
        <f>CEO!J96+CS!J96+CFO!J96+LLA!J96+'C&amp;E'!J96+CES!J96+LLT!J96+GB!J96</f>
        <v>1210.4399999999998</v>
      </c>
      <c r="K96" s="7">
        <f>CEO!K96+CS!K96+CFO!K96+LLA!K96+'C&amp;E'!K96+CES!K96+LLT!K96+GB!K96</f>
        <v>1210.4399999999998</v>
      </c>
      <c r="L96" s="7">
        <f>CEO!L96+CS!L96+CFO!L96+LLA!L96+'C&amp;E'!L96+CES!L96+LLT!L96+GB!L96</f>
        <v>1195.7109688880021</v>
      </c>
      <c r="M96" s="13" t="s">
        <v>160</v>
      </c>
      <c r="N96" s="7">
        <f t="shared" si="18"/>
        <v>9683.5199999999986</v>
      </c>
      <c r="O96" s="7">
        <f t="shared" si="15"/>
        <v>3616.590968888002</v>
      </c>
      <c r="P96" s="7">
        <f t="shared" si="16"/>
        <v>13300.110968888001</v>
      </c>
      <c r="Q96" s="7">
        <v>10894.945581</v>
      </c>
      <c r="R96" s="7">
        <f t="shared" si="17"/>
        <v>2405.1653878880006</v>
      </c>
      <c r="S96" s="7"/>
    </row>
    <row r="97" spans="1:19" x14ac:dyDescent="0.3">
      <c r="A97" s="7">
        <f>CEO!A97+CS!A97+CFO!A97+LLA!A97+'C&amp;E'!A97+CES!A97+LLT!A97+GB!A97</f>
        <v>15157.224</v>
      </c>
      <c r="B97" s="7">
        <f>CEO!B97+CS!B97+CFO!B97+LLA!B97+'C&amp;E'!B97+CES!B97+LLT!B97+GB!B97</f>
        <v>15157.224</v>
      </c>
      <c r="C97" s="7">
        <f>CEO!C97+CS!C97+CFO!C97+LLA!C97+'C&amp;E'!C97+CES!C97+LLT!C97+GB!C97</f>
        <v>15157.224</v>
      </c>
      <c r="D97" s="7">
        <f>CEO!D97+CS!D97+CFO!D97+LLA!D97+'C&amp;E'!D97+CES!D97+LLT!D97+GB!D97</f>
        <v>15157.224</v>
      </c>
      <c r="E97" s="7">
        <f>CEO!E97+CS!E97+CFO!E97+LLA!E97+'C&amp;E'!E97+CES!E97+LLT!E97+GB!E97</f>
        <v>15157.224</v>
      </c>
      <c r="F97" s="7">
        <f>CEO!F97+CS!F97+CFO!F97+LLA!F97+'C&amp;E'!F97+CES!F97+LLT!F97+GB!F97</f>
        <v>15157.224</v>
      </c>
      <c r="G97" s="7">
        <f>CEO!G97+CS!G97+CFO!G97+LLA!G97+'C&amp;E'!G97+CES!G97+LLT!G97+GB!G97</f>
        <v>15157.224</v>
      </c>
      <c r="H97" s="7">
        <f>CEO!H97+CS!H97+CFO!H97+LLA!H97+'C&amp;E'!H97+CES!H97+LLT!H97+GB!H97</f>
        <v>15157.224</v>
      </c>
      <c r="I97" s="7">
        <f>CEO!I97+CS!I97+CFO!I97+LLA!I97+'C&amp;E'!I97+CES!I97+LLT!I97+GB!I97</f>
        <v>15157.224</v>
      </c>
      <c r="J97" s="7">
        <f>CEO!J97+CS!J97+CFO!J97+LLA!J97+'C&amp;E'!J97+CES!J97+LLT!J97+GB!J97</f>
        <v>15157.224</v>
      </c>
      <c r="K97" s="7">
        <f>CEO!K97+CS!K97+CFO!K97+LLA!K97+'C&amp;E'!K97+CES!K97+LLT!K97+GB!K97</f>
        <v>15157.224</v>
      </c>
      <c r="L97" s="7">
        <f>CEO!L97+CS!L97+CFO!L97+LLA!L97+'C&amp;E'!L97+CES!L97+LLT!L97+GB!L97</f>
        <v>15149.38081138722</v>
      </c>
      <c r="M97" s="13" t="s">
        <v>161</v>
      </c>
      <c r="N97" s="7">
        <f t="shared" si="18"/>
        <v>121257.792</v>
      </c>
      <c r="O97" s="7">
        <f t="shared" si="15"/>
        <v>45463.828811387219</v>
      </c>
      <c r="P97" s="7">
        <f t="shared" si="16"/>
        <v>166721.62081138723</v>
      </c>
      <c r="Q97" s="7">
        <v>183993.5160414</v>
      </c>
      <c r="R97" s="7">
        <f t="shared" si="17"/>
        <v>-17271.895230012771</v>
      </c>
      <c r="S97" s="7"/>
    </row>
    <row r="98" spans="1:19" x14ac:dyDescent="0.3">
      <c r="A98" s="7">
        <f>CEO!A98+CS!A98+CFO!A98+LLA!A98+'C&amp;E'!A98+CES!A98+LLT!A98+GB!A98</f>
        <v>442.25600000000009</v>
      </c>
      <c r="B98" s="7">
        <f>CEO!B98+CS!B98+CFO!B98+LLA!B98+'C&amp;E'!B98+CES!B98+LLT!B98+GB!B98</f>
        <v>442.25600000000009</v>
      </c>
      <c r="C98" s="7">
        <f>CEO!C98+CS!C98+CFO!C98+LLA!C98+'C&amp;E'!C98+CES!C98+LLT!C98+GB!C98</f>
        <v>442.25600000000009</v>
      </c>
      <c r="D98" s="7">
        <f>CEO!D98+CS!D98+CFO!D98+LLA!D98+'C&amp;E'!D98+CES!D98+LLT!D98+GB!D98</f>
        <v>442.25600000000009</v>
      </c>
      <c r="E98" s="7">
        <f>CEO!E98+CS!E98+CFO!E98+LLA!E98+'C&amp;E'!E98+CES!E98+LLT!E98+GB!E98</f>
        <v>442.25600000000009</v>
      </c>
      <c r="F98" s="7">
        <f>CEO!F98+CS!F98+CFO!F98+LLA!F98+'C&amp;E'!F98+CES!F98+LLT!F98+GB!F98</f>
        <v>442.25600000000009</v>
      </c>
      <c r="G98" s="7">
        <f>CEO!G98+CS!G98+CFO!G98+LLA!G98+'C&amp;E'!G98+CES!G98+LLT!G98+GB!G98</f>
        <v>442.25600000000009</v>
      </c>
      <c r="H98" s="7">
        <f>CEO!H98+CS!H98+CFO!H98+LLA!H98+'C&amp;E'!H98+CES!H98+LLT!H98+GB!H98</f>
        <v>442.25600000000009</v>
      </c>
      <c r="I98" s="7">
        <f>CEO!I98+CS!I98+CFO!I98+LLA!I98+'C&amp;E'!I98+CES!I98+LLT!I98+GB!I98</f>
        <v>442.25600000000009</v>
      </c>
      <c r="J98" s="7">
        <f>CEO!J98+CS!J98+CFO!J98+LLA!J98+'C&amp;E'!J98+CES!J98+LLT!J98+GB!J98</f>
        <v>442.25600000000009</v>
      </c>
      <c r="K98" s="7">
        <f>CEO!K98+CS!K98+CFO!K98+LLA!K98+'C&amp;E'!K98+CES!K98+LLT!K98+GB!K98</f>
        <v>442.25600000000009</v>
      </c>
      <c r="L98" s="7">
        <f>CEO!L98+CS!L98+CFO!L98+LLA!L98+'C&amp;E'!L98+CES!L98+LLT!L98+GB!L98</f>
        <v>435.92780448400094</v>
      </c>
      <c r="M98" s="13" t="s">
        <v>162</v>
      </c>
      <c r="N98" s="7">
        <f t="shared" si="18"/>
        <v>3538.0480000000016</v>
      </c>
      <c r="O98" s="7">
        <f t="shared" si="15"/>
        <v>1320.4398044840011</v>
      </c>
      <c r="P98" s="7">
        <f t="shared" si="16"/>
        <v>4858.4878044840025</v>
      </c>
      <c r="Q98" s="7">
        <v>11560.9616455</v>
      </c>
      <c r="R98" s="7">
        <f t="shared" si="17"/>
        <v>-6702.4738410159971</v>
      </c>
      <c r="S98" s="7"/>
    </row>
    <row r="99" spans="1:19" x14ac:dyDescent="0.3">
      <c r="A99" s="7">
        <f>CEO!A99+CS!A99+CFO!A99+LLA!A99+'C&amp;E'!A99+CES!A99+LLT!A99+GB!A99</f>
        <v>40422.408000000003</v>
      </c>
      <c r="B99" s="7">
        <f>CEO!B99+CS!B99+CFO!B99+LLA!B99+'C&amp;E'!B99+CES!B99+LLT!B99+GB!B99</f>
        <v>40422.408000000003</v>
      </c>
      <c r="C99" s="7">
        <f>CEO!C99+CS!C99+CFO!C99+LLA!C99+'C&amp;E'!C99+CES!C99+LLT!C99+GB!C99</f>
        <v>40422.408000000003</v>
      </c>
      <c r="D99" s="7">
        <f>CEO!D99+CS!D99+CFO!D99+LLA!D99+'C&amp;E'!D99+CES!D99+LLT!D99+GB!D99</f>
        <v>40422.408000000003</v>
      </c>
      <c r="E99" s="7">
        <f>CEO!E99+CS!E99+CFO!E99+LLA!E99+'C&amp;E'!E99+CES!E99+LLT!E99+GB!E99</f>
        <v>40422.408000000003</v>
      </c>
      <c r="F99" s="7">
        <f>CEO!F99+CS!F99+CFO!F99+LLA!F99+'C&amp;E'!F99+CES!F99+LLT!F99+GB!F99</f>
        <v>40422.408000000003</v>
      </c>
      <c r="G99" s="7">
        <f>CEO!G99+CS!G99+CFO!G99+LLA!G99+'C&amp;E'!G99+CES!G99+LLT!G99+GB!G99</f>
        <v>40422.408000000003</v>
      </c>
      <c r="H99" s="7">
        <f>CEO!H99+CS!H99+CFO!H99+LLA!H99+'C&amp;E'!H99+CES!H99+LLT!H99+GB!H99</f>
        <v>40422.408000000003</v>
      </c>
      <c r="I99" s="7">
        <f>CEO!I99+CS!I99+CFO!I99+LLA!I99+'C&amp;E'!I99+CES!I99+LLT!I99+GB!I99</f>
        <v>40422.408000000003</v>
      </c>
      <c r="J99" s="7">
        <f>CEO!J99+CS!J99+CFO!J99+LLA!J99+'C&amp;E'!J99+CES!J99+LLT!J99+GB!J99</f>
        <v>40422.408000000003</v>
      </c>
      <c r="K99" s="7">
        <f>CEO!K99+CS!K99+CFO!K99+LLA!K99+'C&amp;E'!K99+CES!K99+LLT!K99+GB!K99</f>
        <v>40422.408000000003</v>
      </c>
      <c r="L99" s="7">
        <f>CEO!L99+CS!L99+CFO!L99+LLA!L99+'C&amp;E'!L99+CES!L99+LLT!L99+GB!L99</f>
        <v>40423.718000000001</v>
      </c>
      <c r="M99" s="13" t="s">
        <v>163</v>
      </c>
      <c r="N99" s="7">
        <f t="shared" si="18"/>
        <v>323379.26400000002</v>
      </c>
      <c r="O99" s="7">
        <f t="shared" si="15"/>
        <v>121268.53400000001</v>
      </c>
      <c r="P99" s="7">
        <f t="shared" si="16"/>
        <v>444647.79800000007</v>
      </c>
      <c r="Q99" s="7">
        <v>541616.79428999999</v>
      </c>
      <c r="R99" s="7">
        <f t="shared" si="17"/>
        <v>-96968.996289999923</v>
      </c>
      <c r="S99" s="7"/>
    </row>
    <row r="100" spans="1:19" x14ac:dyDescent="0.3">
      <c r="A100" s="11">
        <f>CEO!A100+CS!A100+CFO!A100+LLA!A100+'C&amp;E'!A100+CES!A100+LLT!A100+GB!A100</f>
        <v>5303.9280000000008</v>
      </c>
      <c r="B100" s="11">
        <f>CEO!B100+CS!B100+CFO!B100+LLA!B100+'C&amp;E'!B100+CES!B100+LLT!B100+GB!B100</f>
        <v>2788.7280000000001</v>
      </c>
      <c r="C100" s="11">
        <f>CEO!C100+CS!C100+CFO!C100+LLA!C100+'C&amp;E'!C100+CES!C100+LLT!C100+GB!C100</f>
        <v>5303.9280000000008</v>
      </c>
      <c r="D100" s="11">
        <f>CEO!D100+CS!D100+CFO!D100+LLA!D100+'C&amp;E'!D100+CES!D100+LLT!D100+GB!D100</f>
        <v>2788.7280000000001</v>
      </c>
      <c r="E100" s="11">
        <f>CEO!E100+CS!E100+CFO!E100+LLA!E100+'C&amp;E'!E100+CES!E100+LLT!E100+GB!E100</f>
        <v>2788.7280000000001</v>
      </c>
      <c r="F100" s="11">
        <f>CEO!F100+CS!F100+CFO!F100+LLA!F100+'C&amp;E'!F100+CES!F100+LLT!F100+GB!F100</f>
        <v>2788.7280000000001</v>
      </c>
      <c r="G100" s="11">
        <f>CEO!G100+CS!G100+CFO!G100+LLA!G100+'C&amp;E'!G100+CES!G100+LLT!G100+GB!G100</f>
        <v>2788.7280000000001</v>
      </c>
      <c r="H100" s="11">
        <f>CEO!H100+CS!H100+CFO!H100+LLA!H100+'C&amp;E'!H100+CES!H100+LLT!H100+GB!H100</f>
        <v>2788.7280000000001</v>
      </c>
      <c r="I100" s="11">
        <f>CEO!I100+CS!I100+CFO!I100+LLA!I100+'C&amp;E'!I100+CES!I100+LLT!I100+GB!I100</f>
        <v>2788.7280000000001</v>
      </c>
      <c r="J100" s="11">
        <f>CEO!J100+CS!J100+CFO!J100+LLA!J100+'C&amp;E'!J100+CES!J100+LLT!J100+GB!J100</f>
        <v>2788.7280000000001</v>
      </c>
      <c r="K100" s="11">
        <f>CEO!K100+CS!K100+CFO!K100+LLA!K100+'C&amp;E'!K100+CES!K100+LLT!K100+GB!K100</f>
        <v>2788.7280000000001</v>
      </c>
      <c r="L100" s="11">
        <f>CEO!L100+CS!L100+CFO!L100+LLA!L100+'C&amp;E'!L100+CES!L100+LLT!L100+GB!L100</f>
        <v>2793.1703939239933</v>
      </c>
      <c r="M100" s="238" t="s">
        <v>164</v>
      </c>
      <c r="N100" s="11">
        <f t="shared" si="18"/>
        <v>27340.223999999998</v>
      </c>
      <c r="O100" s="11">
        <f t="shared" si="15"/>
        <v>8370.6263939239943</v>
      </c>
      <c r="P100" s="11">
        <f t="shared" si="16"/>
        <v>35710.850393923989</v>
      </c>
      <c r="Q100" s="11">
        <v>46262.238925499994</v>
      </c>
      <c r="R100" s="11">
        <f t="shared" si="17"/>
        <v>-10551.388531576005</v>
      </c>
      <c r="S100" s="11"/>
    </row>
    <row r="101" spans="1:19" ht="6" customHeight="1" thickBot="1" x14ac:dyDescent="0.35">
      <c r="A101" s="89"/>
      <c r="B101" s="89"/>
      <c r="C101" s="89"/>
      <c r="D101" s="90"/>
      <c r="E101" s="91"/>
      <c r="F101" s="91"/>
      <c r="G101" s="91"/>
      <c r="H101" s="91"/>
      <c r="I101" s="91"/>
      <c r="J101" s="91"/>
      <c r="K101" s="91"/>
      <c r="L101" s="91"/>
      <c r="M101" s="13"/>
      <c r="N101" s="91">
        <f t="shared" si="18"/>
        <v>0</v>
      </c>
      <c r="O101" s="91">
        <f t="shared" si="15"/>
        <v>0</v>
      </c>
      <c r="P101" s="91">
        <f t="shared" si="16"/>
        <v>0</v>
      </c>
      <c r="Q101" s="91"/>
      <c r="R101" s="91">
        <f t="shared" si="17"/>
        <v>0</v>
      </c>
      <c r="S101" s="89"/>
    </row>
    <row r="102" spans="1:19" x14ac:dyDescent="0.3">
      <c r="A102" s="4">
        <f>SUM(A93:A100)</f>
        <v>72728.948921239338</v>
      </c>
      <c r="B102" s="4">
        <f>SUM(B93:B100)</f>
        <v>68468.828921239343</v>
      </c>
      <c r="C102" s="4">
        <f t="shared" ref="C102:L102" si="21">SUM(C93:C100)</f>
        <v>72728.948921239338</v>
      </c>
      <c r="D102" s="4">
        <f t="shared" si="21"/>
        <v>68468.828921239343</v>
      </c>
      <c r="E102" s="4">
        <f t="shared" si="21"/>
        <v>68468.828921239343</v>
      </c>
      <c r="F102" s="4">
        <f t="shared" si="21"/>
        <v>68468.828921239343</v>
      </c>
      <c r="G102" s="4">
        <f t="shared" si="21"/>
        <v>68468.828921239343</v>
      </c>
      <c r="H102" s="4">
        <f t="shared" si="21"/>
        <v>68468.828921239343</v>
      </c>
      <c r="I102" s="4">
        <f t="shared" si="21"/>
        <v>68468.828921239343</v>
      </c>
      <c r="J102" s="4">
        <f t="shared" si="21"/>
        <v>68468.828921239343</v>
      </c>
      <c r="K102" s="4">
        <f t="shared" si="21"/>
        <v>68468.828921239343</v>
      </c>
      <c r="L102" s="4">
        <f t="shared" si="21"/>
        <v>232944.43289992257</v>
      </c>
      <c r="M102" s="13" t="s">
        <v>166</v>
      </c>
      <c r="N102" s="4">
        <f t="shared" ref="N102:O102" si="22">SUM(N93:N100)</f>
        <v>556270.87136991473</v>
      </c>
      <c r="O102" s="4">
        <f t="shared" si="22"/>
        <v>369882.0907424012</v>
      </c>
      <c r="P102" s="4">
        <f t="shared" si="16"/>
        <v>926152.96211231593</v>
      </c>
      <c r="Q102" s="4">
        <v>1045413.9840983999</v>
      </c>
      <c r="R102" s="4">
        <f t="shared" si="17"/>
        <v>-119261.02198608394</v>
      </c>
      <c r="S102" s="4"/>
    </row>
    <row r="103" spans="1:19" ht="6" customHeight="1" x14ac:dyDescent="0.3">
      <c r="A103" s="81"/>
      <c r="B103" s="81"/>
      <c r="C103" s="81"/>
      <c r="D103" s="82"/>
      <c r="E103" s="86"/>
      <c r="F103" s="86"/>
      <c r="G103" s="86"/>
      <c r="H103" s="86"/>
      <c r="I103" s="86"/>
      <c r="J103" s="86"/>
      <c r="K103" s="86"/>
      <c r="L103" s="86"/>
      <c r="M103" s="80"/>
      <c r="N103" s="86">
        <f t="shared" si="18"/>
        <v>0</v>
      </c>
      <c r="O103" s="86">
        <f t="shared" si="15"/>
        <v>0</v>
      </c>
      <c r="P103" s="86">
        <f t="shared" si="16"/>
        <v>0</v>
      </c>
      <c r="Q103" s="86"/>
      <c r="R103" s="86">
        <f t="shared" si="17"/>
        <v>0</v>
      </c>
      <c r="S103" s="81"/>
    </row>
    <row r="104" spans="1:19" x14ac:dyDescent="0.3">
      <c r="A104" s="8">
        <f>CEO!A104+CS!A104+CFO!A104+LLA!A104+'C&amp;E'!A104+CES!A104+LLT!A104+GB!A104</f>
        <v>874.03200000000015</v>
      </c>
      <c r="B104" s="8">
        <f>CEO!B104+CS!B104+CFO!B104+LLA!B104+'C&amp;E'!B104+CES!B104+LLT!B104+GB!B104</f>
        <v>874.03200000000015</v>
      </c>
      <c r="C104" s="8">
        <f>CEO!C104+CS!C104+CFO!C104+LLA!C104+'C&amp;E'!C104+CES!C104+LLT!C104+GB!C104</f>
        <v>874.03200000000015</v>
      </c>
      <c r="D104" s="8">
        <f>CEO!D104+CS!D104+CFO!D104+LLA!D104+'C&amp;E'!D104+CES!D104+LLT!D104+GB!D104</f>
        <v>874.03200000000015</v>
      </c>
      <c r="E104" s="8">
        <f>CEO!E104+CS!E104+CFO!E104+LLA!E104+'C&amp;E'!E104+CES!E104+LLT!E104+GB!E104</f>
        <v>2970.0320000000002</v>
      </c>
      <c r="F104" s="8">
        <f>CEO!F104+CS!F104+CFO!F104+LLA!F104+'C&amp;E'!F104+CES!F104+LLT!F104+GB!F104</f>
        <v>874.03200000000015</v>
      </c>
      <c r="G104" s="8">
        <f>CEO!G104+CS!G104+CFO!G104+LLA!G104+'C&amp;E'!G104+CES!G104+LLT!G104+GB!G104</f>
        <v>874.03200000000015</v>
      </c>
      <c r="H104" s="8">
        <f>CEO!H104+CS!H104+CFO!H104+LLA!H104+'C&amp;E'!H104+CES!H104+LLT!H104+GB!H104</f>
        <v>874.03200000000015</v>
      </c>
      <c r="I104" s="8">
        <f>CEO!I104+CS!I104+CFO!I104+LLA!I104+'C&amp;E'!I104+CES!I104+LLT!I104+GB!I104</f>
        <v>874.03200000000015</v>
      </c>
      <c r="J104" s="8">
        <f>CEO!J104+CS!J104+CFO!J104+LLA!J104+'C&amp;E'!J104+CES!J104+LLT!J104+GB!J104</f>
        <v>874.03200000000015</v>
      </c>
      <c r="K104" s="8">
        <f>CEO!K104+CS!K104+CFO!K104+LLA!K104+'C&amp;E'!K104+CES!K104+LLT!K104+GB!K104</f>
        <v>874.03200000000015</v>
      </c>
      <c r="L104" s="8">
        <f>CEO!L104+CS!L104+CFO!L104+LLA!L104+'C&amp;E'!L104+CES!L104+LLT!L104+GB!L104</f>
        <v>2961.6479999999983</v>
      </c>
      <c r="M104" s="238" t="s">
        <v>167</v>
      </c>
      <c r="N104" s="8">
        <f t="shared" si="18"/>
        <v>9088.2560000000012</v>
      </c>
      <c r="O104" s="8">
        <f t="shared" si="15"/>
        <v>4709.7119999999986</v>
      </c>
      <c r="P104" s="8">
        <f t="shared" si="16"/>
        <v>13797.968000000001</v>
      </c>
      <c r="Q104" s="8">
        <v>14000</v>
      </c>
      <c r="R104" s="8">
        <f t="shared" si="17"/>
        <v>-202.03199999999924</v>
      </c>
      <c r="S104" s="8"/>
    </row>
    <row r="105" spans="1:19" x14ac:dyDescent="0.3">
      <c r="A105" s="7">
        <f>CEO!A105+CS!A105+CFO!A105+LLA!A105+'C&amp;E'!A105+CES!A105+LLT!A105+GB!A105</f>
        <v>162.44</v>
      </c>
      <c r="B105" s="7">
        <f>CEO!B105+CS!B105+CFO!B105+LLA!B105+'C&amp;E'!B105+CES!B105+LLT!B105+GB!B105</f>
        <v>162.44</v>
      </c>
      <c r="C105" s="7">
        <f>CEO!C105+CS!C105+CFO!C105+LLA!C105+'C&amp;E'!C105+CES!C105+LLT!C105+GB!C105</f>
        <v>162.44</v>
      </c>
      <c r="D105" s="7">
        <f>CEO!D105+CS!D105+CFO!D105+LLA!D105+'C&amp;E'!D105+CES!D105+LLT!D105+GB!D105</f>
        <v>162.44</v>
      </c>
      <c r="E105" s="7">
        <f>CEO!E105+CS!E105+CFO!E105+LLA!E105+'C&amp;E'!E105+CES!E105+LLT!E105+GB!E105</f>
        <v>162.44</v>
      </c>
      <c r="F105" s="7">
        <f>CEO!F105+CS!F105+CFO!F105+LLA!F105+'C&amp;E'!F105+CES!F105+LLT!F105+GB!F105</f>
        <v>162.44</v>
      </c>
      <c r="G105" s="7">
        <f>CEO!G105+CS!G105+CFO!G105+LLA!G105+'C&amp;E'!G105+CES!G105+LLT!G105+GB!G105</f>
        <v>162.44</v>
      </c>
      <c r="H105" s="7">
        <f>CEO!H105+CS!H105+CFO!H105+LLA!H105+'C&amp;E'!H105+CES!H105+LLT!H105+GB!H105</f>
        <v>162.44</v>
      </c>
      <c r="I105" s="7">
        <f>CEO!I105+CS!I105+CFO!I105+LLA!I105+'C&amp;E'!I105+CES!I105+LLT!I105+GB!I105</f>
        <v>162.44</v>
      </c>
      <c r="J105" s="7">
        <f>CEO!J105+CS!J105+CFO!J105+LLA!J105+'C&amp;E'!J105+CES!J105+LLT!J105+GB!J105</f>
        <v>162.44</v>
      </c>
      <c r="K105" s="7">
        <f>CEO!K105+CS!K105+CFO!K105+LLA!K105+'C&amp;E'!K105+CES!K105+LLT!K105+GB!K105</f>
        <v>162.44</v>
      </c>
      <c r="L105" s="7">
        <f>CEO!L105+CS!L105+CFO!L105+LLA!L105+'C&amp;E'!L105+CES!L105+LLT!L105+GB!L105</f>
        <v>158.24799999999976</v>
      </c>
      <c r="M105" s="13" t="s">
        <v>168</v>
      </c>
      <c r="N105" s="7">
        <f t="shared" si="18"/>
        <v>1299.5200000000002</v>
      </c>
      <c r="O105" s="7">
        <f t="shared" si="15"/>
        <v>483.12799999999976</v>
      </c>
      <c r="P105" s="7">
        <f t="shared" si="16"/>
        <v>1782.6479999999999</v>
      </c>
      <c r="Q105" s="7">
        <v>0</v>
      </c>
      <c r="R105" s="7">
        <f t="shared" si="17"/>
        <v>1782.6479999999999</v>
      </c>
      <c r="S105" s="7"/>
    </row>
    <row r="106" spans="1:19" x14ac:dyDescent="0.3">
      <c r="A106" s="11">
        <f>CEO!A106+CS!A106+CFO!A106+LLA!A106+'C&amp;E'!A106+CES!A106+LLT!A106+GB!A106</f>
        <v>325.928</v>
      </c>
      <c r="B106" s="11">
        <f>CEO!B106+CS!B106+CFO!B106+LLA!B106+'C&amp;E'!B106+CES!B106+LLT!B106+GB!B106</f>
        <v>325.928</v>
      </c>
      <c r="C106" s="11">
        <f>CEO!C106+CS!C106+CFO!C106+LLA!C106+'C&amp;E'!C106+CES!C106+LLT!C106+GB!C106</f>
        <v>325.928</v>
      </c>
      <c r="D106" s="11">
        <f>CEO!D106+CS!D106+CFO!D106+LLA!D106+'C&amp;E'!D106+CES!D106+LLT!D106+GB!D106</f>
        <v>325.928</v>
      </c>
      <c r="E106" s="11">
        <f>CEO!E106+CS!E106+CFO!E106+LLA!E106+'C&amp;E'!E106+CES!E106+LLT!E106+GB!E106</f>
        <v>325.928</v>
      </c>
      <c r="F106" s="11">
        <f>CEO!F106+CS!F106+CFO!F106+LLA!F106+'C&amp;E'!F106+CES!F106+LLT!F106+GB!F106</f>
        <v>325.928</v>
      </c>
      <c r="G106" s="11">
        <f>CEO!G106+CS!G106+CFO!G106+LLA!G106+'C&amp;E'!G106+CES!G106+LLT!G106+GB!G106</f>
        <v>325.928</v>
      </c>
      <c r="H106" s="11">
        <f>CEO!H106+CS!H106+CFO!H106+LLA!H106+'C&amp;E'!H106+CES!H106+LLT!H106+GB!H106</f>
        <v>325.928</v>
      </c>
      <c r="I106" s="11">
        <f>CEO!I106+CS!I106+CFO!I106+LLA!I106+'C&amp;E'!I106+CES!I106+LLT!I106+GB!I106</f>
        <v>325.928</v>
      </c>
      <c r="J106" s="11">
        <f>CEO!J106+CS!J106+CFO!J106+LLA!J106+'C&amp;E'!J106+CES!J106+LLT!J106+GB!J106</f>
        <v>325.928</v>
      </c>
      <c r="K106" s="11">
        <f>CEO!K106+CS!K106+CFO!K106+LLA!K106+'C&amp;E'!K106+CES!K106+LLT!K106+GB!K106</f>
        <v>325.928</v>
      </c>
      <c r="L106" s="11">
        <f>CEO!L106+CS!L106+CFO!L106+LLA!L106+'C&amp;E'!L106+CES!L106+LLT!L106+GB!L106</f>
        <v>324.88000000000113</v>
      </c>
      <c r="M106" s="13" t="s">
        <v>169</v>
      </c>
      <c r="N106" s="11">
        <f t="shared" si="18"/>
        <v>2607.4239999999995</v>
      </c>
      <c r="O106" s="11">
        <f t="shared" si="15"/>
        <v>976.73600000000113</v>
      </c>
      <c r="P106" s="11">
        <f t="shared" si="16"/>
        <v>3584.1600000000008</v>
      </c>
      <c r="Q106" s="11">
        <v>0</v>
      </c>
      <c r="R106" s="11">
        <f t="shared" si="17"/>
        <v>3584.1600000000008</v>
      </c>
      <c r="S106" s="11"/>
    </row>
    <row r="107" spans="1:19" ht="3.6" customHeight="1" thickBot="1" x14ac:dyDescent="0.35">
      <c r="A107" s="89"/>
      <c r="B107" s="89"/>
      <c r="C107" s="89"/>
      <c r="D107" s="90"/>
      <c r="E107" s="91"/>
      <c r="F107" s="91"/>
      <c r="G107" s="91"/>
      <c r="H107" s="91"/>
      <c r="I107" s="91"/>
      <c r="J107" s="91"/>
      <c r="K107" s="91"/>
      <c r="L107" s="91"/>
      <c r="M107" s="13"/>
      <c r="N107" s="91">
        <f t="shared" si="18"/>
        <v>0</v>
      </c>
      <c r="O107" s="91">
        <f t="shared" si="15"/>
        <v>0</v>
      </c>
      <c r="P107" s="91">
        <f t="shared" si="16"/>
        <v>0</v>
      </c>
      <c r="Q107" s="91"/>
      <c r="R107" s="91">
        <f t="shared" si="17"/>
        <v>0</v>
      </c>
      <c r="S107" s="89"/>
    </row>
    <row r="108" spans="1:19" x14ac:dyDescent="0.3">
      <c r="A108" s="4">
        <f>SUM(A104:A106)</f>
        <v>1362.4</v>
      </c>
      <c r="B108" s="4">
        <f>SUM(B104:B106)</f>
        <v>1362.4</v>
      </c>
      <c r="C108" s="4">
        <f t="shared" ref="C108:L108" si="23">SUM(C104:C106)</f>
        <v>1362.4</v>
      </c>
      <c r="D108" s="4">
        <f t="shared" si="23"/>
        <v>1362.4</v>
      </c>
      <c r="E108" s="4">
        <f t="shared" si="23"/>
        <v>3458.4</v>
      </c>
      <c r="F108" s="4">
        <f t="shared" si="23"/>
        <v>1362.4</v>
      </c>
      <c r="G108" s="4">
        <f t="shared" si="23"/>
        <v>1362.4</v>
      </c>
      <c r="H108" s="4">
        <f t="shared" si="23"/>
        <v>1362.4</v>
      </c>
      <c r="I108" s="4">
        <f t="shared" si="23"/>
        <v>1362.4</v>
      </c>
      <c r="J108" s="4">
        <f t="shared" si="23"/>
        <v>1362.4</v>
      </c>
      <c r="K108" s="4">
        <f t="shared" si="23"/>
        <v>1362.4</v>
      </c>
      <c r="L108" s="4">
        <f t="shared" si="23"/>
        <v>3444.7759999999989</v>
      </c>
      <c r="M108" s="13" t="s">
        <v>170</v>
      </c>
      <c r="N108" s="4">
        <f>SUM(N104:N106)</f>
        <v>12995.2</v>
      </c>
      <c r="O108" s="4">
        <f>SUM(O104:O106)</f>
        <v>6169.5759999999991</v>
      </c>
      <c r="P108" s="4">
        <f t="shared" si="16"/>
        <v>19164.775999999998</v>
      </c>
      <c r="Q108" s="4">
        <v>14000</v>
      </c>
      <c r="R108" s="4">
        <f t="shared" si="17"/>
        <v>5164.775999999998</v>
      </c>
      <c r="S108" s="4"/>
    </row>
    <row r="109" spans="1:19" ht="6" customHeight="1" x14ac:dyDescent="0.3">
      <c r="A109" s="81"/>
      <c r="B109" s="81"/>
      <c r="C109" s="81"/>
      <c r="D109" s="82"/>
      <c r="E109" s="81"/>
      <c r="F109" s="81"/>
      <c r="G109" s="81"/>
      <c r="H109" s="81"/>
      <c r="I109" s="81"/>
      <c r="J109" s="81"/>
      <c r="K109" s="81"/>
      <c r="L109" s="81"/>
      <c r="M109" s="80"/>
      <c r="N109" s="81">
        <f t="shared" si="18"/>
        <v>0</v>
      </c>
      <c r="O109" s="81">
        <f t="shared" si="15"/>
        <v>0</v>
      </c>
      <c r="P109" s="81">
        <f t="shared" si="16"/>
        <v>0</v>
      </c>
      <c r="Q109" s="81"/>
      <c r="R109" s="81">
        <f t="shared" si="17"/>
        <v>0</v>
      </c>
      <c r="S109" s="81"/>
    </row>
    <row r="110" spans="1:19" x14ac:dyDescent="0.3">
      <c r="A110" s="4">
        <f>A28+A46+A65+A91+A102+A108</f>
        <v>1423581.0651890058</v>
      </c>
      <c r="B110" s="4">
        <f>B28+B46+B65+B91+B102+B108</f>
        <v>1720081.3928690059</v>
      </c>
      <c r="C110" s="4">
        <f t="shared" ref="C110:L110" si="24">C28+C46+C65+C91+C102+C108</f>
        <v>1952740.3167890057</v>
      </c>
      <c r="D110" s="4">
        <f t="shared" si="24"/>
        <v>2089175.475349006</v>
      </c>
      <c r="E110" s="4">
        <f t="shared" si="24"/>
        <v>1685449.3211090059</v>
      </c>
      <c r="F110" s="4">
        <f t="shared" si="24"/>
        <v>1781748.4971890058</v>
      </c>
      <c r="G110" s="4">
        <f t="shared" si="24"/>
        <v>1484550.5192690059</v>
      </c>
      <c r="H110" s="4">
        <f t="shared" si="24"/>
        <v>1428147.6171890059</v>
      </c>
      <c r="I110" s="4">
        <f t="shared" si="24"/>
        <v>1467864.4362335387</v>
      </c>
      <c r="J110" s="4">
        <f t="shared" si="24"/>
        <v>1421303.7611890058</v>
      </c>
      <c r="K110" s="4">
        <f t="shared" si="24"/>
        <v>1451446.8370509287</v>
      </c>
      <c r="L110" s="4">
        <f t="shared" si="24"/>
        <v>1617284.9293441731</v>
      </c>
      <c r="M110" s="238" t="s">
        <v>171</v>
      </c>
      <c r="N110" s="4">
        <f>N28+N46+N65+N91+N102+N108</f>
        <v>14963507.412264347</v>
      </c>
      <c r="O110" s="4">
        <f>O28+O46+O65+O91+O102+O108</f>
        <v>4490035.5275841085</v>
      </c>
      <c r="P110" s="4">
        <f t="shared" si="16"/>
        <v>19453542.939848457</v>
      </c>
      <c r="Q110" s="4">
        <v>17573255.420815706</v>
      </c>
      <c r="R110" s="4">
        <f t="shared" si="17"/>
        <v>1880287.5190327503</v>
      </c>
      <c r="S110" s="4"/>
    </row>
    <row r="111" spans="1:19" ht="5.4" customHeight="1" x14ac:dyDescent="0.3">
      <c r="A111" s="81"/>
      <c r="B111" s="81"/>
      <c r="C111" s="81"/>
      <c r="D111" s="82"/>
      <c r="E111" s="81"/>
      <c r="F111" s="81"/>
      <c r="G111" s="81"/>
      <c r="H111" s="81"/>
      <c r="I111" s="81"/>
      <c r="J111" s="81"/>
      <c r="K111" s="81"/>
      <c r="L111" s="81"/>
      <c r="M111" s="122"/>
      <c r="N111" s="81">
        <f t="shared" si="18"/>
        <v>0</v>
      </c>
      <c r="O111" s="81">
        <f t="shared" si="15"/>
        <v>0</v>
      </c>
      <c r="P111" s="81">
        <f t="shared" si="16"/>
        <v>0</v>
      </c>
      <c r="Q111" s="81"/>
      <c r="R111" s="81">
        <f t="shared" si="17"/>
        <v>0</v>
      </c>
      <c r="S111" s="81"/>
    </row>
    <row r="112" spans="1:19" x14ac:dyDescent="0.3">
      <c r="A112" s="4">
        <f>A18+A110</f>
        <v>4064528.7562691658</v>
      </c>
      <c r="B112" s="4">
        <f>B18+B110</f>
        <v>4480563.3663893789</v>
      </c>
      <c r="C112" s="4">
        <f t="shared" ref="C112:L112" si="25">C18+C110</f>
        <v>4798216.0338336062</v>
      </c>
      <c r="D112" s="4">
        <f t="shared" si="25"/>
        <v>4996184.9367165798</v>
      </c>
      <c r="E112" s="4">
        <f t="shared" si="25"/>
        <v>4524394.7195936069</v>
      </c>
      <c r="F112" s="4">
        <f t="shared" si="25"/>
        <v>4607873.0095136063</v>
      </c>
      <c r="G112" s="4">
        <f t="shared" si="25"/>
        <v>4379561.1666365806</v>
      </c>
      <c r="H112" s="4" t="e">
        <f t="shared" si="25"/>
        <v>#REF!</v>
      </c>
      <c r="I112" s="4">
        <f t="shared" si="25"/>
        <v>4305084.8162381388</v>
      </c>
      <c r="J112" s="4">
        <f t="shared" si="25"/>
        <v>4332001.6271165796</v>
      </c>
      <c r="K112" s="4">
        <f t="shared" si="25"/>
        <v>4292601.9016155293</v>
      </c>
      <c r="L112" s="4">
        <f t="shared" si="25"/>
        <v>4426178.5066317469</v>
      </c>
      <c r="M112" s="13" t="s">
        <v>240</v>
      </c>
      <c r="N112" s="4" t="e">
        <f>N18+N110</f>
        <v>#REF!</v>
      </c>
      <c r="O112" s="4">
        <f>O18+O110</f>
        <v>13050782.035363857</v>
      </c>
      <c r="P112" s="4" t="e">
        <f t="shared" si="16"/>
        <v>#REF!</v>
      </c>
      <c r="Q112" s="4">
        <v>49288575.737600006</v>
      </c>
      <c r="R112" s="4" t="e">
        <f t="shared" si="17"/>
        <v>#REF!</v>
      </c>
      <c r="S112" s="4"/>
    </row>
    <row r="113" spans="1:19" ht="6.6" customHeight="1" x14ac:dyDescent="0.3">
      <c r="A113" s="81"/>
      <c r="B113" s="81"/>
      <c r="C113" s="81"/>
      <c r="D113" s="82"/>
      <c r="E113" s="81"/>
      <c r="F113" s="81"/>
      <c r="G113" s="81"/>
      <c r="H113" s="81"/>
      <c r="I113" s="81"/>
      <c r="J113" s="81"/>
      <c r="K113" s="81"/>
      <c r="L113" s="81"/>
      <c r="M113" s="122"/>
      <c r="N113" s="81">
        <f t="shared" si="18"/>
        <v>0</v>
      </c>
      <c r="O113" s="81">
        <f t="shared" si="15"/>
        <v>0</v>
      </c>
      <c r="P113" s="81">
        <f t="shared" si="16"/>
        <v>0</v>
      </c>
      <c r="Q113" s="81"/>
      <c r="R113" s="81">
        <f t="shared" si="17"/>
        <v>0</v>
      </c>
      <c r="S113" s="81"/>
    </row>
    <row r="114" spans="1:19" x14ac:dyDescent="0.3">
      <c r="A114" s="8">
        <f>CEO!A114+CS!A114+CFO!A114+LLA!A114+'C&amp;E'!A114+CES!A114+LLT!A114+GB!A114</f>
        <v>0</v>
      </c>
      <c r="B114" s="8">
        <f>CEO!B114+CS!B114+CFO!B114+LLA!B114+'C&amp;E'!B114+CES!B114+LLT!B114+GB!B114</f>
        <v>0</v>
      </c>
      <c r="C114" s="8">
        <f>CEO!C114+CS!C114+CFO!C114+LLA!C114+'C&amp;E'!C114+CES!C114+LLT!C114+GB!C114</f>
        <v>0</v>
      </c>
      <c r="D114" s="8">
        <f>CEO!D114+CS!D114+CFO!D114+LLA!D114+'C&amp;E'!D114+CES!D114+LLT!D114+GB!D114</f>
        <v>0</v>
      </c>
      <c r="E114" s="8">
        <v>9089.9</v>
      </c>
      <c r="F114" s="8">
        <v>9288.9</v>
      </c>
      <c r="G114" s="8">
        <v>9288.9</v>
      </c>
      <c r="H114" s="8">
        <f>CEO!H114+CS!H114+CFO!H114+LLA!H114+'C&amp;E'!H114+CES!H114+LLT!H114+GB!H114</f>
        <v>0</v>
      </c>
      <c r="I114" s="8">
        <f>CEO!I114+CS!I114+CFO!I114+LLA!I114+'C&amp;E'!I114+CES!I114+LLT!I114+GB!I114</f>
        <v>0</v>
      </c>
      <c r="J114" s="8">
        <f>CEO!J114+CS!J114+CFO!J114+LLA!J114+'C&amp;E'!J114+CES!J114+LLT!J114+GB!J114</f>
        <v>0</v>
      </c>
      <c r="K114" s="8">
        <f>CEO!K114+CS!K114+CFO!K114+LLA!K114+'C&amp;E'!K114+CES!K114+LLT!K114+GB!K114</f>
        <v>0</v>
      </c>
      <c r="L114" s="8">
        <f>CEO!L114+CS!L114+CFO!L114+LLA!L114+'C&amp;E'!L114+CES!L114+LLT!L114+GB!L114</f>
        <v>50450.720000000001</v>
      </c>
      <c r="M114" s="238" t="s">
        <v>173</v>
      </c>
      <c r="N114" s="8">
        <f>SUM(A114:I114)</f>
        <v>27667.699999999997</v>
      </c>
      <c r="O114" s="8">
        <f t="shared" si="15"/>
        <v>50450.720000000001</v>
      </c>
      <c r="P114" s="8">
        <f t="shared" si="16"/>
        <v>78118.42</v>
      </c>
      <c r="Q114" s="8">
        <v>0</v>
      </c>
      <c r="R114" s="8">
        <f t="shared" si="17"/>
        <v>78118.42</v>
      </c>
      <c r="S114" s="8"/>
    </row>
    <row r="115" spans="1:19" x14ac:dyDescent="0.3">
      <c r="A115" s="7">
        <f>CEO!A115+CS!A115+CFO!A115+LLA!A115+'C&amp;E'!A115+CES!A115+LLT!A115+GB!A115</f>
        <v>0</v>
      </c>
      <c r="B115" s="7">
        <f>CEO!B115+CS!B115+CFO!B115+LLA!B115+'C&amp;E'!B115+CES!B115+LLT!B115+GB!B115</f>
        <v>0</v>
      </c>
      <c r="C115" s="7">
        <f>CEO!C115+CS!C115+CFO!C115+LLA!C115+'C&amp;E'!C115+CES!C115+LLT!C115+GB!C115</f>
        <v>0</v>
      </c>
      <c r="D115" s="7">
        <f>CEO!D115+CS!D115+CFO!D115+LLA!D115+'C&amp;E'!D115+CES!D115+LLT!D115+GB!D115</f>
        <v>0</v>
      </c>
      <c r="E115" s="7">
        <v>199</v>
      </c>
      <c r="F115" s="7"/>
      <c r="G115" s="7"/>
      <c r="H115" s="7">
        <f>CEO!H115+CS!H115+CFO!H115+LLA!H115+'C&amp;E'!H115+CES!H115+LLT!H115+GB!H115</f>
        <v>0</v>
      </c>
      <c r="I115" s="7">
        <f>CEO!I115+CS!I115+CFO!I115+LLA!I115+'C&amp;E'!I115+CES!I115+LLT!I115+GB!I115</f>
        <v>0</v>
      </c>
      <c r="J115" s="7">
        <f>CEO!J115+CS!J115+CFO!J115+LLA!J115+'C&amp;E'!J115+CES!J115+LLT!J115+GB!J115</f>
        <v>0</v>
      </c>
      <c r="K115" s="7">
        <f>CEO!K115+CS!K115+CFO!K115+LLA!K115+'C&amp;E'!K115+CES!K115+LLT!K115+GB!K115</f>
        <v>58233</v>
      </c>
      <c r="L115" s="7">
        <f>CEO!L115+CS!L115+CFO!L115+LLA!L115+'C&amp;E'!L115+CES!L115+LLT!L115+GB!L115</f>
        <v>0</v>
      </c>
      <c r="M115" s="13" t="s">
        <v>174</v>
      </c>
      <c r="N115" s="7">
        <f t="shared" ref="N115:N125" si="26">SUM(A115:I115)</f>
        <v>199</v>
      </c>
      <c r="O115" s="7">
        <f t="shared" si="15"/>
        <v>58233</v>
      </c>
      <c r="P115" s="7">
        <f t="shared" si="16"/>
        <v>58432</v>
      </c>
      <c r="Q115" s="7">
        <v>0</v>
      </c>
      <c r="R115" s="7">
        <f t="shared" si="17"/>
        <v>58432</v>
      </c>
      <c r="S115" s="7"/>
    </row>
    <row r="116" spans="1:19" x14ac:dyDescent="0.3">
      <c r="A116" s="7">
        <f>CEO!A116+CS!A116+CFO!A116+LLA!A116+'C&amp;E'!A116+CES!A116+LLT!A116+GB!A116</f>
        <v>0</v>
      </c>
      <c r="B116" s="7">
        <f>CEO!B116+CS!B116+CFO!B116+LLA!B116+'C&amp;E'!B116+CES!B116+LLT!B116+GB!B116</f>
        <v>0</v>
      </c>
      <c r="C116" s="7">
        <f>CEO!C116+CS!C116+CFO!C116+LLA!C116+'C&amp;E'!C116+CES!C116+LLT!C116+GB!C116</f>
        <v>0</v>
      </c>
      <c r="D116" s="7">
        <f>CEO!D116+CS!D116+CFO!D116+LLA!D116+'C&amp;E'!D116+CES!D116+LLT!D116+GB!D116</f>
        <v>0</v>
      </c>
      <c r="E116" s="7">
        <f>CEO!E116+CS!E116+CFO!E116+LLA!E116+'C&amp;E'!E116+CES!E116+LLT!E116+GB!E116</f>
        <v>0</v>
      </c>
      <c r="F116" s="7">
        <f>CEO!F116+CS!F116+CFO!F116+LLA!F116+'C&amp;E'!F116+CES!F116+LLT!F116+GB!F116</f>
        <v>0</v>
      </c>
      <c r="G116" s="7">
        <f>CEO!G116+CS!G116+CFO!G116+LLA!G116+'C&amp;E'!G116+CES!G116+LLT!G116+GB!G116</f>
        <v>0</v>
      </c>
      <c r="H116" s="7">
        <f>CEO!H116+CS!H116+CFO!H116+LLA!H116+'C&amp;E'!H116+CES!H116+LLT!H116+GB!H116</f>
        <v>0</v>
      </c>
      <c r="I116" s="7">
        <f>CEO!I116+CS!I116+CFO!I116+LLA!I116+'C&amp;E'!I116+CES!I116+LLT!I116+GB!I116</f>
        <v>0</v>
      </c>
      <c r="J116" s="7">
        <f>CEO!J116+CS!J116+CFO!J116+LLA!J116+'C&amp;E'!J116+CES!J116+LLT!J116+GB!J116</f>
        <v>0</v>
      </c>
      <c r="K116" s="7">
        <f>CEO!K116+CS!K116+CFO!K116+LLA!K116+'C&amp;E'!K116+CES!K116+LLT!K116+GB!K116</f>
        <v>0</v>
      </c>
      <c r="L116" s="7">
        <f>CEO!L116+CS!L116+CFO!L116+LLA!L116+'C&amp;E'!L116+CES!L116+LLT!L116+GB!L116</f>
        <v>0</v>
      </c>
      <c r="M116" s="13" t="s">
        <v>175</v>
      </c>
      <c r="N116" s="7">
        <f t="shared" si="26"/>
        <v>0</v>
      </c>
      <c r="O116" s="7">
        <f t="shared" si="15"/>
        <v>0</v>
      </c>
      <c r="P116" s="7">
        <f t="shared" si="16"/>
        <v>0</v>
      </c>
      <c r="Q116" s="7">
        <v>0</v>
      </c>
      <c r="R116" s="7">
        <f t="shared" si="17"/>
        <v>0</v>
      </c>
      <c r="S116" s="7"/>
    </row>
    <row r="117" spans="1:19" x14ac:dyDescent="0.3">
      <c r="A117" s="7">
        <f>CEO!A117+CS!A117+CFO!A117+LLA!A117+'C&amp;E'!A117+CES!A117+LLT!A117+GB!A117</f>
        <v>0</v>
      </c>
      <c r="B117" s="7">
        <f>CEO!B117+CS!B117+CFO!B117+LLA!B117+'C&amp;E'!B117+CES!B117+LLT!B117+GB!B117</f>
        <v>0</v>
      </c>
      <c r="C117" s="7">
        <f>CEO!C117+CS!C117+CFO!C117+LLA!C117+'C&amp;E'!C117+CES!C117+LLT!C117+GB!C117</f>
        <v>0</v>
      </c>
      <c r="D117" s="7">
        <f>CEO!D117+CS!D117+CFO!D117+LLA!D117+'C&amp;E'!D117+CES!D117+LLT!D117+GB!D117</f>
        <v>0</v>
      </c>
      <c r="E117" s="7">
        <f>CEO!E117+CS!E117+CFO!E117+LLA!E117+'C&amp;E'!E117+CES!E117+LLT!E117+GB!E117</f>
        <v>0</v>
      </c>
      <c r="F117" s="7">
        <f>CEO!F117+CS!F117+CFO!F117+LLA!F117+'C&amp;E'!F117+CES!F117+LLT!F117+GB!F117</f>
        <v>0</v>
      </c>
      <c r="G117" s="7">
        <f>CEO!G117+CS!G117+CFO!G117+LLA!G117+'C&amp;E'!G117+CES!G117+LLT!G117+GB!G117</f>
        <v>0</v>
      </c>
      <c r="H117" s="7">
        <f>CEO!H117+CS!H117+CFO!H117+LLA!H117+'C&amp;E'!H117+CES!H117+LLT!H117+GB!H117</f>
        <v>0</v>
      </c>
      <c r="I117" s="7">
        <f>CEO!I117+CS!I117+CFO!I117+LLA!I117+'C&amp;E'!I117+CES!I117+LLT!I117+GB!I117</f>
        <v>0</v>
      </c>
      <c r="J117" s="7">
        <f>CEO!J117+CS!J117+CFO!J117+LLA!J117+'C&amp;E'!J117+CES!J117+LLT!J117+GB!J117</f>
        <v>0</v>
      </c>
      <c r="K117" s="7">
        <f>CEO!K117+CS!K117+CFO!K117+LLA!K117+'C&amp;E'!K117+CES!K117+LLT!K117+GB!K117</f>
        <v>0</v>
      </c>
      <c r="L117" s="7">
        <f>CEO!L117+CS!L117+CFO!L117+LLA!L117+'C&amp;E'!L117+CES!L117+LLT!L117+GB!L117</f>
        <v>0</v>
      </c>
      <c r="M117" s="238" t="s">
        <v>176</v>
      </c>
      <c r="N117" s="7">
        <f t="shared" si="26"/>
        <v>0</v>
      </c>
      <c r="O117" s="7">
        <f t="shared" si="15"/>
        <v>0</v>
      </c>
      <c r="P117" s="7">
        <f t="shared" si="16"/>
        <v>0</v>
      </c>
      <c r="Q117" s="7">
        <v>0</v>
      </c>
      <c r="R117" s="7">
        <f t="shared" si="17"/>
        <v>0</v>
      </c>
      <c r="S117" s="7"/>
    </row>
    <row r="118" spans="1:19" x14ac:dyDescent="0.3">
      <c r="A118" s="7">
        <f>CEO!A118+CS!A118+CFO!A118+LLA!A118+'C&amp;E'!A118+CES!A118+LLT!A118+GB!A118</f>
        <v>0</v>
      </c>
      <c r="B118" s="7">
        <f>CEO!B118+CS!B118+CFO!B118+LLA!B118+'C&amp;E'!B118+CES!B118+LLT!B118+GB!B118</f>
        <v>0</v>
      </c>
      <c r="C118" s="7">
        <f>CEO!C118+CS!C118+CFO!C118+LLA!C118+'C&amp;E'!C118+CES!C118+LLT!C118+GB!C118</f>
        <v>0</v>
      </c>
      <c r="D118" s="7">
        <f>CEO!D118+CS!D118+CFO!D118+LLA!D118+'C&amp;E'!D118+CES!D118+LLT!D118+GB!D118</f>
        <v>0</v>
      </c>
      <c r="E118" s="7">
        <f>CEO!E118+CS!E118+CFO!E118+LLA!E118+'C&amp;E'!E118+CES!E118+LLT!E118+GB!E118</f>
        <v>0</v>
      </c>
      <c r="F118" s="7">
        <f>CEO!F118+CS!F118+CFO!F118+LLA!F118+'C&amp;E'!F118+CES!F118+LLT!F118+GB!F118</f>
        <v>0</v>
      </c>
      <c r="G118" s="7">
        <f>CEO!G118+CS!G118+CFO!G118+LLA!G118+'C&amp;E'!G118+CES!G118+LLT!G118+GB!G118</f>
        <v>0</v>
      </c>
      <c r="H118" s="7">
        <f>CEO!H118+CS!H118+CFO!H118+LLA!H118+'C&amp;E'!H118+CES!H118+LLT!H118+GB!H118</f>
        <v>0</v>
      </c>
      <c r="I118" s="7">
        <f>CEO!I118+CS!I118+CFO!I118+LLA!I118+'C&amp;E'!I118+CES!I118+LLT!I118+GB!I118</f>
        <v>0</v>
      </c>
      <c r="J118" s="7">
        <f>CEO!J118+CS!J118+CFO!J118+LLA!J118+'C&amp;E'!J118+CES!J118+LLT!J118+GB!J118</f>
        <v>0</v>
      </c>
      <c r="K118" s="7">
        <f>CEO!K118+CS!K118+CFO!K118+LLA!K118+'C&amp;E'!K118+CES!K118+LLT!K118+GB!K118</f>
        <v>0</v>
      </c>
      <c r="L118" s="7">
        <f>CEO!L118+CS!L118+CFO!L118+LLA!L118+'C&amp;E'!L118+CES!L118+LLT!L118+GB!L118</f>
        <v>0</v>
      </c>
      <c r="M118" s="13" t="s">
        <v>177</v>
      </c>
      <c r="N118" s="7">
        <f t="shared" si="26"/>
        <v>0</v>
      </c>
      <c r="O118" s="7">
        <f t="shared" si="15"/>
        <v>0</v>
      </c>
      <c r="P118" s="7">
        <f t="shared" si="16"/>
        <v>0</v>
      </c>
      <c r="Q118" s="7">
        <v>45803.764999999999</v>
      </c>
      <c r="R118" s="7">
        <f t="shared" si="17"/>
        <v>-45803.764999999999</v>
      </c>
      <c r="S118" s="7"/>
    </row>
    <row r="119" spans="1:19" x14ac:dyDescent="0.3">
      <c r="A119" s="7">
        <f>CEO!A119+CS!A119+CFO!A119+LLA!A119+'C&amp;E'!A119+CES!A119+LLT!A119+GB!A119</f>
        <v>47820</v>
      </c>
      <c r="B119" s="7">
        <f>CEO!B119+CS!B119+CFO!B119+LLA!B119+'C&amp;E'!B119+CES!B119+LLT!B119+GB!B119</f>
        <v>47820</v>
      </c>
      <c r="C119" s="7">
        <f>CEO!C119+CS!C119+CFO!C119+LLA!C119+'C&amp;E'!C119+CES!C119+LLT!C119+GB!C119</f>
        <v>47820</v>
      </c>
      <c r="D119" s="7">
        <f>CEO!D119+CS!D119+CFO!D119+LLA!D119+'C&amp;E'!D119+CES!D119+LLT!D119+GB!D119</f>
        <v>47820</v>
      </c>
      <c r="E119" s="7">
        <f>CEO!E119+CS!E119+CFO!E119+LLA!E119+'C&amp;E'!E119+CES!E119+LLT!E119+GB!E119</f>
        <v>47820</v>
      </c>
      <c r="F119" s="7">
        <f>CEO!F119+CS!F119+CFO!F119+LLA!F119+'C&amp;E'!F119+CES!F119+LLT!F119+GB!F119</f>
        <v>47820</v>
      </c>
      <c r="G119" s="7">
        <f>CEO!G119+CS!G119+CFO!G119+LLA!G119+'C&amp;E'!G119+CES!G119+LLT!G119+GB!G119</f>
        <v>47820</v>
      </c>
      <c r="H119" s="7">
        <f>CEO!H119+CS!H119+CFO!H119+LLA!H119+'C&amp;E'!H119+CES!H119+LLT!H119+GB!H119</f>
        <v>47820</v>
      </c>
      <c r="I119" s="7">
        <f>CEO!I119+CS!I119+CFO!I119+LLA!I119+'C&amp;E'!I119+CES!I119+LLT!I119+GB!I119</f>
        <v>47820</v>
      </c>
      <c r="J119" s="7">
        <f>CEO!J119+CS!J119+CFO!J119+LLA!J119+'C&amp;E'!J119+CES!J119+LLT!J119+GB!J119</f>
        <v>47820</v>
      </c>
      <c r="K119" s="7">
        <f>CEO!K119+CS!K119+CFO!K119+LLA!K119+'C&amp;E'!K119+CES!K119+LLT!K119+GB!K119</f>
        <v>47820</v>
      </c>
      <c r="L119" s="7">
        <f>CEO!L119+CS!L119+CFO!L119+LLA!L119+'C&amp;E'!L119+CES!L119+LLT!L119+GB!L119</f>
        <v>47820</v>
      </c>
      <c r="M119" s="13" t="s">
        <v>178</v>
      </c>
      <c r="N119" s="7">
        <f t="shared" si="26"/>
        <v>430380</v>
      </c>
      <c r="O119" s="7">
        <f t="shared" si="15"/>
        <v>143460</v>
      </c>
      <c r="P119" s="7">
        <f t="shared" si="16"/>
        <v>573840</v>
      </c>
      <c r="Q119" s="7">
        <v>99000</v>
      </c>
      <c r="R119" s="7">
        <f t="shared" si="17"/>
        <v>474840</v>
      </c>
      <c r="S119" s="7"/>
    </row>
    <row r="120" spans="1:19" hidden="1" x14ac:dyDescent="0.3">
      <c r="A120" s="7">
        <f>CEO!A120+CS!A120+CFO!A120+LLA!A120+'C&amp;E'!A120+CES!A120+LLT!A120+GB!A120</f>
        <v>0</v>
      </c>
      <c r="B120" s="7">
        <f>CEO!B120+CS!B120+CFO!B120+LLA!B120+'C&amp;E'!B120+CES!B120+LLT!B120+GB!B120</f>
        <v>0</v>
      </c>
      <c r="C120" s="7">
        <f>CEO!C120+CS!C120+CFO!C120+LLA!C120+'C&amp;E'!C120+CES!C120+LLT!C120+GB!C120</f>
        <v>0</v>
      </c>
      <c r="D120" s="7">
        <f>CEO!D120+CS!D120+CFO!D120+LLA!D120+'C&amp;E'!D120+CES!D120+LLT!D120+GB!D120</f>
        <v>0</v>
      </c>
      <c r="E120" s="7">
        <f>CEO!E120+CS!E120+CFO!E120+LLA!E120+'C&amp;E'!E120+CES!E120+LLT!E120+GB!E120</f>
        <v>0</v>
      </c>
      <c r="F120" s="7">
        <f>CEO!F120+CS!F120+CFO!F120+LLA!F120+'C&amp;E'!F120+CES!F120+LLT!F120+GB!F120</f>
        <v>0</v>
      </c>
      <c r="G120" s="7">
        <f>CEO!G120+CS!G120+CFO!G120+LLA!G120+'C&amp;E'!G120+CES!G120+LLT!G120+GB!G120</f>
        <v>0</v>
      </c>
      <c r="H120" s="7">
        <f>CEO!H120+CS!H120+CFO!H120+LLA!H120+'C&amp;E'!H120+CES!H120+LLT!H120+GB!H120</f>
        <v>0</v>
      </c>
      <c r="I120" s="7">
        <f>CEO!I120+CS!I120+CFO!I120+LLA!I120+'C&amp;E'!I120+CES!I120+LLT!I120+GB!I120</f>
        <v>0</v>
      </c>
      <c r="J120" s="7">
        <f>CEO!J120+CS!J120+CFO!J120+LLA!J120+'C&amp;E'!J120+CES!J120+LLT!J120+GB!J120</f>
        <v>0</v>
      </c>
      <c r="K120" s="7">
        <f>CEO!K120+CS!K120+CFO!K120+LLA!K120+'C&amp;E'!K120+CES!K120+LLT!K120+GB!K120</f>
        <v>0</v>
      </c>
      <c r="L120" s="7">
        <f>CEO!L120+CS!L120+CFO!L120+LLA!L120+'C&amp;E'!L120+CES!L120+LLT!L120+GB!L120</f>
        <v>0</v>
      </c>
      <c r="M120" s="238" t="s">
        <v>179</v>
      </c>
      <c r="N120" s="7">
        <f t="shared" si="26"/>
        <v>0</v>
      </c>
      <c r="O120" s="7">
        <f t="shared" si="15"/>
        <v>0</v>
      </c>
      <c r="P120" s="7">
        <f t="shared" si="16"/>
        <v>0</v>
      </c>
      <c r="Q120" s="7">
        <v>0</v>
      </c>
      <c r="R120" s="7">
        <f t="shared" si="17"/>
        <v>0</v>
      </c>
      <c r="S120" s="7"/>
    </row>
    <row r="121" spans="1:19" hidden="1" x14ac:dyDescent="0.3">
      <c r="A121" s="7">
        <f>CEO!A121+CS!A121+CFO!A121+LLA!A121+'C&amp;E'!A121+CES!A121+LLT!A121+GB!A121</f>
        <v>0</v>
      </c>
      <c r="B121" s="7">
        <f>CEO!B121+CS!B121+CFO!B121+LLA!B121+'C&amp;E'!B121+CES!B121+LLT!B121+GB!B121</f>
        <v>0</v>
      </c>
      <c r="C121" s="7">
        <f>CEO!C121+CS!C121+CFO!C121+LLA!C121+'C&amp;E'!C121+CES!C121+LLT!C121+GB!C121</f>
        <v>0</v>
      </c>
      <c r="D121" s="7">
        <f>CEO!D121+CS!D121+CFO!D121+LLA!D121+'C&amp;E'!D121+CES!D121+LLT!D121+GB!D121</f>
        <v>0</v>
      </c>
      <c r="E121" s="7">
        <f>CEO!E121+CS!E121+CFO!E121+LLA!E121+'C&amp;E'!E121+CES!E121+LLT!E121+GB!E121</f>
        <v>0</v>
      </c>
      <c r="F121" s="7">
        <f>CEO!F121+CS!F121+CFO!F121+LLA!F121+'C&amp;E'!F121+CES!F121+LLT!F121+GB!F121</f>
        <v>0</v>
      </c>
      <c r="G121" s="7">
        <f>CEO!G121+CS!G121+CFO!G121+LLA!G121+'C&amp;E'!G121+CES!G121+LLT!G121+GB!G121</f>
        <v>0</v>
      </c>
      <c r="H121" s="7">
        <f>CEO!H121+CS!H121+CFO!H121+LLA!H121+'C&amp;E'!H121+CES!H121+LLT!H121+GB!H121</f>
        <v>0</v>
      </c>
      <c r="I121" s="7">
        <f>CEO!I121+CS!I121+CFO!I121+LLA!I121+'C&amp;E'!I121+CES!I121+LLT!I121+GB!I121</f>
        <v>0</v>
      </c>
      <c r="J121" s="7">
        <f>CEO!J121+CS!J121+CFO!J121+LLA!J121+'C&amp;E'!J121+CES!J121+LLT!J121+GB!J121</f>
        <v>0</v>
      </c>
      <c r="K121" s="7">
        <f>CEO!K121+CS!K121+CFO!K121+LLA!K121+'C&amp;E'!K121+CES!K121+LLT!K121+GB!K121</f>
        <v>0</v>
      </c>
      <c r="L121" s="7">
        <f>CEO!L121+CS!L121+CFO!L121+LLA!L121+'C&amp;E'!L121+CES!L121+LLT!L121+GB!L121</f>
        <v>0</v>
      </c>
      <c r="M121" s="13" t="s">
        <v>180</v>
      </c>
      <c r="N121" s="7">
        <f t="shared" si="26"/>
        <v>0</v>
      </c>
      <c r="O121" s="7">
        <f t="shared" si="15"/>
        <v>0</v>
      </c>
      <c r="P121" s="7">
        <f t="shared" si="16"/>
        <v>0</v>
      </c>
      <c r="Q121" s="7">
        <v>0</v>
      </c>
      <c r="R121" s="7">
        <f t="shared" si="17"/>
        <v>0</v>
      </c>
      <c r="S121" s="7"/>
    </row>
    <row r="122" spans="1:19" x14ac:dyDescent="0.3">
      <c r="A122" s="7">
        <f>CEO!A122+CS!A122+CFO!A122+LLA!A122+'C&amp;E'!A122+CES!A122+LLT!A122+GB!A122</f>
        <v>31699.904000000002</v>
      </c>
      <c r="B122" s="7">
        <f>CEO!B122+CS!B122+CFO!B122+LLA!B122+'C&amp;E'!B122+CES!B122+LLT!B122+GB!B122</f>
        <v>31699.904000000002</v>
      </c>
      <c r="C122" s="7">
        <f>CEO!C122+CS!C122+CFO!C122+LLA!C122+'C&amp;E'!C122+CES!C122+LLT!C122+GB!C122</f>
        <v>31699.904000000002</v>
      </c>
      <c r="D122" s="7">
        <f>CEO!D122+CS!D122+CFO!D122+LLA!D122+'C&amp;E'!D122+CES!D122+LLT!D122+GB!D122</f>
        <v>31699.904000000002</v>
      </c>
      <c r="E122" s="7">
        <f>CEO!E122+CS!E122+CFO!E122+LLA!E122+'C&amp;E'!E122+CES!E122+LLT!E122+GB!E122</f>
        <v>31699.904000000002</v>
      </c>
      <c r="F122" s="7">
        <f>CEO!F122+CS!F122+CFO!F122+LLA!F122+'C&amp;E'!F122+CES!F122+LLT!F122+GB!F122</f>
        <v>31699.904000000002</v>
      </c>
      <c r="G122" s="7">
        <f>CEO!G122+CS!G122+CFO!G122+LLA!G122+'C&amp;E'!G122+CES!G122+LLT!G122+GB!G122</f>
        <v>31699.904000000002</v>
      </c>
      <c r="H122" s="7">
        <f>CEO!H122+CS!H122+CFO!H122+LLA!H122+'C&amp;E'!H122+CES!H122+LLT!H122+GB!H122</f>
        <v>31699.904000000002</v>
      </c>
      <c r="I122" s="7">
        <f>CEO!I122+CS!I122+CFO!I122+LLA!I122+'C&amp;E'!I122+CES!I122+LLT!I122+GB!I122</f>
        <v>31699.904000000002</v>
      </c>
      <c r="J122" s="7">
        <f>CEO!J122+CS!J122+CFO!J122+LLA!J122+'C&amp;E'!J122+CES!J122+LLT!J122+GB!J122</f>
        <v>31699.904000000002</v>
      </c>
      <c r="K122" s="7">
        <f>CEO!K122+CS!K122+CFO!K122+LLA!K122+'C&amp;E'!K122+CES!K122+LLT!K122+GB!K122</f>
        <v>31699.904000000002</v>
      </c>
      <c r="L122" s="7">
        <f>CEO!L122+CS!L122+CFO!L122+LLA!L122+'C&amp;E'!L122+CES!L122+LLT!L122+GB!L122</f>
        <v>31695.904000000002</v>
      </c>
      <c r="M122" s="13" t="s">
        <v>181</v>
      </c>
      <c r="N122" s="7">
        <f t="shared" si="26"/>
        <v>285299.13600000006</v>
      </c>
      <c r="O122" s="7">
        <f t="shared" si="15"/>
        <v>95095.712</v>
      </c>
      <c r="P122" s="7">
        <f t="shared" si="16"/>
        <v>380394.84800000006</v>
      </c>
      <c r="Q122" s="7">
        <v>250895.72999999998</v>
      </c>
      <c r="R122" s="7">
        <f t="shared" si="17"/>
        <v>129499.11800000007</v>
      </c>
      <c r="S122" s="7"/>
    </row>
    <row r="123" spans="1:19" x14ac:dyDescent="0.3">
      <c r="A123" s="7">
        <f>CEO!A123+CS!A123+CFO!A123+LLA!A123+'C&amp;E'!A123+CES!A123+LLT!A123+GB!A123</f>
        <v>105337.62400000001</v>
      </c>
      <c r="B123" s="7">
        <f>CEO!B123+CS!B123+CFO!B123+LLA!B123+'C&amp;E'!B123+CES!B123+LLT!B123+GB!B123</f>
        <v>105337.62400000001</v>
      </c>
      <c r="C123" s="7">
        <f>CEO!C123+CS!C123+CFO!C123+LLA!C123+'C&amp;E'!C123+CES!C123+LLT!C123+GB!C123</f>
        <v>105337.62400000001</v>
      </c>
      <c r="D123" s="7">
        <f>CEO!D123+CS!D123+CFO!D123+LLA!D123+'C&amp;E'!D123+CES!D123+LLT!D123+GB!D123</f>
        <v>105337.62400000001</v>
      </c>
      <c r="E123" s="7">
        <f>CEO!E123+CS!E123+CFO!E123+LLA!E123+'C&amp;E'!E123+CES!E123+LLT!E123+GB!E123</f>
        <v>105337.62400000001</v>
      </c>
      <c r="F123" s="7">
        <f>CEO!F123+CS!F123+CFO!F123+LLA!F123+'C&amp;E'!F123+CES!F123+LLT!F123+GB!F123</f>
        <v>105337.62400000001</v>
      </c>
      <c r="G123" s="7">
        <f>CEO!G123+CS!G123+CFO!G123+LLA!G123+'C&amp;E'!G123+CES!G123+LLT!G123+GB!G123</f>
        <v>105337.62400000001</v>
      </c>
      <c r="H123" s="7">
        <f>CEO!H123+CS!H123+CFO!H123+LLA!H123+'C&amp;E'!H123+CES!H123+LLT!H123+GB!H123</f>
        <v>105337.62400000001</v>
      </c>
      <c r="I123" s="7">
        <f>CEO!I123+CS!I123+CFO!I123+LLA!I123+'C&amp;E'!I123+CES!I123+LLT!I123+GB!I123</f>
        <v>105337.62400000001</v>
      </c>
      <c r="J123" s="7">
        <f>CEO!J123+CS!J123+CFO!J123+LLA!J123+'C&amp;E'!J123+CES!J123+LLT!J123+GB!J123</f>
        <v>105337.62400000001</v>
      </c>
      <c r="K123" s="7">
        <f>CEO!K123+CS!K123+CFO!K123+LLA!K123+'C&amp;E'!K123+CES!K123+LLT!K123+GB!K123</f>
        <v>105337.62400000001</v>
      </c>
      <c r="L123" s="7">
        <f>CEO!L123+CS!L123+CFO!L123+LLA!L123+'C&amp;E'!L123+CES!L123+LLT!L123+GB!L123</f>
        <v>105339.62400000001</v>
      </c>
      <c r="M123" s="238" t="s">
        <v>182</v>
      </c>
      <c r="N123" s="7">
        <f t="shared" si="26"/>
        <v>948038.61600000039</v>
      </c>
      <c r="O123" s="7">
        <f t="shared" si="15"/>
        <v>316014.87200000003</v>
      </c>
      <c r="P123" s="7">
        <f t="shared" si="16"/>
        <v>1264053.4880000004</v>
      </c>
      <c r="Q123" s="7">
        <v>1312018.8354</v>
      </c>
      <c r="R123" s="7">
        <f t="shared" si="17"/>
        <v>-47965.34739999962</v>
      </c>
      <c r="S123" s="7"/>
    </row>
    <row r="124" spans="1:19" x14ac:dyDescent="0.3">
      <c r="A124" s="7">
        <f>CEO!A124+CS!A124+CFO!A124+LLA!A124+'C&amp;E'!A124+CES!A124+LLT!A124+GB!A124</f>
        <v>0</v>
      </c>
      <c r="B124" s="7">
        <f>CEO!B124+CS!B124+CFO!B124+LLA!B124+'C&amp;E'!B124+CES!B124+LLT!B124+GB!B124</f>
        <v>0</v>
      </c>
      <c r="C124" s="7">
        <f>CEO!C124+CS!C124+CFO!C124+LLA!C124+'C&amp;E'!C124+CES!C124+LLT!C124+GB!C124</f>
        <v>0</v>
      </c>
      <c r="D124" s="7">
        <f>CEO!D124+CS!D124+CFO!D124+LLA!D124+'C&amp;E'!D124+CES!D124+LLT!D124+GB!D124</f>
        <v>0</v>
      </c>
      <c r="E124" s="7">
        <f>CEO!E124+CS!E124+CFO!E124+LLA!E124+'C&amp;E'!E124+CES!E124+LLT!E124+GB!E124</f>
        <v>0</v>
      </c>
      <c r="F124" s="7">
        <f>CEO!F124+CS!F124+CFO!F124+LLA!F124+'C&amp;E'!F124+CES!F124+LLT!F124+GB!F124</f>
        <v>0</v>
      </c>
      <c r="G124" s="7">
        <f>CEO!G124+CS!G124+CFO!G124+LLA!G124+'C&amp;E'!G124+CES!G124+LLT!G124+GB!G124</f>
        <v>0</v>
      </c>
      <c r="H124" s="7">
        <f>CEO!H124+CS!H124+CFO!H124+LLA!H124+'C&amp;E'!H124+CES!H124+LLT!H124+GB!H124</f>
        <v>0</v>
      </c>
      <c r="I124" s="7">
        <f>CEO!I124+CS!I124+CFO!I124+LLA!I124+'C&amp;E'!I124+CES!I124+LLT!I124+GB!I124</f>
        <v>0</v>
      </c>
      <c r="J124" s="7">
        <f>CEO!J124+CS!J124+CFO!J124+LLA!J124+'C&amp;E'!J124+CES!J124+LLT!J124+GB!J124</f>
        <v>0</v>
      </c>
      <c r="K124" s="7">
        <f>CEO!K124+CS!K124+CFO!K124+LLA!K124+'C&amp;E'!K124+CES!K124+LLT!K124+GB!K124</f>
        <v>0</v>
      </c>
      <c r="L124" s="7">
        <f>CEO!L124+CS!L124+CFO!L124+LLA!L124+'C&amp;E'!L124+CES!L124+LLT!L124+GB!L124</f>
        <v>0</v>
      </c>
      <c r="M124" s="13" t="s">
        <v>183</v>
      </c>
      <c r="N124" s="7">
        <f t="shared" si="26"/>
        <v>0</v>
      </c>
      <c r="O124" s="7">
        <f t="shared" si="15"/>
        <v>0</v>
      </c>
      <c r="P124" s="7">
        <f t="shared" si="16"/>
        <v>0</v>
      </c>
      <c r="Q124" s="7">
        <v>0</v>
      </c>
      <c r="R124" s="7">
        <f t="shared" si="17"/>
        <v>0</v>
      </c>
      <c r="S124" s="7"/>
    </row>
    <row r="125" spans="1:19" x14ac:dyDescent="0.3">
      <c r="A125" s="11">
        <f>CEO!A125+CS!A125+CFO!A125+LLA!A125+'C&amp;E'!A125+CES!A125+LLT!A125+GB!A125</f>
        <v>0</v>
      </c>
      <c r="B125" s="11">
        <f>CEO!B125+CS!B125+CFO!B125+LLA!B125+'C&amp;E'!B125+CES!B125+LLT!B125+GB!B125</f>
        <v>0</v>
      </c>
      <c r="C125" s="11">
        <f>CEO!C125+CS!C125+CFO!C125+LLA!C125+'C&amp;E'!C125+CES!C125+LLT!C125+GB!C125</f>
        <v>0</v>
      </c>
      <c r="D125" s="11">
        <f>CEO!D125+CS!D125+CFO!D125+LLA!D125+'C&amp;E'!D125+CES!D125+LLT!D125+GB!D125</f>
        <v>0</v>
      </c>
      <c r="E125" s="11">
        <f>CEO!E125+CS!E125+CFO!E125+LLA!E125+'C&amp;E'!E125+CES!E125+LLT!E125+GB!E125</f>
        <v>0</v>
      </c>
      <c r="F125" s="11">
        <f>CEO!F125+CS!F125+CFO!F125+LLA!F125+'C&amp;E'!F125+CES!F125+LLT!F125+GB!F125</f>
        <v>0</v>
      </c>
      <c r="G125" s="11">
        <f>CEO!G125+CS!G125+CFO!G125+LLA!G125+'C&amp;E'!G125+CES!G125+LLT!G125+GB!G125</f>
        <v>0</v>
      </c>
      <c r="H125" s="11">
        <f>CEO!H125+CS!H125+CFO!H125+LLA!H125+'C&amp;E'!H125+CES!H125+LLT!H125+GB!H125</f>
        <v>0</v>
      </c>
      <c r="I125" s="11">
        <f>CEO!I125+CS!I125+CFO!I125+LLA!I125+'C&amp;E'!I125+CES!I125+LLT!I125+GB!I125</f>
        <v>0</v>
      </c>
      <c r="J125" s="11">
        <f>CEO!J125+CS!J125+CFO!J125+LLA!J125+'C&amp;E'!J125+CES!J125+LLT!J125+GB!J125</f>
        <v>0</v>
      </c>
      <c r="K125" s="11">
        <f>CEO!K125+CS!K125+CFO!K125+LLA!K125+'C&amp;E'!K125+CES!K125+LLT!K125+GB!K125</f>
        <v>0</v>
      </c>
      <c r="L125" s="11">
        <f>CEO!L125+CS!L125+CFO!L125+LLA!L125+'C&amp;E'!L125+CES!L125+LLT!L125+GB!L125</f>
        <v>0</v>
      </c>
      <c r="M125" s="13" t="s">
        <v>184</v>
      </c>
      <c r="N125" s="11">
        <f t="shared" si="26"/>
        <v>0</v>
      </c>
      <c r="O125" s="11">
        <f t="shared" si="15"/>
        <v>0</v>
      </c>
      <c r="P125" s="11">
        <f t="shared" si="16"/>
        <v>0</v>
      </c>
      <c r="Q125" s="11">
        <v>0</v>
      </c>
      <c r="R125" s="11">
        <f t="shared" si="17"/>
        <v>0</v>
      </c>
      <c r="S125" s="11"/>
    </row>
    <row r="126" spans="1:19" ht="5.4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13"/>
      <c r="N126" s="7">
        <f t="shared" si="18"/>
        <v>0</v>
      </c>
      <c r="O126" s="7">
        <f t="shared" si="15"/>
        <v>0</v>
      </c>
      <c r="P126" s="7">
        <f t="shared" si="16"/>
        <v>0</v>
      </c>
      <c r="Q126" s="7"/>
      <c r="R126" s="7">
        <f t="shared" si="17"/>
        <v>0</v>
      </c>
      <c r="S126" s="7"/>
    </row>
    <row r="127" spans="1:19" x14ac:dyDescent="0.3">
      <c r="A127" s="4">
        <f>SUM(A114:A125)</f>
        <v>184857.52800000002</v>
      </c>
      <c r="B127" s="4">
        <f>SUM(B114:B125)</f>
        <v>184857.52800000002</v>
      </c>
      <c r="C127" s="4">
        <f t="shared" ref="C127:L127" si="27">SUM(C114:C125)</f>
        <v>184857.52800000002</v>
      </c>
      <c r="D127" s="4">
        <f t="shared" si="27"/>
        <v>184857.52800000002</v>
      </c>
      <c r="E127" s="4">
        <f t="shared" si="27"/>
        <v>194146.42800000001</v>
      </c>
      <c r="F127" s="4">
        <f t="shared" si="27"/>
        <v>194146.42800000001</v>
      </c>
      <c r="G127" s="4">
        <f t="shared" si="27"/>
        <v>194146.42800000001</v>
      </c>
      <c r="H127" s="4">
        <f t="shared" si="27"/>
        <v>184857.52800000002</v>
      </c>
      <c r="I127" s="4">
        <f t="shared" si="27"/>
        <v>184857.52800000002</v>
      </c>
      <c r="J127" s="4">
        <f t="shared" si="27"/>
        <v>184857.52800000002</v>
      </c>
      <c r="K127" s="4">
        <f t="shared" si="27"/>
        <v>243090.52800000002</v>
      </c>
      <c r="L127" s="4">
        <f t="shared" si="27"/>
        <v>235306.24800000002</v>
      </c>
      <c r="M127" s="13" t="s">
        <v>185</v>
      </c>
      <c r="N127" s="4">
        <f>SUM(N114:N125)</f>
        <v>1691584.4520000005</v>
      </c>
      <c r="O127" s="4">
        <f>SUM(O114:O125)</f>
        <v>663254.304</v>
      </c>
      <c r="P127" s="4">
        <f t="shared" si="16"/>
        <v>2354838.7560000005</v>
      </c>
      <c r="Q127" s="4">
        <v>1707718.3303999999</v>
      </c>
      <c r="R127" s="4">
        <f t="shared" si="17"/>
        <v>647120.42560000066</v>
      </c>
      <c r="S127" s="4"/>
    </row>
    <row r="128" spans="1:19" ht="5.4" customHeight="1" x14ac:dyDescent="0.3">
      <c r="A128" s="82"/>
      <c r="B128" s="81"/>
      <c r="C128" s="81"/>
      <c r="D128" s="82"/>
      <c r="E128" s="86"/>
      <c r="F128" s="86"/>
      <c r="G128" s="86"/>
      <c r="H128" s="86"/>
      <c r="I128" s="86"/>
      <c r="J128" s="86"/>
      <c r="K128" s="86"/>
      <c r="L128" s="86"/>
      <c r="M128" s="122"/>
      <c r="N128" s="86">
        <f t="shared" si="18"/>
        <v>0</v>
      </c>
      <c r="O128" s="86">
        <f t="shared" si="15"/>
        <v>0</v>
      </c>
      <c r="P128" s="86">
        <f t="shared" si="16"/>
        <v>0</v>
      </c>
      <c r="Q128" s="86"/>
      <c r="R128" s="86">
        <f t="shared" si="17"/>
        <v>0</v>
      </c>
      <c r="S128" s="81"/>
    </row>
    <row r="129" spans="1:19" x14ac:dyDescent="0.3">
      <c r="A129" s="4">
        <f>A112+A127</f>
        <v>4249386.2842691662</v>
      </c>
      <c r="B129" s="4">
        <f>B112+B127</f>
        <v>4665420.8943893788</v>
      </c>
      <c r="C129" s="4">
        <f t="shared" ref="C129:L129" si="28">C112+C127</f>
        <v>4983073.5618336061</v>
      </c>
      <c r="D129" s="4">
        <f t="shared" si="28"/>
        <v>5181042.4647165798</v>
      </c>
      <c r="E129" s="4">
        <f t="shared" si="28"/>
        <v>4718541.1475936072</v>
      </c>
      <c r="F129" s="4">
        <f t="shared" si="28"/>
        <v>4802019.4375136066</v>
      </c>
      <c r="G129" s="4">
        <f>G112+G127</f>
        <v>4573707.5946365809</v>
      </c>
      <c r="H129" s="4" t="e">
        <f t="shared" si="28"/>
        <v>#REF!</v>
      </c>
      <c r="I129" s="4">
        <f t="shared" si="28"/>
        <v>4489942.3442381388</v>
      </c>
      <c r="J129" s="4">
        <f t="shared" si="28"/>
        <v>4516859.1551165795</v>
      </c>
      <c r="K129" s="4">
        <f t="shared" si="28"/>
        <v>4535692.4296155293</v>
      </c>
      <c r="L129" s="4">
        <f t="shared" si="28"/>
        <v>4661484.7546317466</v>
      </c>
      <c r="M129" s="13" t="s">
        <v>186</v>
      </c>
      <c r="N129" s="4" t="e">
        <f>N112+N127</f>
        <v>#REF!</v>
      </c>
      <c r="O129" s="4">
        <f>O112+O127</f>
        <v>13714036.339363856</v>
      </c>
      <c r="P129" s="4" t="e">
        <f t="shared" si="16"/>
        <v>#REF!</v>
      </c>
      <c r="Q129" s="4">
        <v>50996294.068000004</v>
      </c>
      <c r="R129" s="4" t="e">
        <f t="shared" si="17"/>
        <v>#REF!</v>
      </c>
      <c r="S129" s="4"/>
    </row>
    <row r="130" spans="1:19" ht="5.4" customHeight="1" x14ac:dyDescent="0.3">
      <c r="A130" s="81"/>
      <c r="B130" s="81"/>
      <c r="C130" s="81"/>
      <c r="D130" s="82"/>
      <c r="E130" s="81"/>
      <c r="F130" s="81"/>
      <c r="G130" s="81"/>
      <c r="H130" s="81"/>
      <c r="I130" s="81"/>
      <c r="J130" s="81"/>
      <c r="K130" s="81"/>
      <c r="L130" s="81"/>
      <c r="M130" s="122"/>
      <c r="N130" s="81">
        <f t="shared" si="18"/>
        <v>0</v>
      </c>
      <c r="O130" s="81">
        <f t="shared" si="15"/>
        <v>0</v>
      </c>
      <c r="P130" s="81">
        <f t="shared" si="16"/>
        <v>0</v>
      </c>
      <c r="Q130" s="81"/>
      <c r="R130" s="81">
        <f t="shared" si="17"/>
        <v>0</v>
      </c>
      <c r="S130" s="81"/>
    </row>
    <row r="131" spans="1:19" x14ac:dyDescent="0.3">
      <c r="A131" s="8">
        <v>0</v>
      </c>
      <c r="B131" s="8">
        <v>315000</v>
      </c>
      <c r="C131" s="8">
        <v>20000</v>
      </c>
      <c r="D131" s="8"/>
      <c r="E131" s="8">
        <v>104000</v>
      </c>
      <c r="F131" s="8">
        <v>-17000</v>
      </c>
      <c r="G131" s="8">
        <v>182500</v>
      </c>
      <c r="H131" s="8">
        <v>103000</v>
      </c>
      <c r="I131" s="8">
        <v>91000</v>
      </c>
      <c r="J131" s="8">
        <v>91000</v>
      </c>
      <c r="K131" s="8">
        <v>91000</v>
      </c>
      <c r="L131" s="8">
        <v>91000</v>
      </c>
      <c r="M131" s="238" t="s">
        <v>187</v>
      </c>
      <c r="N131" s="8">
        <f>SUM(A131:H131)</f>
        <v>707500</v>
      </c>
      <c r="O131" s="8">
        <f>SUM(J131:L131)</f>
        <v>273000</v>
      </c>
      <c r="P131" s="8">
        <f t="shared" si="16"/>
        <v>980500</v>
      </c>
      <c r="Q131" s="8">
        <v>1492809.5</v>
      </c>
      <c r="R131" s="8">
        <f t="shared" si="17"/>
        <v>-512309.5</v>
      </c>
      <c r="S131" s="8"/>
    </row>
    <row r="132" spans="1:19" x14ac:dyDescent="0.3">
      <c r="A132" s="7">
        <v>124260</v>
      </c>
      <c r="B132" s="7">
        <v>13080</v>
      </c>
      <c r="C132" s="7">
        <v>0</v>
      </c>
      <c r="D132" s="7"/>
      <c r="E132" s="7">
        <v>15260</v>
      </c>
      <c r="F132" s="7">
        <v>7500</v>
      </c>
      <c r="G132" s="7">
        <v>6540</v>
      </c>
      <c r="H132" s="7">
        <v>6540</v>
      </c>
      <c r="I132" s="7">
        <v>0</v>
      </c>
      <c r="J132" s="7">
        <v>0</v>
      </c>
      <c r="K132" s="7">
        <v>0</v>
      </c>
      <c r="L132" s="7">
        <v>0</v>
      </c>
      <c r="M132" s="13" t="s">
        <v>188</v>
      </c>
      <c r="N132" s="7">
        <f t="shared" si="18"/>
        <v>173180</v>
      </c>
      <c r="O132" s="7">
        <f>SUM(J132:L132)</f>
        <v>0</v>
      </c>
      <c r="P132" s="7">
        <f t="shared" si="16"/>
        <v>173180</v>
      </c>
      <c r="Q132" s="7">
        <v>1444233.868</v>
      </c>
      <c r="R132" s="7">
        <f t="shared" si="17"/>
        <v>-1271053.868</v>
      </c>
      <c r="S132" s="7"/>
    </row>
    <row r="133" spans="1:19" x14ac:dyDescent="0.3">
      <c r="A133" s="7">
        <v>2730</v>
      </c>
      <c r="B133" s="7">
        <v>0</v>
      </c>
      <c r="C133" s="7">
        <v>0</v>
      </c>
      <c r="D133" s="7"/>
      <c r="E133" s="7">
        <v>2180</v>
      </c>
      <c r="F133" s="7">
        <v>0</v>
      </c>
      <c r="G133" s="7">
        <v>3545</v>
      </c>
      <c r="H133" s="7">
        <v>0</v>
      </c>
      <c r="I133" s="7">
        <v>2180</v>
      </c>
      <c r="J133" s="7">
        <v>2180</v>
      </c>
      <c r="K133" s="7">
        <v>2180</v>
      </c>
      <c r="L133" s="7">
        <v>2180</v>
      </c>
      <c r="M133" s="13" t="s">
        <v>189</v>
      </c>
      <c r="N133" s="7">
        <f t="shared" si="18"/>
        <v>8455</v>
      </c>
      <c r="O133" s="7">
        <f t="shared" si="15"/>
        <v>6540</v>
      </c>
      <c r="P133" s="7">
        <f t="shared" si="16"/>
        <v>14995</v>
      </c>
      <c r="Q133" s="7">
        <v>3270.0000000000005</v>
      </c>
      <c r="R133" s="7">
        <f t="shared" si="17"/>
        <v>11725</v>
      </c>
      <c r="S133" s="7"/>
    </row>
    <row r="134" spans="1:19" x14ac:dyDescent="0.3">
      <c r="A134" s="7">
        <v>96250</v>
      </c>
      <c r="B134" s="7">
        <v>152845</v>
      </c>
      <c r="C134" s="7">
        <v>35035</v>
      </c>
      <c r="D134" s="7">
        <v>42735</v>
      </c>
      <c r="E134" s="7">
        <v>122815</v>
      </c>
      <c r="F134" s="7">
        <v>190575</v>
      </c>
      <c r="G134" s="7">
        <v>116270</v>
      </c>
      <c r="H134" s="7">
        <v>199815</v>
      </c>
      <c r="I134" s="7">
        <v>116090</v>
      </c>
      <c r="J134" s="7">
        <v>116090</v>
      </c>
      <c r="K134" s="7">
        <v>116090</v>
      </c>
      <c r="L134" s="7">
        <v>116090</v>
      </c>
      <c r="M134" s="238" t="s">
        <v>190</v>
      </c>
      <c r="N134" s="7">
        <f t="shared" si="18"/>
        <v>956340</v>
      </c>
      <c r="O134" s="7">
        <f t="shared" si="15"/>
        <v>348270</v>
      </c>
      <c r="P134" s="7">
        <f t="shared" si="16"/>
        <v>1304610</v>
      </c>
      <c r="Q134" s="7">
        <v>987512.75000000012</v>
      </c>
      <c r="R134" s="7">
        <f t="shared" si="17"/>
        <v>317097.24999999988</v>
      </c>
      <c r="S134" s="7"/>
    </row>
    <row r="135" spans="1:19" x14ac:dyDescent="0.3">
      <c r="A135" s="7">
        <v>0</v>
      </c>
      <c r="B135" s="7"/>
      <c r="C135" s="7">
        <v>0</v>
      </c>
      <c r="D135" s="7"/>
      <c r="E135" s="7"/>
      <c r="F135" s="7">
        <v>0</v>
      </c>
      <c r="G135" s="7"/>
      <c r="H135" s="7"/>
      <c r="I135" s="7"/>
      <c r="J135" s="7"/>
      <c r="K135" s="7"/>
      <c r="L135" s="7"/>
      <c r="M135" s="13" t="s">
        <v>191</v>
      </c>
      <c r="N135" s="7">
        <f t="shared" si="18"/>
        <v>0</v>
      </c>
      <c r="O135" s="7">
        <f t="shared" si="15"/>
        <v>0</v>
      </c>
      <c r="P135" s="7">
        <f t="shared" si="16"/>
        <v>0</v>
      </c>
      <c r="Q135" s="7">
        <v>30629.000000000004</v>
      </c>
      <c r="R135" s="7">
        <f t="shared" si="17"/>
        <v>-30629.000000000004</v>
      </c>
      <c r="S135" s="7"/>
    </row>
    <row r="136" spans="1:19" x14ac:dyDescent="0.3">
      <c r="A136" s="7">
        <v>1330</v>
      </c>
      <c r="B136" s="7">
        <v>4190</v>
      </c>
      <c r="C136" s="7">
        <v>3565.8</v>
      </c>
      <c r="D136" s="7">
        <v>5060</v>
      </c>
      <c r="E136" s="7">
        <v>4840</v>
      </c>
      <c r="F136" s="7">
        <v>3190</v>
      </c>
      <c r="G136" s="7">
        <v>3850</v>
      </c>
      <c r="H136" s="7">
        <v>3300</v>
      </c>
      <c r="I136" s="7">
        <v>1940</v>
      </c>
      <c r="J136" s="7">
        <v>1940</v>
      </c>
      <c r="K136" s="7">
        <v>1940</v>
      </c>
      <c r="L136" s="7">
        <v>1940</v>
      </c>
      <c r="M136" s="13" t="s">
        <v>192</v>
      </c>
      <c r="N136" s="7">
        <f t="shared" ref="N136:N171" si="29">SUM(A136:H136)</f>
        <v>29325.8</v>
      </c>
      <c r="O136" s="7">
        <f t="shared" ref="O136:O172" si="30">SUM(J136:L136)</f>
        <v>5820</v>
      </c>
      <c r="P136" s="7">
        <f t="shared" ref="P136:P172" si="31">SUM(N136:O136)</f>
        <v>35145.800000000003</v>
      </c>
      <c r="Q136" s="7">
        <v>63258.15</v>
      </c>
      <c r="R136" s="7">
        <f t="shared" ref="R136:R172" si="32">P136-Q136</f>
        <v>-28112.35</v>
      </c>
      <c r="S136" s="7"/>
    </row>
    <row r="137" spans="1:19" x14ac:dyDescent="0.3">
      <c r="A137" s="7">
        <v>68200</v>
      </c>
      <c r="B137" s="7">
        <v>109935</v>
      </c>
      <c r="C137" s="7">
        <v>101215</v>
      </c>
      <c r="D137" s="7">
        <v>109935</v>
      </c>
      <c r="E137" s="7">
        <v>133985</v>
      </c>
      <c r="F137" s="7">
        <v>108570</v>
      </c>
      <c r="G137" s="7">
        <v>75035</v>
      </c>
      <c r="H137" s="7">
        <v>85595</v>
      </c>
      <c r="I137" s="7">
        <v>30925</v>
      </c>
      <c r="J137" s="7">
        <v>30925</v>
      </c>
      <c r="K137" s="7">
        <v>30925</v>
      </c>
      <c r="L137" s="7">
        <v>30925</v>
      </c>
      <c r="M137" s="238" t="s">
        <v>193</v>
      </c>
      <c r="N137" s="7">
        <f t="shared" si="29"/>
        <v>792470</v>
      </c>
      <c r="O137" s="7">
        <f t="shared" si="30"/>
        <v>92775</v>
      </c>
      <c r="P137" s="7">
        <f t="shared" si="31"/>
        <v>885245</v>
      </c>
      <c r="Q137" s="7">
        <v>1343664.8</v>
      </c>
      <c r="R137" s="7">
        <f t="shared" si="32"/>
        <v>-458419.80000000005</v>
      </c>
      <c r="S137" s="7"/>
    </row>
    <row r="138" spans="1:19" x14ac:dyDescent="0.3">
      <c r="A138" s="7">
        <v>2130</v>
      </c>
      <c r="B138" s="7">
        <v>0</v>
      </c>
      <c r="C138" s="7">
        <v>0</v>
      </c>
      <c r="D138" s="7">
        <v>0</v>
      </c>
      <c r="E138" s="7">
        <v>0</v>
      </c>
      <c r="F138" s="7">
        <v>0</v>
      </c>
      <c r="G138" s="7"/>
      <c r="H138" s="7"/>
      <c r="I138" s="7"/>
      <c r="J138" s="7"/>
      <c r="K138" s="7"/>
      <c r="L138" s="7"/>
      <c r="M138" s="13" t="s">
        <v>194</v>
      </c>
      <c r="N138" s="7">
        <f t="shared" si="29"/>
        <v>2130</v>
      </c>
      <c r="O138" s="7">
        <f t="shared" si="30"/>
        <v>0</v>
      </c>
      <c r="P138" s="7">
        <f t="shared" si="31"/>
        <v>2130</v>
      </c>
      <c r="Q138" s="7">
        <v>0</v>
      </c>
      <c r="R138" s="7">
        <f t="shared" si="32"/>
        <v>2130</v>
      </c>
      <c r="S138" s="7"/>
    </row>
    <row r="139" spans="1:19" x14ac:dyDescent="0.3">
      <c r="A139" s="7">
        <v>1365</v>
      </c>
      <c r="B139" s="7">
        <v>3550</v>
      </c>
      <c r="C139" s="7">
        <v>4910</v>
      </c>
      <c r="D139" s="7">
        <v>60</v>
      </c>
      <c r="E139" s="7">
        <v>2130</v>
      </c>
      <c r="F139" s="7">
        <v>1155</v>
      </c>
      <c r="G139" s="7">
        <v>710</v>
      </c>
      <c r="H139" s="7">
        <v>2840</v>
      </c>
      <c r="I139" s="7">
        <v>2210</v>
      </c>
      <c r="J139" s="7">
        <v>2210</v>
      </c>
      <c r="K139" s="7">
        <v>2210</v>
      </c>
      <c r="L139" s="7">
        <v>2210</v>
      </c>
      <c r="M139" s="13" t="s">
        <v>195</v>
      </c>
      <c r="N139" s="7">
        <f t="shared" si="29"/>
        <v>16720</v>
      </c>
      <c r="O139" s="7">
        <f t="shared" si="30"/>
        <v>6630</v>
      </c>
      <c r="P139" s="7">
        <f t="shared" si="31"/>
        <v>23350</v>
      </c>
      <c r="Q139" s="7">
        <v>36994.600000000006</v>
      </c>
      <c r="R139" s="7">
        <f t="shared" si="32"/>
        <v>-13644.600000000006</v>
      </c>
      <c r="S139" s="7"/>
    </row>
    <row r="140" spans="1:19" x14ac:dyDescent="0.3">
      <c r="A140" s="7">
        <v>10430</v>
      </c>
      <c r="B140" s="7">
        <v>4095</v>
      </c>
      <c r="C140" s="7">
        <v>1365</v>
      </c>
      <c r="D140" s="7">
        <v>0</v>
      </c>
      <c r="E140" s="7">
        <v>6825</v>
      </c>
      <c r="F140" s="7">
        <v>1365</v>
      </c>
      <c r="G140" s="7">
        <v>7825</v>
      </c>
      <c r="H140" s="7">
        <v>1000</v>
      </c>
      <c r="I140" s="7">
        <v>5530</v>
      </c>
      <c r="J140" s="7">
        <v>5530</v>
      </c>
      <c r="K140" s="7">
        <v>5530</v>
      </c>
      <c r="L140" s="7">
        <v>5530</v>
      </c>
      <c r="M140" s="238" t="s">
        <v>196</v>
      </c>
      <c r="N140" s="7">
        <f t="shared" si="29"/>
        <v>32905</v>
      </c>
      <c r="O140" s="7">
        <f t="shared" si="30"/>
        <v>16590</v>
      </c>
      <c r="P140" s="7">
        <f t="shared" si="31"/>
        <v>49495</v>
      </c>
      <c r="Q140" s="7">
        <v>30552.7</v>
      </c>
      <c r="R140" s="7">
        <f t="shared" si="32"/>
        <v>18942.3</v>
      </c>
      <c r="S140" s="7"/>
    </row>
    <row r="141" spans="1:19" x14ac:dyDescent="0.3">
      <c r="A141" s="7">
        <v>14260</v>
      </c>
      <c r="B141" s="7">
        <v>16940</v>
      </c>
      <c r="C141" s="7">
        <v>18095</v>
      </c>
      <c r="D141" s="7">
        <v>13475</v>
      </c>
      <c r="E141" s="7">
        <v>20020</v>
      </c>
      <c r="F141" s="7">
        <v>15680</v>
      </c>
      <c r="G141" s="7">
        <v>13475</v>
      </c>
      <c r="H141" s="7">
        <v>17325</v>
      </c>
      <c r="I141" s="7">
        <v>14560</v>
      </c>
      <c r="J141" s="7">
        <v>14560</v>
      </c>
      <c r="K141" s="7">
        <v>14560</v>
      </c>
      <c r="L141" s="7">
        <v>14560</v>
      </c>
      <c r="M141" s="13" t="s">
        <v>197</v>
      </c>
      <c r="N141" s="7">
        <f t="shared" si="29"/>
        <v>129270</v>
      </c>
      <c r="O141" s="7">
        <f t="shared" si="30"/>
        <v>43680</v>
      </c>
      <c r="P141" s="7">
        <f t="shared" si="31"/>
        <v>172950</v>
      </c>
      <c r="Q141" s="7">
        <v>150158.40000000002</v>
      </c>
      <c r="R141" s="7">
        <f t="shared" si="32"/>
        <v>22791.599999999977</v>
      </c>
      <c r="S141" s="7"/>
    </row>
    <row r="142" spans="1:19" x14ac:dyDescent="0.3">
      <c r="A142" s="7">
        <v>1850</v>
      </c>
      <c r="B142" s="7">
        <v>13490</v>
      </c>
      <c r="C142" s="7">
        <v>16330</v>
      </c>
      <c r="D142" s="7">
        <v>17040</v>
      </c>
      <c r="E142" s="7">
        <v>29110</v>
      </c>
      <c r="F142" s="7">
        <v>27690</v>
      </c>
      <c r="G142" s="7">
        <v>23430</v>
      </c>
      <c r="H142" s="7">
        <v>18460</v>
      </c>
      <c r="I142" s="7">
        <v>13500</v>
      </c>
      <c r="J142" s="7">
        <v>13500</v>
      </c>
      <c r="K142" s="7">
        <v>13500</v>
      </c>
      <c r="L142" s="7">
        <v>13500</v>
      </c>
      <c r="M142" s="13" t="s">
        <v>198</v>
      </c>
      <c r="N142" s="7">
        <f t="shared" si="29"/>
        <v>147400</v>
      </c>
      <c r="O142" s="7">
        <f t="shared" si="30"/>
        <v>40500</v>
      </c>
      <c r="P142" s="7">
        <f t="shared" si="31"/>
        <v>187900</v>
      </c>
      <c r="Q142" s="7">
        <v>129949.8</v>
      </c>
      <c r="R142" s="7">
        <f t="shared" si="32"/>
        <v>57950.2</v>
      </c>
      <c r="S142" s="7"/>
    </row>
    <row r="143" spans="1:19" x14ac:dyDescent="0.3">
      <c r="A143" s="7">
        <v>1420</v>
      </c>
      <c r="B143" s="7">
        <v>3470</v>
      </c>
      <c r="C143" s="7">
        <v>1150</v>
      </c>
      <c r="D143" s="7">
        <v>2280</v>
      </c>
      <c r="E143" s="7">
        <v>1850</v>
      </c>
      <c r="F143" s="7">
        <v>880</v>
      </c>
      <c r="G143" s="7">
        <v>1530</v>
      </c>
      <c r="H143" s="7">
        <v>3010</v>
      </c>
      <c r="I143" s="7">
        <v>230</v>
      </c>
      <c r="J143" s="7">
        <v>230</v>
      </c>
      <c r="K143" s="7">
        <v>230</v>
      </c>
      <c r="L143" s="7">
        <v>230</v>
      </c>
      <c r="M143" s="238" t="s">
        <v>199</v>
      </c>
      <c r="N143" s="7">
        <f t="shared" si="29"/>
        <v>15590</v>
      </c>
      <c r="O143" s="7">
        <f t="shared" si="30"/>
        <v>690</v>
      </c>
      <c r="P143" s="7">
        <f t="shared" si="31"/>
        <v>16280</v>
      </c>
      <c r="Q143" s="7">
        <v>23118.9</v>
      </c>
      <c r="R143" s="7">
        <f t="shared" si="32"/>
        <v>-6838.9000000000015</v>
      </c>
      <c r="S143" s="7"/>
    </row>
    <row r="144" spans="1:19" x14ac:dyDescent="0.3">
      <c r="A144" s="7">
        <v>9660</v>
      </c>
      <c r="B144" s="7">
        <v>2130</v>
      </c>
      <c r="C144" s="7">
        <v>4260</v>
      </c>
      <c r="D144" s="7">
        <v>1420</v>
      </c>
      <c r="E144" s="7">
        <v>710</v>
      </c>
      <c r="F144" s="7">
        <v>1420</v>
      </c>
      <c r="G144" s="7">
        <v>3550</v>
      </c>
      <c r="H144" s="7">
        <v>2130</v>
      </c>
      <c r="I144" s="7">
        <v>3000</v>
      </c>
      <c r="J144" s="7">
        <v>3000</v>
      </c>
      <c r="K144" s="7">
        <v>3000</v>
      </c>
      <c r="L144" s="7">
        <v>3000</v>
      </c>
      <c r="M144" s="13" t="s">
        <v>200</v>
      </c>
      <c r="N144" s="7">
        <f t="shared" si="29"/>
        <v>25280</v>
      </c>
      <c r="O144" s="7">
        <f t="shared" si="30"/>
        <v>9000</v>
      </c>
      <c r="P144" s="7">
        <f t="shared" si="31"/>
        <v>34280</v>
      </c>
      <c r="Q144" s="7">
        <v>4447.2000000000007</v>
      </c>
      <c r="R144" s="7">
        <f t="shared" si="32"/>
        <v>29832.799999999999</v>
      </c>
      <c r="S144" s="7"/>
    </row>
    <row r="145" spans="1:19" x14ac:dyDescent="0.3">
      <c r="A145" s="7">
        <v>3550</v>
      </c>
      <c r="B145" s="7">
        <v>16555</v>
      </c>
      <c r="C145" s="7">
        <v>14630</v>
      </c>
      <c r="D145" s="7">
        <v>12320</v>
      </c>
      <c r="E145" s="7">
        <v>17325</v>
      </c>
      <c r="F145" s="7">
        <v>13405</v>
      </c>
      <c r="G145" s="7">
        <v>11936</v>
      </c>
      <c r="H145" s="7">
        <v>15785</v>
      </c>
      <c r="I145" s="7">
        <v>12130</v>
      </c>
      <c r="J145" s="7">
        <v>12130</v>
      </c>
      <c r="K145" s="7">
        <v>12130</v>
      </c>
      <c r="L145" s="7">
        <v>12130</v>
      </c>
      <c r="M145" s="13" t="s">
        <v>201</v>
      </c>
      <c r="N145" s="7">
        <f t="shared" si="29"/>
        <v>105506</v>
      </c>
      <c r="O145" s="7">
        <f t="shared" si="30"/>
        <v>36390</v>
      </c>
      <c r="P145" s="7">
        <f t="shared" si="31"/>
        <v>141896</v>
      </c>
      <c r="Q145" s="7">
        <v>131966.30000000002</v>
      </c>
      <c r="R145" s="7">
        <f t="shared" si="32"/>
        <v>9929.6999999999825</v>
      </c>
      <c r="S145" s="7"/>
    </row>
    <row r="146" spans="1:19" x14ac:dyDescent="0.3">
      <c r="A146" s="7">
        <v>0</v>
      </c>
      <c r="B146" s="7">
        <v>6390</v>
      </c>
      <c r="C146" s="7">
        <v>5680</v>
      </c>
      <c r="D146" s="7">
        <v>6390</v>
      </c>
      <c r="E146" s="7">
        <v>34080</v>
      </c>
      <c r="F146" s="7">
        <v>7160</v>
      </c>
      <c r="G146" s="7">
        <v>22720</v>
      </c>
      <c r="H146" s="7">
        <v>10650</v>
      </c>
      <c r="I146" s="7">
        <v>6000</v>
      </c>
      <c r="J146" s="7">
        <v>6000</v>
      </c>
      <c r="K146" s="7">
        <v>6000</v>
      </c>
      <c r="L146" s="7">
        <v>6000</v>
      </c>
      <c r="M146" s="238" t="s">
        <v>202</v>
      </c>
      <c r="N146" s="7">
        <f t="shared" si="29"/>
        <v>93070</v>
      </c>
      <c r="O146" s="7">
        <f t="shared" si="30"/>
        <v>18000</v>
      </c>
      <c r="P146" s="7">
        <f t="shared" si="31"/>
        <v>111070</v>
      </c>
      <c r="Q146" s="7">
        <v>74697.700000000012</v>
      </c>
      <c r="R146" s="7">
        <f t="shared" si="32"/>
        <v>36372.299999999988</v>
      </c>
      <c r="S146" s="7"/>
    </row>
    <row r="147" spans="1:19" x14ac:dyDescent="0.3">
      <c r="A147" s="7">
        <v>0</v>
      </c>
      <c r="B147" s="7"/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/>
      <c r="J147" s="7"/>
      <c r="K147" s="7"/>
      <c r="L147" s="7"/>
      <c r="M147" s="13" t="s">
        <v>203</v>
      </c>
      <c r="N147" s="7">
        <f t="shared" si="29"/>
        <v>0</v>
      </c>
      <c r="O147" s="7">
        <f t="shared" si="30"/>
        <v>0</v>
      </c>
      <c r="P147" s="7">
        <f t="shared" si="31"/>
        <v>0</v>
      </c>
      <c r="Q147" s="7">
        <v>2098.25</v>
      </c>
      <c r="R147" s="7">
        <f t="shared" si="32"/>
        <v>-2098.25</v>
      </c>
      <c r="S147" s="7"/>
    </row>
    <row r="148" spans="1:19" x14ac:dyDescent="0.3">
      <c r="A148" s="7">
        <v>0</v>
      </c>
      <c r="B148" s="7">
        <v>1540</v>
      </c>
      <c r="C148" s="7">
        <v>1540</v>
      </c>
      <c r="D148" s="7">
        <v>770</v>
      </c>
      <c r="E148" s="7">
        <v>385</v>
      </c>
      <c r="F148" s="7">
        <v>770</v>
      </c>
      <c r="G148" s="7">
        <v>385</v>
      </c>
      <c r="H148" s="7">
        <v>770</v>
      </c>
      <c r="I148" s="7">
        <v>405</v>
      </c>
      <c r="J148" s="7">
        <v>405</v>
      </c>
      <c r="K148" s="7">
        <v>405</v>
      </c>
      <c r="L148" s="7">
        <v>405</v>
      </c>
      <c r="M148" s="13" t="s">
        <v>204</v>
      </c>
      <c r="N148" s="7">
        <f t="shared" si="29"/>
        <v>6160</v>
      </c>
      <c r="O148" s="7">
        <f t="shared" si="30"/>
        <v>1215</v>
      </c>
      <c r="P148" s="7">
        <f t="shared" si="31"/>
        <v>7375</v>
      </c>
      <c r="Q148" s="7">
        <v>6223.9000000000005</v>
      </c>
      <c r="R148" s="7">
        <f t="shared" si="32"/>
        <v>1151.0999999999995</v>
      </c>
      <c r="S148" s="7"/>
    </row>
    <row r="149" spans="1:19" x14ac:dyDescent="0.3">
      <c r="A149" s="7">
        <v>0</v>
      </c>
      <c r="B149" s="7">
        <v>0</v>
      </c>
      <c r="C149" s="7">
        <v>0</v>
      </c>
      <c r="D149" s="7">
        <v>0</v>
      </c>
      <c r="E149" s="7">
        <v>385</v>
      </c>
      <c r="F149" s="7">
        <v>0</v>
      </c>
      <c r="G149" s="7">
        <v>0</v>
      </c>
      <c r="H149" s="7"/>
      <c r="I149" s="7">
        <v>385</v>
      </c>
      <c r="J149" s="7">
        <v>385</v>
      </c>
      <c r="K149" s="7">
        <v>385</v>
      </c>
      <c r="L149" s="7">
        <v>385</v>
      </c>
      <c r="M149" s="238" t="s">
        <v>205</v>
      </c>
      <c r="N149" s="7">
        <f t="shared" si="29"/>
        <v>385</v>
      </c>
      <c r="O149" s="7">
        <f t="shared" si="30"/>
        <v>1155</v>
      </c>
      <c r="P149" s="7">
        <f t="shared" si="31"/>
        <v>1540</v>
      </c>
      <c r="Q149" s="7">
        <v>3444.4</v>
      </c>
      <c r="R149" s="7">
        <f t="shared" si="32"/>
        <v>-1904.4</v>
      </c>
      <c r="S149" s="7"/>
    </row>
    <row r="150" spans="1:19" x14ac:dyDescent="0.3">
      <c r="A150" s="7">
        <v>0</v>
      </c>
      <c r="B150" s="7"/>
      <c r="C150" s="7"/>
      <c r="D150" s="7">
        <v>0</v>
      </c>
      <c r="E150" s="7"/>
      <c r="F150" s="7">
        <v>0</v>
      </c>
      <c r="G150" s="7">
        <v>0</v>
      </c>
      <c r="H150" s="7"/>
      <c r="I150" s="7"/>
      <c r="J150" s="7"/>
      <c r="K150" s="7"/>
      <c r="L150" s="7"/>
      <c r="M150" s="13" t="s">
        <v>206</v>
      </c>
      <c r="N150" s="7">
        <f t="shared" si="29"/>
        <v>0</v>
      </c>
      <c r="O150" s="7">
        <f t="shared" si="30"/>
        <v>0</v>
      </c>
      <c r="P150" s="7">
        <f t="shared" si="31"/>
        <v>0</v>
      </c>
      <c r="Q150" s="7">
        <v>0</v>
      </c>
      <c r="R150" s="7">
        <f t="shared" si="32"/>
        <v>0</v>
      </c>
      <c r="S150" s="7"/>
    </row>
    <row r="151" spans="1:19" x14ac:dyDescent="0.3">
      <c r="A151" s="7">
        <v>0</v>
      </c>
      <c r="B151" s="7"/>
      <c r="C151" s="7"/>
      <c r="D151" s="7">
        <v>0</v>
      </c>
      <c r="E151" s="7"/>
      <c r="F151" s="7">
        <v>0</v>
      </c>
      <c r="G151" s="7">
        <v>0</v>
      </c>
      <c r="H151" s="7"/>
      <c r="I151" s="7"/>
      <c r="J151" s="7"/>
      <c r="K151" s="7"/>
      <c r="L151" s="7"/>
      <c r="M151" s="13" t="s">
        <v>207</v>
      </c>
      <c r="N151" s="7">
        <f t="shared" si="29"/>
        <v>0</v>
      </c>
      <c r="O151" s="7">
        <f t="shared" si="30"/>
        <v>0</v>
      </c>
      <c r="P151" s="7">
        <f t="shared" si="31"/>
        <v>0</v>
      </c>
      <c r="Q151" s="7">
        <v>2321.7000000000003</v>
      </c>
      <c r="R151" s="7">
        <f t="shared" si="32"/>
        <v>-2321.7000000000003</v>
      </c>
      <c r="S151" s="7"/>
    </row>
    <row r="152" spans="1:19" x14ac:dyDescent="0.3">
      <c r="A152" s="7">
        <v>0</v>
      </c>
      <c r="B152" s="7"/>
      <c r="C152" s="7"/>
      <c r="D152" s="7">
        <v>0</v>
      </c>
      <c r="E152" s="7"/>
      <c r="F152" s="7">
        <v>0</v>
      </c>
      <c r="G152" s="7">
        <v>0</v>
      </c>
      <c r="H152" s="7"/>
      <c r="I152" s="7"/>
      <c r="J152" s="7"/>
      <c r="K152" s="7"/>
      <c r="L152" s="7"/>
      <c r="M152" s="238" t="s">
        <v>208</v>
      </c>
      <c r="N152" s="7">
        <f t="shared" si="29"/>
        <v>0</v>
      </c>
      <c r="O152" s="7">
        <f t="shared" si="30"/>
        <v>0</v>
      </c>
      <c r="P152" s="7">
        <f t="shared" si="31"/>
        <v>0</v>
      </c>
      <c r="Q152" s="7">
        <v>2964.8</v>
      </c>
      <c r="R152" s="7">
        <f t="shared" si="32"/>
        <v>-2964.8</v>
      </c>
      <c r="S152" s="7"/>
    </row>
    <row r="153" spans="1:19" x14ac:dyDescent="0.3">
      <c r="A153" s="7">
        <v>1540</v>
      </c>
      <c r="B153" s="7">
        <v>2695</v>
      </c>
      <c r="C153" s="7">
        <v>1925</v>
      </c>
      <c r="D153" s="7">
        <v>2695</v>
      </c>
      <c r="E153" s="7">
        <v>2695</v>
      </c>
      <c r="F153" s="7">
        <v>1155</v>
      </c>
      <c r="G153" s="7">
        <v>1540</v>
      </c>
      <c r="H153" s="7">
        <v>1540</v>
      </c>
      <c r="I153" s="7"/>
      <c r="J153" s="7"/>
      <c r="K153" s="7"/>
      <c r="L153" s="7"/>
      <c r="M153" s="13" t="s">
        <v>209</v>
      </c>
      <c r="N153" s="7">
        <f t="shared" si="29"/>
        <v>15785</v>
      </c>
      <c r="O153" s="7">
        <f t="shared" si="30"/>
        <v>0</v>
      </c>
      <c r="P153" s="7">
        <f t="shared" si="31"/>
        <v>15785</v>
      </c>
      <c r="Q153" s="7">
        <v>29604.400000000001</v>
      </c>
      <c r="R153" s="7">
        <f t="shared" si="32"/>
        <v>-13819.400000000001</v>
      </c>
      <c r="S153" s="7"/>
    </row>
    <row r="154" spans="1:19" x14ac:dyDescent="0.3">
      <c r="A154" s="7">
        <v>710</v>
      </c>
      <c r="B154" s="7">
        <v>2130</v>
      </c>
      <c r="C154" s="7">
        <v>2130</v>
      </c>
      <c r="D154" s="7">
        <v>4260</v>
      </c>
      <c r="E154" s="7">
        <v>5620</v>
      </c>
      <c r="F154" s="7">
        <v>2130</v>
      </c>
      <c r="G154" s="7">
        <v>6330</v>
      </c>
      <c r="H154" s="7">
        <v>5680</v>
      </c>
      <c r="I154" s="7">
        <v>710</v>
      </c>
      <c r="J154" s="7">
        <v>710</v>
      </c>
      <c r="K154" s="7">
        <v>710</v>
      </c>
      <c r="L154" s="7">
        <v>710</v>
      </c>
      <c r="M154" s="13" t="s">
        <v>210</v>
      </c>
      <c r="N154" s="7">
        <f t="shared" si="29"/>
        <v>28990</v>
      </c>
      <c r="O154" s="7">
        <f t="shared" si="30"/>
        <v>2130</v>
      </c>
      <c r="P154" s="7">
        <f t="shared" si="31"/>
        <v>31120</v>
      </c>
      <c r="Q154" s="7">
        <v>47033.5</v>
      </c>
      <c r="R154" s="7">
        <f t="shared" si="32"/>
        <v>-15913.5</v>
      </c>
      <c r="S154" s="7"/>
    </row>
    <row r="155" spans="1:19" x14ac:dyDescent="0.3">
      <c r="A155" s="7">
        <v>80660</v>
      </c>
      <c r="B155" s="7">
        <v>79980</v>
      </c>
      <c r="C155" s="7">
        <v>74120</v>
      </c>
      <c r="D155" s="7">
        <v>133120</v>
      </c>
      <c r="E155" s="7">
        <v>154780</v>
      </c>
      <c r="F155" s="7">
        <v>67580</v>
      </c>
      <c r="G155" s="7">
        <v>102280</v>
      </c>
      <c r="H155" s="7">
        <v>93060</v>
      </c>
      <c r="I155" s="7">
        <v>37865</v>
      </c>
      <c r="J155" s="7">
        <v>37865</v>
      </c>
      <c r="K155" s="7">
        <v>37865</v>
      </c>
      <c r="L155" s="7">
        <v>37865</v>
      </c>
      <c r="M155" s="238" t="s">
        <v>211</v>
      </c>
      <c r="N155" s="7">
        <f t="shared" si="29"/>
        <v>785580</v>
      </c>
      <c r="O155" s="7">
        <f t="shared" si="30"/>
        <v>113595</v>
      </c>
      <c r="P155" s="7">
        <f t="shared" si="31"/>
        <v>899175</v>
      </c>
      <c r="Q155" s="7">
        <v>330607.90000000002</v>
      </c>
      <c r="R155" s="7">
        <f t="shared" si="32"/>
        <v>568567.1</v>
      </c>
      <c r="S155" s="7"/>
    </row>
    <row r="156" spans="1:19" x14ac:dyDescent="0.3">
      <c r="A156" s="7">
        <v>164780</v>
      </c>
      <c r="B156" s="7">
        <v>172275</v>
      </c>
      <c r="C156" s="7">
        <v>90590</v>
      </c>
      <c r="D156" s="7">
        <v>137500</v>
      </c>
      <c r="E156" s="7">
        <v>148915</v>
      </c>
      <c r="F156" s="7">
        <v>141845</v>
      </c>
      <c r="G156" s="7">
        <v>171875</v>
      </c>
      <c r="H156" s="7">
        <v>225595</v>
      </c>
      <c r="I156" s="7">
        <v>354245</v>
      </c>
      <c r="J156" s="7">
        <v>354245</v>
      </c>
      <c r="K156" s="7">
        <v>354245</v>
      </c>
      <c r="L156" s="7">
        <v>354245</v>
      </c>
      <c r="M156" s="13" t="s">
        <v>212</v>
      </c>
      <c r="N156" s="7">
        <f t="shared" si="29"/>
        <v>1253375</v>
      </c>
      <c r="O156" s="7">
        <f t="shared" si="30"/>
        <v>1062735</v>
      </c>
      <c r="P156" s="7">
        <f t="shared" si="31"/>
        <v>2316110</v>
      </c>
      <c r="Q156" s="7">
        <v>944866.50000000012</v>
      </c>
      <c r="R156" s="7">
        <f t="shared" si="32"/>
        <v>1371243.5</v>
      </c>
      <c r="S156" s="7"/>
    </row>
    <row r="157" spans="1:19" x14ac:dyDescent="0.3">
      <c r="A157" s="7">
        <v>21840</v>
      </c>
      <c r="B157" s="7">
        <v>83985</v>
      </c>
      <c r="C157" s="7">
        <v>72885</v>
      </c>
      <c r="D157" s="7">
        <v>45390</v>
      </c>
      <c r="E157" s="7">
        <v>97510</v>
      </c>
      <c r="F157" s="7">
        <v>37260</v>
      </c>
      <c r="G157" s="7">
        <v>98335</v>
      </c>
      <c r="H157" s="7">
        <v>50140</v>
      </c>
      <c r="I157" s="7">
        <v>28735</v>
      </c>
      <c r="J157" s="7">
        <v>28735</v>
      </c>
      <c r="K157" s="7">
        <v>28735</v>
      </c>
      <c r="L157" s="7">
        <v>28735</v>
      </c>
      <c r="M157" s="13" t="s">
        <v>213</v>
      </c>
      <c r="N157" s="7">
        <f t="shared" si="29"/>
        <v>507345</v>
      </c>
      <c r="O157" s="7">
        <f t="shared" si="30"/>
        <v>86205</v>
      </c>
      <c r="P157" s="7">
        <f t="shared" si="31"/>
        <v>593550</v>
      </c>
      <c r="Q157" s="7">
        <v>482183.30000000005</v>
      </c>
      <c r="R157" s="7">
        <f t="shared" si="32"/>
        <v>111366.69999999995</v>
      </c>
      <c r="S157" s="7"/>
    </row>
    <row r="158" spans="1:19" x14ac:dyDescent="0.3">
      <c r="A158" s="7">
        <v>24255</v>
      </c>
      <c r="B158" s="7">
        <v>29260</v>
      </c>
      <c r="C158" s="7">
        <v>23870</v>
      </c>
      <c r="D158" s="7">
        <v>43120</v>
      </c>
      <c r="E158" s="7">
        <v>42600</v>
      </c>
      <c r="F158" s="7">
        <v>61405</v>
      </c>
      <c r="G158" s="7">
        <v>52360</v>
      </c>
      <c r="H158" s="7">
        <v>40040</v>
      </c>
      <c r="I158" s="7">
        <v>25700</v>
      </c>
      <c r="J158" s="7">
        <v>25700</v>
      </c>
      <c r="K158" s="7">
        <v>25700</v>
      </c>
      <c r="L158" s="7">
        <v>25700</v>
      </c>
      <c r="M158" s="238" t="s">
        <v>214</v>
      </c>
      <c r="N158" s="7">
        <f t="shared" si="29"/>
        <v>316910</v>
      </c>
      <c r="O158" s="7">
        <f t="shared" si="30"/>
        <v>77100</v>
      </c>
      <c r="P158" s="7">
        <f t="shared" si="31"/>
        <v>394010</v>
      </c>
      <c r="Q158" s="7">
        <v>355819.60000000003</v>
      </c>
      <c r="R158" s="7">
        <f t="shared" si="32"/>
        <v>38190.399999999965</v>
      </c>
      <c r="S158" s="7"/>
    </row>
    <row r="159" spans="1:19" x14ac:dyDescent="0.3">
      <c r="A159" s="7">
        <v>4260</v>
      </c>
      <c r="B159" s="7">
        <v>11240</v>
      </c>
      <c r="C159" s="7">
        <v>710</v>
      </c>
      <c r="D159" s="7">
        <v>8520</v>
      </c>
      <c r="E159" s="7">
        <v>5680</v>
      </c>
      <c r="F159" s="7">
        <v>1420</v>
      </c>
      <c r="G159" s="7">
        <v>2840</v>
      </c>
      <c r="H159" s="7">
        <v>710</v>
      </c>
      <c r="I159" s="7">
        <v>0</v>
      </c>
      <c r="J159" s="7">
        <v>0</v>
      </c>
      <c r="K159" s="7">
        <v>0</v>
      </c>
      <c r="L159" s="7">
        <v>0</v>
      </c>
      <c r="M159" s="13" t="s">
        <v>215</v>
      </c>
      <c r="N159" s="7">
        <f t="shared" si="29"/>
        <v>35380</v>
      </c>
      <c r="O159" s="7">
        <f t="shared" si="30"/>
        <v>0</v>
      </c>
      <c r="P159" s="7">
        <f t="shared" si="31"/>
        <v>35380</v>
      </c>
      <c r="Q159" s="7">
        <v>92688.150000000009</v>
      </c>
      <c r="R159" s="7">
        <f t="shared" si="32"/>
        <v>-57308.150000000009</v>
      </c>
      <c r="S159" s="7"/>
    </row>
    <row r="160" spans="1:19" x14ac:dyDescent="0.3">
      <c r="A160" s="11">
        <v>0</v>
      </c>
      <c r="B160" s="11">
        <v>0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3" t="s">
        <v>216</v>
      </c>
      <c r="N160" s="11">
        <f t="shared" si="29"/>
        <v>0</v>
      </c>
      <c r="O160" s="11">
        <f t="shared" si="30"/>
        <v>0</v>
      </c>
      <c r="P160" s="11">
        <f t="shared" si="31"/>
        <v>0</v>
      </c>
      <c r="Q160" s="11">
        <v>9374</v>
      </c>
      <c r="R160" s="11">
        <f t="shared" si="32"/>
        <v>-9374</v>
      </c>
      <c r="S160" s="11"/>
    </row>
    <row r="161" spans="1:19" ht="6" customHeight="1" x14ac:dyDescent="0.3">
      <c r="A161" s="81"/>
      <c r="B161" s="81"/>
      <c r="C161" s="81"/>
      <c r="D161" s="82"/>
      <c r="E161" s="81"/>
      <c r="F161" s="81"/>
      <c r="G161" s="81"/>
      <c r="H161" s="81"/>
      <c r="I161" s="81"/>
      <c r="J161" s="81"/>
      <c r="K161" s="81"/>
      <c r="L161" s="81"/>
      <c r="M161" s="13"/>
      <c r="N161" s="81">
        <f t="shared" si="29"/>
        <v>0</v>
      </c>
      <c r="O161" s="81">
        <f t="shared" si="30"/>
        <v>0</v>
      </c>
      <c r="P161" s="81">
        <f t="shared" si="31"/>
        <v>0</v>
      </c>
      <c r="Q161" s="81"/>
      <c r="R161" s="81">
        <f t="shared" si="32"/>
        <v>0</v>
      </c>
      <c r="S161" s="81"/>
    </row>
    <row r="162" spans="1:19" x14ac:dyDescent="0.3">
      <c r="A162" s="4">
        <f t="shared" ref="A162:L162" si="33">SUM(A131:A160)</f>
        <v>635480</v>
      </c>
      <c r="B162" s="4">
        <f t="shared" si="33"/>
        <v>1044775</v>
      </c>
      <c r="C162" s="4">
        <f t="shared" si="33"/>
        <v>494005.8</v>
      </c>
      <c r="D162" s="4">
        <f t="shared" si="33"/>
        <v>586090</v>
      </c>
      <c r="E162" s="4">
        <f t="shared" si="33"/>
        <v>953700</v>
      </c>
      <c r="F162" s="4">
        <f t="shared" si="33"/>
        <v>675155</v>
      </c>
      <c r="G162" s="4">
        <f t="shared" si="33"/>
        <v>908861</v>
      </c>
      <c r="H162" s="4">
        <f t="shared" si="33"/>
        <v>886985</v>
      </c>
      <c r="I162" s="4">
        <f t="shared" si="33"/>
        <v>747340</v>
      </c>
      <c r="J162" s="4">
        <f t="shared" si="33"/>
        <v>747340</v>
      </c>
      <c r="K162" s="4">
        <f t="shared" si="33"/>
        <v>747340</v>
      </c>
      <c r="L162" s="4">
        <f t="shared" si="33"/>
        <v>747340</v>
      </c>
      <c r="M162" s="13" t="s">
        <v>217</v>
      </c>
      <c r="N162" s="4">
        <f t="shared" ref="N162" si="34">SUM(N131:N160)</f>
        <v>6185051.7999999998</v>
      </c>
      <c r="O162" s="4">
        <f t="shared" si="30"/>
        <v>2242020</v>
      </c>
      <c r="P162" s="4">
        <f t="shared" si="31"/>
        <v>8427071.8000000007</v>
      </c>
      <c r="Q162" s="4">
        <v>8256494.0680000018</v>
      </c>
      <c r="R162" s="4">
        <f t="shared" si="32"/>
        <v>170577.73199999891</v>
      </c>
      <c r="S162" s="4"/>
    </row>
    <row r="163" spans="1:19" ht="6.6" customHeight="1" x14ac:dyDescent="0.3">
      <c r="A163" s="81"/>
      <c r="B163" s="81"/>
      <c r="C163" s="81"/>
      <c r="D163" s="82"/>
      <c r="E163" s="95"/>
      <c r="F163" s="95"/>
      <c r="G163" s="95"/>
      <c r="H163" s="95"/>
      <c r="I163" s="95"/>
      <c r="J163" s="95"/>
      <c r="K163" s="95"/>
      <c r="L163" s="95"/>
      <c r="M163" s="122"/>
      <c r="N163" s="95">
        <f t="shared" si="29"/>
        <v>0</v>
      </c>
      <c r="O163" s="95">
        <f t="shared" si="30"/>
        <v>0</v>
      </c>
      <c r="P163" s="95">
        <f t="shared" si="31"/>
        <v>0</v>
      </c>
      <c r="Q163" s="95"/>
      <c r="R163" s="95">
        <f t="shared" si="32"/>
        <v>0</v>
      </c>
      <c r="S163" s="81"/>
    </row>
    <row r="164" spans="1:19" x14ac:dyDescent="0.3">
      <c r="A164" s="8">
        <f>42079.89+12394.27</f>
        <v>54474.16</v>
      </c>
      <c r="B164" s="8">
        <f>38698.04+4696.58</f>
        <v>43394.62</v>
      </c>
      <c r="C164" s="8">
        <v>44882.31</v>
      </c>
      <c r="D164" s="8">
        <v>36455.99</v>
      </c>
      <c r="E164" s="8">
        <v>61024.2</v>
      </c>
      <c r="F164" s="8">
        <v>40266.14</v>
      </c>
      <c r="G164" s="8">
        <v>73014.36</v>
      </c>
      <c r="H164" s="8">
        <v>63043.87</v>
      </c>
      <c r="I164" s="8">
        <v>100039.03999999999</v>
      </c>
      <c r="J164" s="8"/>
      <c r="K164" s="8"/>
      <c r="L164" s="8"/>
      <c r="M164" s="13" t="s">
        <v>218</v>
      </c>
      <c r="N164" s="8">
        <f>SUM(A164:H164)</f>
        <v>416555.64999999997</v>
      </c>
      <c r="O164" s="8">
        <f t="shared" si="30"/>
        <v>0</v>
      </c>
      <c r="P164" s="8">
        <f t="shared" si="31"/>
        <v>416555.64999999997</v>
      </c>
      <c r="Q164" s="8">
        <v>631800</v>
      </c>
      <c r="R164" s="8">
        <f t="shared" si="32"/>
        <v>-215244.35000000003</v>
      </c>
      <c r="S164" s="8"/>
    </row>
    <row r="165" spans="1:19" x14ac:dyDescent="0.3">
      <c r="A165" s="7">
        <v>0</v>
      </c>
      <c r="B165" s="7">
        <v>0</v>
      </c>
      <c r="C165" s="7">
        <v>10785750</v>
      </c>
      <c r="D165" s="7">
        <v>0</v>
      </c>
      <c r="E165" s="7">
        <v>10527000</v>
      </c>
      <c r="F165" s="7">
        <v>0</v>
      </c>
      <c r="G165" s="7"/>
      <c r="H165" s="7">
        <v>10527000</v>
      </c>
      <c r="I165" s="7"/>
      <c r="J165" s="7"/>
      <c r="K165" s="7"/>
      <c r="L165" s="7"/>
      <c r="M165" s="238" t="s">
        <v>219</v>
      </c>
      <c r="N165" s="7">
        <f t="shared" si="29"/>
        <v>31839750</v>
      </c>
      <c r="O165" s="7">
        <f t="shared" si="30"/>
        <v>0</v>
      </c>
      <c r="P165" s="7">
        <f t="shared" si="31"/>
        <v>31839750</v>
      </c>
      <c r="Q165" s="7">
        <v>42108000</v>
      </c>
      <c r="R165" s="7">
        <f t="shared" si="32"/>
        <v>-10268250</v>
      </c>
      <c r="S165" s="7"/>
    </row>
    <row r="166" spans="1:19" x14ac:dyDescent="0.3">
      <c r="A166" s="7">
        <v>0</v>
      </c>
      <c r="B166" s="7">
        <v>0</v>
      </c>
      <c r="C166" s="7">
        <v>0</v>
      </c>
      <c r="D166" s="7"/>
      <c r="E166" s="7"/>
      <c r="F166" s="7"/>
      <c r="G166" s="7"/>
      <c r="H166" s="7"/>
      <c r="I166" s="7"/>
      <c r="J166" s="7"/>
      <c r="K166" s="7"/>
      <c r="L166" s="7"/>
      <c r="M166" s="13" t="s">
        <v>220</v>
      </c>
      <c r="N166" s="7">
        <f t="shared" si="29"/>
        <v>0</v>
      </c>
      <c r="O166" s="7">
        <f t="shared" si="30"/>
        <v>0</v>
      </c>
      <c r="P166" s="7">
        <f t="shared" si="31"/>
        <v>0</v>
      </c>
      <c r="Q166" s="7">
        <v>0</v>
      </c>
      <c r="R166" s="7">
        <f t="shared" si="32"/>
        <v>0</v>
      </c>
      <c r="S166" s="7"/>
    </row>
    <row r="167" spans="1:19" x14ac:dyDescent="0.3">
      <c r="A167" s="7">
        <v>0</v>
      </c>
      <c r="B167" s="7">
        <v>0</v>
      </c>
      <c r="C167" s="7">
        <v>0</v>
      </c>
      <c r="D167" s="7"/>
      <c r="E167" s="7"/>
      <c r="F167" s="7"/>
      <c r="G167" s="7"/>
      <c r="H167" s="7"/>
      <c r="I167" s="7"/>
      <c r="J167" s="7"/>
      <c r="K167" s="7"/>
      <c r="L167" s="7"/>
      <c r="M167" s="13" t="s">
        <v>221</v>
      </c>
      <c r="N167" s="7">
        <f t="shared" si="29"/>
        <v>0</v>
      </c>
      <c r="O167" s="7">
        <f t="shared" si="30"/>
        <v>0</v>
      </c>
      <c r="P167" s="7">
        <f t="shared" si="31"/>
        <v>0</v>
      </c>
      <c r="Q167" s="7">
        <v>0</v>
      </c>
      <c r="R167" s="7">
        <f t="shared" si="32"/>
        <v>0</v>
      </c>
      <c r="S167" s="7"/>
    </row>
    <row r="168" spans="1:19" x14ac:dyDescent="0.3">
      <c r="A168" s="11">
        <v>258750</v>
      </c>
      <c r="B168" s="11">
        <v>225000</v>
      </c>
      <c r="C168" s="11">
        <v>0</v>
      </c>
      <c r="D168" s="11">
        <f>225000-225000</f>
        <v>0</v>
      </c>
      <c r="E168" s="11"/>
      <c r="F168" s="11"/>
      <c r="G168" s="11"/>
      <c r="H168" s="11"/>
      <c r="I168" s="11"/>
      <c r="J168" s="11"/>
      <c r="K168" s="11"/>
      <c r="L168" s="11"/>
      <c r="M168" s="238" t="s">
        <v>222</v>
      </c>
      <c r="N168" s="11">
        <f t="shared" si="29"/>
        <v>483750</v>
      </c>
      <c r="O168" s="11">
        <f t="shared" si="30"/>
        <v>0</v>
      </c>
      <c r="P168" s="11">
        <f t="shared" si="31"/>
        <v>483750</v>
      </c>
      <c r="Q168" s="11">
        <v>0</v>
      </c>
      <c r="R168" s="11">
        <f t="shared" si="32"/>
        <v>483750</v>
      </c>
      <c r="S168" s="11"/>
    </row>
    <row r="169" spans="1:19" ht="4.2" customHeight="1" x14ac:dyDescent="0.3">
      <c r="A169" s="81"/>
      <c r="B169" s="81"/>
      <c r="C169" s="81"/>
      <c r="D169" s="82"/>
      <c r="E169" s="97"/>
      <c r="F169" s="96"/>
      <c r="G169" s="96"/>
      <c r="H169" s="96"/>
      <c r="I169" s="96"/>
      <c r="J169" s="96"/>
      <c r="K169" s="96"/>
      <c r="L169" s="96"/>
      <c r="M169" s="13"/>
      <c r="N169" s="96">
        <f t="shared" si="29"/>
        <v>0</v>
      </c>
      <c r="O169" s="96">
        <f t="shared" si="30"/>
        <v>0</v>
      </c>
      <c r="P169" s="96">
        <f t="shared" si="31"/>
        <v>0</v>
      </c>
      <c r="Q169" s="96"/>
      <c r="R169" s="96">
        <f t="shared" si="32"/>
        <v>0</v>
      </c>
      <c r="S169" s="81"/>
    </row>
    <row r="170" spans="1:19" x14ac:dyDescent="0.3">
      <c r="A170" s="4">
        <f>A162+SUM(A164:A168)</f>
        <v>948704.16</v>
      </c>
      <c r="B170" s="4">
        <f t="shared" ref="B170:L170" si="35">B162+SUM(B164:B168)</f>
        <v>1313169.6200000001</v>
      </c>
      <c r="C170" s="4">
        <f t="shared" si="35"/>
        <v>11324638.110000001</v>
      </c>
      <c r="D170" s="4">
        <f t="shared" si="35"/>
        <v>622545.99</v>
      </c>
      <c r="E170" s="4">
        <f t="shared" si="35"/>
        <v>11541724.199999999</v>
      </c>
      <c r="F170" s="4">
        <f t="shared" si="35"/>
        <v>715421.14</v>
      </c>
      <c r="G170" s="4">
        <f t="shared" si="35"/>
        <v>981875.36</v>
      </c>
      <c r="H170" s="4">
        <f>H162+SUM(H164:H168)</f>
        <v>11477028.869999999</v>
      </c>
      <c r="I170" s="4">
        <f t="shared" si="35"/>
        <v>847379.04</v>
      </c>
      <c r="J170" s="4">
        <f t="shared" si="35"/>
        <v>747340</v>
      </c>
      <c r="K170" s="4">
        <f t="shared" si="35"/>
        <v>747340</v>
      </c>
      <c r="L170" s="4">
        <f t="shared" si="35"/>
        <v>747340</v>
      </c>
      <c r="M170" s="13" t="s">
        <v>223</v>
      </c>
      <c r="N170" s="4">
        <f>SUM(A170:H170)</f>
        <v>38925107.449999996</v>
      </c>
      <c r="O170" s="4">
        <f t="shared" si="30"/>
        <v>2242020</v>
      </c>
      <c r="P170" s="4">
        <f t="shared" si="31"/>
        <v>41167127.449999996</v>
      </c>
      <c r="Q170" s="4">
        <v>50996294.068000004</v>
      </c>
      <c r="R170" s="4">
        <f t="shared" si="32"/>
        <v>-9829166.6180000082</v>
      </c>
      <c r="S170" s="4"/>
    </row>
    <row r="171" spans="1:19" ht="7.95" customHeight="1" x14ac:dyDescent="0.3">
      <c r="A171" s="99"/>
      <c r="B171" s="99"/>
      <c r="C171" s="99"/>
      <c r="D171" s="100"/>
      <c r="E171" s="98"/>
      <c r="I171" s="78"/>
      <c r="K171" s="78"/>
      <c r="L171" s="78"/>
      <c r="M171" s="13"/>
      <c r="N171" s="78">
        <f t="shared" si="29"/>
        <v>0</v>
      </c>
      <c r="O171" s="78">
        <f t="shared" si="30"/>
        <v>0</v>
      </c>
      <c r="P171" s="78">
        <f t="shared" si="31"/>
        <v>0</v>
      </c>
      <c r="Q171" s="78"/>
      <c r="R171" s="78">
        <f t="shared" si="32"/>
        <v>0</v>
      </c>
      <c r="S171" s="99"/>
    </row>
    <row r="172" spans="1:19" x14ac:dyDescent="0.3">
      <c r="A172" s="4">
        <f>A129-A170</f>
        <v>3300682.124269166</v>
      </c>
      <c r="B172" s="4">
        <f>B129-B170</f>
        <v>3352251.2743893787</v>
      </c>
      <c r="C172" s="4">
        <f>C129-C170</f>
        <v>-6341564.5481663952</v>
      </c>
      <c r="D172" s="4">
        <f>D129-D170</f>
        <v>4558496.4747165795</v>
      </c>
      <c r="E172" s="4">
        <f>E129-E170</f>
        <v>-6823183.0524063921</v>
      </c>
      <c r="F172" s="4">
        <f t="shared" ref="F172:L172" si="36">F129-F170</f>
        <v>4086598.2975136065</v>
      </c>
      <c r="G172" s="4">
        <f>G129-G170</f>
        <v>3591832.234636581</v>
      </c>
      <c r="H172" s="4" t="e">
        <f t="shared" si="36"/>
        <v>#REF!</v>
      </c>
      <c r="I172" s="4">
        <f t="shared" si="36"/>
        <v>3642563.3042381387</v>
      </c>
      <c r="J172" s="4">
        <f t="shared" si="36"/>
        <v>3769519.1551165795</v>
      </c>
      <c r="K172" s="4">
        <f t="shared" si="36"/>
        <v>3788352.4296155293</v>
      </c>
      <c r="L172" s="4">
        <f t="shared" si="36"/>
        <v>3914144.7546317466</v>
      </c>
      <c r="M172" s="13" t="s">
        <v>224</v>
      </c>
      <c r="N172" s="4" t="e">
        <f t="shared" ref="N172" si="37">N129-N170</f>
        <v>#REF!</v>
      </c>
      <c r="O172" s="4">
        <f t="shared" si="30"/>
        <v>11472016.339363854</v>
      </c>
      <c r="P172" s="4" t="e">
        <f t="shared" si="31"/>
        <v>#REF!</v>
      </c>
      <c r="Q172" s="4">
        <v>0</v>
      </c>
      <c r="R172" s="4" t="e">
        <f t="shared" si="32"/>
        <v>#REF!</v>
      </c>
      <c r="S172" s="4"/>
    </row>
    <row r="173" spans="1:19" x14ac:dyDescent="0.3">
      <c r="A173" s="101"/>
      <c r="B173" s="101"/>
      <c r="C173" s="101"/>
      <c r="D173" s="102"/>
      <c r="E173" s="98"/>
      <c r="M173" s="123"/>
      <c r="N173" s="101"/>
      <c r="O173" s="101"/>
      <c r="P173" s="101"/>
      <c r="Q173" s="101"/>
      <c r="R173" s="101"/>
      <c r="S173" s="101"/>
    </row>
    <row r="174" spans="1:19" x14ac:dyDescent="0.3">
      <c r="A174" s="103"/>
      <c r="B174" s="103"/>
      <c r="C174" s="103"/>
      <c r="D174" s="104"/>
      <c r="M174" s="123"/>
      <c r="N174" s="103"/>
      <c r="O174" s="103"/>
      <c r="P174" s="103"/>
      <c r="Q174" s="103"/>
      <c r="R174" s="103"/>
      <c r="S174" s="103"/>
    </row>
    <row r="175" spans="1:19" x14ac:dyDescent="0.3">
      <c r="A175" s="103"/>
      <c r="B175" s="103"/>
      <c r="C175" s="103"/>
      <c r="D175" s="104"/>
      <c r="M175" s="123"/>
      <c r="N175" s="103"/>
      <c r="O175" s="103"/>
      <c r="P175" s="103"/>
      <c r="Q175" s="103"/>
      <c r="R175" s="103"/>
      <c r="S175" s="103"/>
    </row>
    <row r="176" spans="1:19" x14ac:dyDescent="0.3">
      <c r="A176" s="105"/>
      <c r="B176" s="105"/>
      <c r="C176" s="105"/>
      <c r="D176" s="104"/>
      <c r="G176" s="98"/>
      <c r="M176" s="123"/>
      <c r="N176" s="105"/>
      <c r="O176" s="105"/>
      <c r="P176" s="105"/>
      <c r="Q176" s="105"/>
      <c r="R176" s="105"/>
      <c r="S176" s="105"/>
    </row>
    <row r="177" spans="1:19" x14ac:dyDescent="0.3">
      <c r="A177" s="103"/>
      <c r="B177" s="103"/>
      <c r="C177" s="103"/>
      <c r="D177" s="104"/>
      <c r="G177" s="98"/>
      <c r="M177" s="123"/>
      <c r="N177" s="103"/>
      <c r="O177" s="103"/>
      <c r="P177" s="103"/>
      <c r="Q177" s="103"/>
      <c r="R177" s="103"/>
      <c r="S177" s="103"/>
    </row>
    <row r="178" spans="1:19" x14ac:dyDescent="0.3">
      <c r="A178" s="105"/>
      <c r="B178" s="105"/>
      <c r="C178" s="105"/>
      <c r="D178" s="104"/>
      <c r="G178" s="98"/>
      <c r="M178" s="123"/>
      <c r="N178" s="105"/>
      <c r="O178" s="105"/>
      <c r="P178" s="105"/>
      <c r="Q178" s="105"/>
      <c r="R178" s="105"/>
      <c r="S178" s="105"/>
    </row>
    <row r="179" spans="1:19" x14ac:dyDescent="0.3">
      <c r="A179" s="15"/>
      <c r="B179" s="15"/>
      <c r="C179" s="15"/>
      <c r="D179" s="106"/>
      <c r="M179" s="123"/>
      <c r="N179" s="15"/>
      <c r="O179" s="15"/>
      <c r="P179" s="15"/>
      <c r="Q179" s="15"/>
      <c r="R179" s="15"/>
      <c r="S179" s="15"/>
    </row>
    <row r="180" spans="1:19" x14ac:dyDescent="0.3">
      <c r="A180" s="15"/>
      <c r="B180" s="15"/>
      <c r="C180" s="15"/>
      <c r="D180" s="106"/>
      <c r="M180" s="123"/>
      <c r="N180" s="15"/>
      <c r="O180" s="15"/>
      <c r="P180" s="15"/>
      <c r="Q180" s="15"/>
      <c r="R180" s="15"/>
      <c r="S180" s="15"/>
    </row>
  </sheetData>
  <mergeCells count="4">
    <mergeCell ref="M1:N1"/>
    <mergeCell ref="A3:L3"/>
    <mergeCell ref="N3:R3"/>
    <mergeCell ref="M4:M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U22"/>
  <sheetViews>
    <sheetView workbookViewId="0">
      <selection activeCell="A5" sqref="A5"/>
    </sheetView>
  </sheetViews>
  <sheetFormatPr defaultRowHeight="14.4" x14ac:dyDescent="0.3"/>
  <cols>
    <col min="1" max="2" width="11" bestFit="1" customWidth="1"/>
    <col min="3" max="3" width="11.5546875" bestFit="1" customWidth="1"/>
    <col min="4" max="4" width="11.33203125" bestFit="1" customWidth="1"/>
    <col min="5" max="6" width="11" bestFit="1" customWidth="1"/>
    <col min="7" max="7" width="11.5546875" bestFit="1" customWidth="1"/>
    <col min="8" max="8" width="11.33203125" bestFit="1" customWidth="1"/>
    <col min="9" max="10" width="11" bestFit="1" customWidth="1"/>
    <col min="11" max="12" width="11.5546875" bestFit="1" customWidth="1"/>
    <col min="13" max="13" width="32.44140625" bestFit="1" customWidth="1"/>
    <col min="14" max="14" width="14" hidden="1" customWidth="1"/>
    <col min="15" max="15" width="19" hidden="1" customWidth="1"/>
    <col min="16" max="16" width="12.33203125" hidden="1" customWidth="1"/>
    <col min="17" max="17" width="15.88671875" customWidth="1"/>
    <col min="18" max="18" width="13.109375" hidden="1" customWidth="1"/>
    <col min="19" max="19" width="28.44140625" style="167" hidden="1" customWidth="1"/>
    <col min="20" max="20" width="26.6640625" hidden="1" customWidth="1"/>
    <col min="21" max="21" width="16.109375" hidden="1" customWidth="1"/>
    <col min="22" max="22" width="17.88671875" hidden="1" customWidth="1"/>
    <col min="23" max="23" width="10.88671875" hidden="1" customWidth="1"/>
  </cols>
  <sheetData>
    <row r="1" spans="1:47" x14ac:dyDescent="0.3"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</row>
    <row r="2" spans="1:47" s="167" customFormat="1" ht="17.399999999999999" customHeight="1" x14ac:dyDescent="0.3">
      <c r="A2" s="408" t="s">
        <v>231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14" t="s">
        <v>69</v>
      </c>
      <c r="N2" s="424" t="s">
        <v>226</v>
      </c>
      <c r="O2" s="425"/>
      <c r="P2" s="425"/>
      <c r="Q2" s="425"/>
      <c r="R2" s="425"/>
      <c r="S2" s="425"/>
      <c r="T2" s="425"/>
      <c r="U2" s="425"/>
      <c r="V2" s="425"/>
      <c r="W2" s="425"/>
    </row>
    <row r="3" spans="1:47" s="354" customFormat="1" ht="42" customHeight="1" x14ac:dyDescent="0.3">
      <c r="A3" s="125">
        <v>44287</v>
      </c>
      <c r="B3" s="125">
        <v>44317</v>
      </c>
      <c r="C3" s="125">
        <v>44348</v>
      </c>
      <c r="D3" s="125">
        <v>44378</v>
      </c>
      <c r="E3" s="125">
        <v>44409</v>
      </c>
      <c r="F3" s="125">
        <v>44440</v>
      </c>
      <c r="G3" s="125">
        <v>44470</v>
      </c>
      <c r="H3" s="125">
        <v>44501</v>
      </c>
      <c r="I3" s="125">
        <v>44531</v>
      </c>
      <c r="J3" s="125">
        <v>44562</v>
      </c>
      <c r="K3" s="125">
        <v>44593</v>
      </c>
      <c r="L3" s="125">
        <v>44621</v>
      </c>
      <c r="M3" s="10" t="s">
        <v>230</v>
      </c>
      <c r="N3" s="243" t="s">
        <v>367</v>
      </c>
      <c r="O3" s="243" t="s">
        <v>368</v>
      </c>
      <c r="P3" s="243" t="s">
        <v>406</v>
      </c>
      <c r="Q3" s="243" t="s">
        <v>406</v>
      </c>
      <c r="R3" s="243" t="s">
        <v>228</v>
      </c>
      <c r="S3" s="243" t="s">
        <v>378</v>
      </c>
      <c r="T3" s="243" t="s">
        <v>379</v>
      </c>
      <c r="U3" s="243" t="s">
        <v>74</v>
      </c>
      <c r="V3" s="243" t="s">
        <v>381</v>
      </c>
      <c r="W3" s="243" t="s">
        <v>229</v>
      </c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</row>
    <row r="4" spans="1:47" s="167" customFormat="1" ht="32.4" customHeight="1" x14ac:dyDescent="0.3">
      <c r="A4" s="10" t="s">
        <v>1</v>
      </c>
      <c r="B4" s="10" t="s">
        <v>1</v>
      </c>
      <c r="C4" s="10" t="s">
        <v>1</v>
      </c>
      <c r="D4" s="10" t="s">
        <v>1</v>
      </c>
      <c r="E4" s="10" t="s">
        <v>1</v>
      </c>
      <c r="F4" s="10" t="s">
        <v>1</v>
      </c>
      <c r="G4" s="10" t="s">
        <v>1</v>
      </c>
      <c r="H4" s="10" t="s">
        <v>1</v>
      </c>
      <c r="I4" s="10" t="s">
        <v>1</v>
      </c>
      <c r="J4" s="10" t="s">
        <v>1</v>
      </c>
      <c r="K4" s="10" t="s">
        <v>1</v>
      </c>
      <c r="L4" s="10" t="s">
        <v>1</v>
      </c>
      <c r="M4" s="10" t="s">
        <v>340</v>
      </c>
      <c r="N4" s="10" t="s">
        <v>369</v>
      </c>
      <c r="O4" s="10" t="s">
        <v>1</v>
      </c>
      <c r="P4" s="289" t="s">
        <v>409</v>
      </c>
      <c r="Q4" s="289" t="s">
        <v>409</v>
      </c>
      <c r="R4" s="10" t="s">
        <v>380</v>
      </c>
      <c r="S4" s="10" t="s">
        <v>294</v>
      </c>
      <c r="T4" s="10" t="s">
        <v>294</v>
      </c>
      <c r="U4" s="10" t="s">
        <v>74</v>
      </c>
      <c r="V4" s="10" t="s">
        <v>382</v>
      </c>
      <c r="W4" s="10"/>
    </row>
    <row r="5" spans="1:47" x14ac:dyDescent="0.3">
      <c r="A5" s="4">
        <v>52251.219999999994</v>
      </c>
      <c r="B5" s="4">
        <v>53914.96</v>
      </c>
      <c r="C5" s="4">
        <v>135682.41</v>
      </c>
      <c r="D5" s="4">
        <v>81482.600000000006</v>
      </c>
      <c r="E5" s="4">
        <v>81777.840000000011</v>
      </c>
      <c r="F5" s="4">
        <v>81639.570000000007</v>
      </c>
      <c r="G5" s="4">
        <v>132441.07</v>
      </c>
      <c r="H5" s="4">
        <v>81361.11</v>
      </c>
      <c r="I5" s="4">
        <v>93458.040000000008</v>
      </c>
      <c r="J5" s="4">
        <v>89160.061904761897</v>
      </c>
      <c r="K5" s="4">
        <v>112267.16</v>
      </c>
      <c r="L5" s="4">
        <v>432213.16000000003</v>
      </c>
      <c r="M5" s="345" t="s">
        <v>259</v>
      </c>
      <c r="N5" s="4">
        <f>CEO!N129</f>
        <v>0</v>
      </c>
      <c r="O5" s="4">
        <f>CEO!O129</f>
        <v>2787726.8138483595</v>
      </c>
      <c r="P5" s="4">
        <f>CEO!P129</f>
        <v>2787726.8138483595</v>
      </c>
      <c r="Q5" s="4">
        <f>CEO!Q129</f>
        <v>2787726.8138483595</v>
      </c>
      <c r="R5" s="4">
        <f>CEO!R129</f>
        <v>0</v>
      </c>
      <c r="S5" s="4">
        <f>CEO!S129</f>
        <v>0</v>
      </c>
      <c r="T5" s="4">
        <f>CEO!T129</f>
        <v>-154769</v>
      </c>
      <c r="U5" s="4">
        <f>CEO!U129</f>
        <v>2541671.9388740752</v>
      </c>
      <c r="V5" s="4">
        <f>CEO!V129</f>
        <v>-246054.87497428432</v>
      </c>
      <c r="W5" s="4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</row>
    <row r="6" spans="1:47" x14ac:dyDescent="0.3">
      <c r="A6" s="4">
        <f>CS!A129</f>
        <v>873924.30370000005</v>
      </c>
      <c r="B6" s="4">
        <f>CS!B129</f>
        <v>873924.30370000005</v>
      </c>
      <c r="C6" s="4">
        <f>CS!C129</f>
        <v>883347.12678000005</v>
      </c>
      <c r="D6" s="4">
        <f>CS!D129</f>
        <v>883347.12678000005</v>
      </c>
      <c r="E6" s="4">
        <f>CS!E129</f>
        <v>883347.12678000005</v>
      </c>
      <c r="F6" s="4">
        <f>CS!F129</f>
        <v>883347.12678000005</v>
      </c>
      <c r="G6" s="4">
        <f>CS!G129</f>
        <v>883347.12678000005</v>
      </c>
      <c r="H6" s="4">
        <f>CS!H129</f>
        <v>1178587.1167799998</v>
      </c>
      <c r="I6" s="4">
        <f>CS!I129</f>
        <v>928621.434275368</v>
      </c>
      <c r="J6" s="4">
        <f>CS!J129</f>
        <v>883347.12678000005</v>
      </c>
      <c r="K6" s="4">
        <f>CS!K129</f>
        <v>941580.12678000005</v>
      </c>
      <c r="L6" s="4">
        <f>CS!L129</f>
        <v>897961.27653210913</v>
      </c>
      <c r="M6" s="345" t="s">
        <v>260</v>
      </c>
      <c r="N6" s="4">
        <f>CS!N129</f>
        <v>0</v>
      </c>
      <c r="O6" s="4">
        <f>CS!O129</f>
        <v>10994681.322447479</v>
      </c>
      <c r="P6" s="4">
        <f>CS!P129</f>
        <v>10994681.322447479</v>
      </c>
      <c r="Q6" s="4">
        <f>CS!Q129</f>
        <v>10994681.577165477</v>
      </c>
      <c r="R6" s="4">
        <f>CS!R129</f>
        <v>0.254718000000139</v>
      </c>
      <c r="S6" s="4">
        <f>CS!S129</f>
        <v>376469</v>
      </c>
      <c r="T6" s="4">
        <f>CS!T129</f>
        <v>488911</v>
      </c>
      <c r="U6" s="4">
        <f>CS!U129</f>
        <v>9269825.4682007059</v>
      </c>
      <c r="V6" s="4">
        <f>CS!V129</f>
        <v>-1724855.8542467728</v>
      </c>
      <c r="W6" s="4">
        <f>CS!W129</f>
        <v>0</v>
      </c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</row>
    <row r="7" spans="1:47" x14ac:dyDescent="0.3">
      <c r="A7" s="4">
        <v>823941.65</v>
      </c>
      <c r="B7" s="4">
        <v>1376342.404285714</v>
      </c>
      <c r="C7" s="4">
        <v>1233393.1028571429</v>
      </c>
      <c r="D7" s="4">
        <v>327220.38</v>
      </c>
      <c r="E7" s="4">
        <v>1531300.8000000003</v>
      </c>
      <c r="F7" s="4">
        <v>850854.07</v>
      </c>
      <c r="G7" s="4">
        <v>1324710.74</v>
      </c>
      <c r="H7" s="4">
        <v>602166.06000000006</v>
      </c>
      <c r="I7" s="4">
        <v>1299992.1500000001</v>
      </c>
      <c r="J7" s="4">
        <v>874301.44857142854</v>
      </c>
      <c r="K7" s="4">
        <v>1030102.4316067833</v>
      </c>
      <c r="L7" s="4">
        <v>1142034.0425708333</v>
      </c>
      <c r="M7" s="345" t="s">
        <v>261</v>
      </c>
      <c r="N7" s="4">
        <f>CFO!N129</f>
        <v>0</v>
      </c>
      <c r="O7" s="4">
        <f>CFO!O129</f>
        <v>14325883.042733273</v>
      </c>
      <c r="P7" s="4">
        <f>CFO!P129</f>
        <v>14325883.042733273</v>
      </c>
      <c r="Q7" s="4">
        <f>CFO!Q129</f>
        <v>14325883.042733273</v>
      </c>
      <c r="R7" s="4">
        <f>CFO!R129</f>
        <v>0</v>
      </c>
      <c r="S7" s="4">
        <f>CFO!S129</f>
        <v>214523</v>
      </c>
      <c r="T7" s="4">
        <f>CFO!T129</f>
        <v>231010.99999999988</v>
      </c>
      <c r="U7" s="4">
        <f>CFO!U129</f>
        <v>14771417.042733273</v>
      </c>
      <c r="V7" s="4">
        <f>CFO!V129</f>
        <v>445534</v>
      </c>
      <c r="W7" s="4">
        <f>CFO!W129</f>
        <v>0</v>
      </c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</row>
    <row r="8" spans="1:47" x14ac:dyDescent="0.3">
      <c r="A8" s="224">
        <v>568207.70000000007</v>
      </c>
      <c r="B8" s="224">
        <v>641211.17000000016</v>
      </c>
      <c r="C8" s="224">
        <v>1667516.3728571432</v>
      </c>
      <c r="D8" s="224">
        <v>1280535.5999999999</v>
      </c>
      <c r="E8" s="224">
        <v>638632.42000000004</v>
      </c>
      <c r="F8" s="224">
        <v>909068.11</v>
      </c>
      <c r="G8" s="224">
        <v>1026796.28</v>
      </c>
      <c r="H8" s="224">
        <v>1548736.81</v>
      </c>
      <c r="I8" s="224">
        <v>905170.39000000013</v>
      </c>
      <c r="J8" s="224">
        <v>922476.53</v>
      </c>
      <c r="K8" s="224">
        <v>1146824.9100000001</v>
      </c>
      <c r="L8" s="224">
        <v>1110688.9100000001</v>
      </c>
      <c r="M8" s="345" t="s">
        <v>263</v>
      </c>
      <c r="N8" s="4">
        <f>LLA!N129</f>
        <v>0</v>
      </c>
      <c r="O8" s="4">
        <f>LLA!O129</f>
        <v>10570695.856141923</v>
      </c>
      <c r="P8" s="4">
        <f>LLA!P129</f>
        <v>10570695.856141923</v>
      </c>
      <c r="Q8" s="4">
        <f>LLA!Q129</f>
        <v>10570695.856141923</v>
      </c>
      <c r="R8" s="4">
        <f>LLA!R129</f>
        <v>0</v>
      </c>
      <c r="S8" s="4">
        <f>LLA!S129</f>
        <v>4059000</v>
      </c>
      <c r="T8" s="4">
        <f>LLA!T129</f>
        <v>-714292.39306467539</v>
      </c>
      <c r="U8" s="4">
        <f>LLA!U129</f>
        <v>12870307.593191117</v>
      </c>
      <c r="V8" s="4">
        <f>LLA!V129</f>
        <v>2299611.7370491941</v>
      </c>
      <c r="W8" s="4">
        <f>LLA!W129</f>
        <v>0</v>
      </c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</row>
    <row r="9" spans="1:47" x14ac:dyDescent="0.3">
      <c r="A9" s="4">
        <v>626189.31999999995</v>
      </c>
      <c r="B9" s="4">
        <v>713098.13142857165</v>
      </c>
      <c r="C9" s="4">
        <v>698363.04428571428</v>
      </c>
      <c r="D9" s="4">
        <v>778294.57</v>
      </c>
      <c r="E9" s="4">
        <v>709633.02999999991</v>
      </c>
      <c r="F9" s="4">
        <v>707666.22999999986</v>
      </c>
      <c r="G9" s="4">
        <v>706722.2</v>
      </c>
      <c r="H9" s="4">
        <v>1121929.2799999998</v>
      </c>
      <c r="I9" s="4">
        <v>708240.84000000008</v>
      </c>
      <c r="J9" s="4">
        <v>681632.93285714288</v>
      </c>
      <c r="K9" s="4">
        <v>772381.98349999986</v>
      </c>
      <c r="L9" s="4">
        <v>911195.46202849993</v>
      </c>
      <c r="M9" s="345" t="s">
        <v>262</v>
      </c>
      <c r="N9" s="4">
        <f>'C&amp;E'!N129</f>
        <v>0</v>
      </c>
      <c r="O9" s="4">
        <f>'C&amp;E'!O129</f>
        <v>9738507.1438239366</v>
      </c>
      <c r="P9" s="4">
        <f>'C&amp;E'!P129</f>
        <v>9738507.1438239366</v>
      </c>
      <c r="Q9" s="4">
        <f>'C&amp;E'!Q129</f>
        <v>9738507.1438239366</v>
      </c>
      <c r="R9" s="4">
        <f>'C&amp;E'!R129</f>
        <v>0</v>
      </c>
      <c r="S9" s="4">
        <f>'C&amp;E'!S129</f>
        <v>1819000</v>
      </c>
      <c r="T9" s="4">
        <f>'C&amp;E'!T129</f>
        <v>474312</v>
      </c>
      <c r="U9" s="4">
        <f>'C&amp;E'!U129</f>
        <v>11378907.359976521</v>
      </c>
      <c r="V9" s="4">
        <f>'C&amp;E'!V129</f>
        <v>1640400.2161525842</v>
      </c>
      <c r="W9" s="4">
        <f>'C&amp;E'!W129</f>
        <v>0</v>
      </c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</row>
    <row r="10" spans="1:47" x14ac:dyDescent="0.3">
      <c r="A10" s="4">
        <v>255518.96</v>
      </c>
      <c r="B10" s="4">
        <v>259780.83999999997</v>
      </c>
      <c r="C10" s="4">
        <v>206451.46000000002</v>
      </c>
      <c r="D10" s="4">
        <v>264783.68</v>
      </c>
      <c r="E10" s="4">
        <v>284434.28000000003</v>
      </c>
      <c r="F10" s="4">
        <v>265981.90000000002</v>
      </c>
      <c r="G10" s="4">
        <v>336906.78</v>
      </c>
      <c r="H10" s="4">
        <v>549404.39</v>
      </c>
      <c r="I10" s="4">
        <v>287548.32</v>
      </c>
      <c r="J10" s="4">
        <v>248470.69000000003</v>
      </c>
      <c r="K10" s="4">
        <v>281246.375</v>
      </c>
      <c r="L10" s="4">
        <v>1181176.4716666667</v>
      </c>
      <c r="M10" s="345" t="s">
        <v>264</v>
      </c>
      <c r="N10" s="4">
        <f>CES!N129</f>
        <v>0</v>
      </c>
      <c r="O10" s="4">
        <f>CES!O129</f>
        <v>4643270.9864315614</v>
      </c>
      <c r="P10" s="4">
        <f>CES!P129</f>
        <v>4643270.9864315614</v>
      </c>
      <c r="Q10" s="4">
        <f>CES!Q129</f>
        <v>4643270.9864315614</v>
      </c>
      <c r="R10" s="4">
        <f>CES!R129</f>
        <v>0</v>
      </c>
      <c r="S10" s="4">
        <f>CES!S129</f>
        <v>400000</v>
      </c>
      <c r="T10" s="4">
        <f>CES!T129</f>
        <v>-325172.99887704337</v>
      </c>
      <c r="U10" s="4">
        <f>CES!U129</f>
        <v>4496468.8864807915</v>
      </c>
      <c r="V10" s="4">
        <f>CES!V129</f>
        <v>-146802.09995076992</v>
      </c>
      <c r="W10" s="4">
        <f>CES!W129</f>
        <v>0</v>
      </c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</row>
    <row r="11" spans="1:47" x14ac:dyDescent="0.3">
      <c r="A11" s="4">
        <v>197582.54</v>
      </c>
      <c r="B11" s="4">
        <v>230097.09</v>
      </c>
      <c r="C11" s="4">
        <v>167003.10999999999</v>
      </c>
      <c r="D11" s="4">
        <v>332804.47999999998</v>
      </c>
      <c r="E11" s="4">
        <v>337757.83</v>
      </c>
      <c r="F11" s="4">
        <v>341553.69</v>
      </c>
      <c r="G11" s="4">
        <v>359387.9800000001</v>
      </c>
      <c r="H11" s="4">
        <v>352922.08999999997</v>
      </c>
      <c r="I11" s="4">
        <v>321914.99</v>
      </c>
      <c r="J11" s="4">
        <v>245255.27000000002</v>
      </c>
      <c r="K11" s="4">
        <v>433434.02</v>
      </c>
      <c r="L11" s="4">
        <v>377351.61</v>
      </c>
      <c r="M11" s="345" t="s">
        <v>265</v>
      </c>
      <c r="N11" s="4">
        <f>LLT!N129</f>
        <v>0</v>
      </c>
      <c r="O11" s="4">
        <f>LLT!O129</f>
        <v>3845502.3595491648</v>
      </c>
      <c r="P11" s="4">
        <f>LLT!P129</f>
        <v>3845502.3595491648</v>
      </c>
      <c r="Q11" s="4">
        <f>LLT!Q129</f>
        <v>3845502.3595491648</v>
      </c>
      <c r="R11" s="4">
        <f>LLT!R129</f>
        <v>0</v>
      </c>
      <c r="S11" s="4">
        <f>LLT!S129</f>
        <v>0</v>
      </c>
      <c r="T11" s="4">
        <f>LLT!T129</f>
        <v>0</v>
      </c>
      <c r="U11" s="4">
        <f>LLT!U129</f>
        <v>3877275.9742022967</v>
      </c>
      <c r="V11" s="4">
        <f>LLT!V129</f>
        <v>31773.614653131925</v>
      </c>
      <c r="W11" s="4">
        <f>LLT!W129</f>
        <v>0</v>
      </c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</row>
    <row r="12" spans="1:47" ht="15" thickBot="1" x14ac:dyDescent="0.35">
      <c r="A12" s="348">
        <v>32123.83</v>
      </c>
      <c r="B12" s="348">
        <v>12799.3</v>
      </c>
      <c r="C12" s="348">
        <v>68146.06</v>
      </c>
      <c r="D12" s="348">
        <v>28645.25</v>
      </c>
      <c r="E12" s="348">
        <v>41517.14</v>
      </c>
      <c r="F12" s="348">
        <v>42342.43</v>
      </c>
      <c r="G12" s="348">
        <v>51960.959999999992</v>
      </c>
      <c r="H12" s="348">
        <v>51910.12</v>
      </c>
      <c r="I12" s="348">
        <v>20918.849999999999</v>
      </c>
      <c r="J12" s="348">
        <v>5163.5999999999995</v>
      </c>
      <c r="K12" s="348">
        <v>26102</v>
      </c>
      <c r="L12" s="348">
        <v>27520</v>
      </c>
      <c r="M12" s="345" t="s">
        <v>266</v>
      </c>
      <c r="N12" s="348">
        <f>GB!N129</f>
        <v>0</v>
      </c>
      <c r="O12" s="348">
        <f>GB!O129</f>
        <v>429117.61105784</v>
      </c>
      <c r="P12" s="348">
        <f>GB!P129</f>
        <v>429117.61105784</v>
      </c>
      <c r="Q12" s="348">
        <f>GB!Q129</f>
        <v>429117.61105784</v>
      </c>
      <c r="R12" s="348">
        <f>GB!R129</f>
        <v>0</v>
      </c>
      <c r="S12" s="348">
        <f>GB!S129</f>
        <v>0</v>
      </c>
      <c r="T12" s="348">
        <f>GB!T129</f>
        <v>-8.1854523159563541E-12</v>
      </c>
      <c r="U12" s="348">
        <f>GB!U129</f>
        <v>429117.61105784</v>
      </c>
      <c r="V12" s="348">
        <f>GB!V129</f>
        <v>0</v>
      </c>
      <c r="W12" s="348">
        <f>GB!W129</f>
        <v>0</v>
      </c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</row>
    <row r="13" spans="1:47" s="352" customFormat="1" ht="14.4" customHeight="1" thickBot="1" x14ac:dyDescent="0.35">
      <c r="A13" s="349">
        <f>SUM(A5:A12)</f>
        <v>3429739.5237000003</v>
      </c>
      <c r="B13" s="350">
        <f t="shared" ref="B13:L13" si="0">SUM(B5:B12)</f>
        <v>4161168.1994142849</v>
      </c>
      <c r="C13" s="350">
        <f t="shared" si="0"/>
        <v>5059902.6867800001</v>
      </c>
      <c r="D13" s="350">
        <f t="shared" si="0"/>
        <v>3977113.6867799996</v>
      </c>
      <c r="E13" s="350">
        <f t="shared" si="0"/>
        <v>4508400.4667799994</v>
      </c>
      <c r="F13" s="350">
        <f t="shared" si="0"/>
        <v>4082453.12678</v>
      </c>
      <c r="G13" s="350">
        <f t="shared" si="0"/>
        <v>4822273.1367800012</v>
      </c>
      <c r="H13" s="350">
        <f t="shared" si="0"/>
        <v>5487016.9767799992</v>
      </c>
      <c r="I13" s="350">
        <f t="shared" si="0"/>
        <v>4565865.0142753683</v>
      </c>
      <c r="J13" s="350">
        <f t="shared" si="0"/>
        <v>3949807.6601133333</v>
      </c>
      <c r="K13" s="350">
        <f t="shared" si="0"/>
        <v>4743939.006886784</v>
      </c>
      <c r="L13" s="350">
        <f t="shared" si="0"/>
        <v>6080140.932798109</v>
      </c>
      <c r="M13" s="351" t="s">
        <v>230</v>
      </c>
      <c r="N13" s="350">
        <f>SUM(N5:N12)</f>
        <v>0</v>
      </c>
      <c r="O13" s="350">
        <f>SUM(O5:O12)</f>
        <v>57335385.136033535</v>
      </c>
      <c r="P13" s="350">
        <f>SUM(P5:P12)</f>
        <v>57335385.136033535</v>
      </c>
      <c r="Q13" s="350">
        <f>SUM(Q5:Q12)</f>
        <v>57335385.390751533</v>
      </c>
      <c r="R13" s="350">
        <f t="shared" ref="R13:W13" si="1">SUM(R5:R12)</f>
        <v>0.254718000000139</v>
      </c>
      <c r="S13" s="350"/>
      <c r="T13" s="350">
        <f t="shared" si="1"/>
        <v>-0.39194171888175333</v>
      </c>
      <c r="U13" s="350">
        <f t="shared" si="1"/>
        <v>59634991.874716625</v>
      </c>
      <c r="V13" s="350">
        <f t="shared" si="1"/>
        <v>2299606.7386830831</v>
      </c>
      <c r="W13" s="350">
        <f t="shared" si="1"/>
        <v>0</v>
      </c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</row>
    <row r="14" spans="1:47" ht="14.4" customHeight="1" x14ac:dyDescent="0.3">
      <c r="Q14" s="295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</row>
    <row r="15" spans="1:47" x14ac:dyDescent="0.3">
      <c r="Q15" s="346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</row>
    <row r="16" spans="1:47" x14ac:dyDescent="0.3">
      <c r="Q16" s="34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</row>
    <row r="17" spans="17:47" x14ac:dyDescent="0.3">
      <c r="Q17" s="34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</row>
    <row r="18" spans="17:47" x14ac:dyDescent="0.3"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</row>
    <row r="19" spans="17:47" x14ac:dyDescent="0.3"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</row>
    <row r="20" spans="17:47" x14ac:dyDescent="0.3"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</row>
    <row r="21" spans="17:47" x14ac:dyDescent="0.3"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</row>
    <row r="22" spans="17:47" x14ac:dyDescent="0.3"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</row>
  </sheetData>
  <mergeCells count="2">
    <mergeCell ref="A2:L2"/>
    <mergeCell ref="N2:W2"/>
  </mergeCells>
  <hyperlinks>
    <hyperlink ref="M5" location="CEO!A1" display="CEO" xr:uid="{00000000-0004-0000-1000-000000000000}"/>
    <hyperlink ref="M6" location="CS!A1" display="CS" xr:uid="{00000000-0004-0000-1000-000001000000}"/>
    <hyperlink ref="M7" location="CFO!A1" display="CFO" xr:uid="{00000000-0004-0000-1000-000002000000}"/>
    <hyperlink ref="M8" location="LLA!A1" display="LLA" xr:uid="{00000000-0004-0000-1000-000003000000}"/>
    <hyperlink ref="M9" location="'C&amp;E'!A1" display="C&amp;E" xr:uid="{00000000-0004-0000-1000-000004000000}"/>
    <hyperlink ref="M10" location="CES!A1" display="CES" xr:uid="{00000000-0004-0000-1000-000005000000}"/>
    <hyperlink ref="M11" location="LLT!A1" display="LLT" xr:uid="{00000000-0004-0000-1000-000006000000}"/>
    <hyperlink ref="M12" location="GB!A1" display="GB" xr:uid="{00000000-0004-0000-1000-000007000000}"/>
    <hyperlink ref="M13" location="'WCLA Consolidated Actuals'!A1" display="Western Cape Liquor Authority" xr:uid="{00000000-0004-0000-1000-000008000000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C132"/>
  <sheetViews>
    <sheetView zoomScale="60" zoomScaleNormal="60" workbookViewId="0">
      <pane xSplit="13" ySplit="5" topLeftCell="N6" activePane="bottomRight" state="frozen"/>
      <selection pane="topRight" activeCell="N1" sqref="N1"/>
      <selection pane="bottomLeft" activeCell="A6" sqref="A6"/>
      <selection pane="bottomRight" activeCell="Q22" sqref="Q22"/>
    </sheetView>
  </sheetViews>
  <sheetFormatPr defaultRowHeight="14.4" x14ac:dyDescent="0.3"/>
  <cols>
    <col min="1" max="12" width="13" bestFit="1" customWidth="1"/>
    <col min="13" max="13" width="66.33203125" customWidth="1"/>
    <col min="14" max="15" width="13.6640625" customWidth="1"/>
    <col min="16" max="16" width="18" customWidth="1"/>
    <col min="17" max="17" width="18.33203125" customWidth="1"/>
    <col min="18" max="18" width="15.88671875" hidden="1" customWidth="1"/>
    <col min="19" max="19" width="13.6640625" style="167" hidden="1" customWidth="1"/>
    <col min="20" max="20" width="14.109375" style="167" hidden="1" customWidth="1"/>
    <col min="21" max="21" width="14.44140625" style="167" hidden="1" customWidth="1"/>
    <col min="22" max="22" width="15.88671875" style="167" hidden="1" customWidth="1"/>
    <col min="23" max="23" width="24.88671875" hidden="1" customWidth="1"/>
    <col min="24" max="24" width="17.33203125" customWidth="1"/>
    <col min="25" max="25" width="13" hidden="1" customWidth="1"/>
    <col min="26" max="26" width="18.33203125" style="167" hidden="1" customWidth="1"/>
    <col min="27" max="27" width="13.33203125" style="167" customWidth="1"/>
    <col min="28" max="28" width="13.6640625" style="296" bestFit="1" customWidth="1"/>
    <col min="29" max="29" width="13.6640625" bestFit="1" customWidth="1"/>
  </cols>
  <sheetData>
    <row r="1" spans="1:29" x14ac:dyDescent="0.3">
      <c r="L1" s="379">
        <v>4.8000000000000001E-2</v>
      </c>
    </row>
    <row r="2" spans="1:29" x14ac:dyDescent="0.3">
      <c r="C2" t="s">
        <v>412</v>
      </c>
      <c r="E2">
        <v>76592.418220000007</v>
      </c>
    </row>
    <row r="3" spans="1:29" x14ac:dyDescent="0.3">
      <c r="A3" s="426" t="s">
        <v>231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8"/>
      <c r="M3" s="14" t="s">
        <v>69</v>
      </c>
      <c r="N3" s="239" t="s">
        <v>226</v>
      </c>
      <c r="O3" s="240"/>
      <c r="P3" s="240"/>
      <c r="Q3" s="240"/>
      <c r="R3" s="240"/>
      <c r="S3" s="344"/>
      <c r="T3" s="340"/>
      <c r="U3" s="340"/>
      <c r="V3" s="340"/>
      <c r="W3" s="240"/>
      <c r="X3" s="125"/>
      <c r="Z3" s="386"/>
    </row>
    <row r="4" spans="1:29" ht="41.4" x14ac:dyDescent="0.3">
      <c r="A4" s="125">
        <v>44287</v>
      </c>
      <c r="B4" s="125">
        <v>44317</v>
      </c>
      <c r="C4" s="125">
        <v>44348</v>
      </c>
      <c r="D4" s="125">
        <v>44378</v>
      </c>
      <c r="E4" s="125">
        <v>44409</v>
      </c>
      <c r="F4" s="125">
        <v>44440</v>
      </c>
      <c r="G4" s="125">
        <v>44470</v>
      </c>
      <c r="H4" s="125">
        <v>44501</v>
      </c>
      <c r="I4" s="125">
        <v>44531</v>
      </c>
      <c r="J4" s="125">
        <v>44562</v>
      </c>
      <c r="K4" s="125">
        <v>44593</v>
      </c>
      <c r="L4" s="125">
        <v>44621</v>
      </c>
      <c r="M4" s="241" t="s">
        <v>279</v>
      </c>
      <c r="N4" s="243" t="s">
        <v>411</v>
      </c>
      <c r="O4" s="243" t="s">
        <v>413</v>
      </c>
      <c r="P4" s="243" t="s">
        <v>407</v>
      </c>
      <c r="Q4" s="243" t="s">
        <v>407</v>
      </c>
      <c r="R4" s="243" t="s">
        <v>228</v>
      </c>
      <c r="S4" s="243" t="s">
        <v>378</v>
      </c>
      <c r="T4" s="243" t="s">
        <v>294</v>
      </c>
      <c r="U4" s="243" t="s">
        <v>74</v>
      </c>
      <c r="V4" s="243" t="s">
        <v>295</v>
      </c>
      <c r="W4" s="243" t="s">
        <v>229</v>
      </c>
      <c r="X4" s="125" t="s">
        <v>271</v>
      </c>
      <c r="Y4" s="380" t="s">
        <v>406</v>
      </c>
      <c r="Z4" s="243" t="s">
        <v>407</v>
      </c>
    </row>
    <row r="5" spans="1:29" ht="28.8" x14ac:dyDescent="0.3">
      <c r="A5" s="10" t="s">
        <v>1</v>
      </c>
      <c r="B5" s="10" t="s">
        <v>1</v>
      </c>
      <c r="C5" s="10" t="s">
        <v>1</v>
      </c>
      <c r="D5" s="10" t="s">
        <v>1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242"/>
      <c r="N5" s="201" t="s">
        <v>2</v>
      </c>
      <c r="O5" s="10" t="s">
        <v>1</v>
      </c>
      <c r="P5" s="289" t="s">
        <v>502</v>
      </c>
      <c r="Q5" s="289" t="s">
        <v>241</v>
      </c>
      <c r="R5" s="10" t="s">
        <v>399</v>
      </c>
      <c r="S5" s="289" t="s">
        <v>235</v>
      </c>
      <c r="T5" s="289" t="s">
        <v>235</v>
      </c>
      <c r="U5" s="289" t="s">
        <v>235</v>
      </c>
      <c r="V5" s="10" t="s">
        <v>399</v>
      </c>
      <c r="W5" s="10" t="s">
        <v>400</v>
      </c>
      <c r="X5" s="10" t="s">
        <v>13</v>
      </c>
      <c r="Z5" s="10" t="s">
        <v>235</v>
      </c>
    </row>
    <row r="6" spans="1:29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2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Z6" s="1"/>
    </row>
    <row r="7" spans="1:29" x14ac:dyDescent="0.3">
      <c r="A7" s="8">
        <v>0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/>
      <c r="I7" s="8"/>
      <c r="J7" s="8"/>
      <c r="K7" s="8">
        <v>0</v>
      </c>
      <c r="L7" s="8">
        <f>$Q7/12</f>
        <v>0</v>
      </c>
      <c r="M7" s="238" t="s">
        <v>414</v>
      </c>
      <c r="N7" s="8">
        <f>SUM(0)</f>
        <v>0</v>
      </c>
      <c r="O7" s="8">
        <f>SUM(A7:L7)</f>
        <v>0</v>
      </c>
      <c r="P7" s="8">
        <f>SUM(N7:O7)</f>
        <v>0</v>
      </c>
      <c r="Q7" s="8">
        <v>0</v>
      </c>
      <c r="R7" s="8">
        <f>Q7-P7</f>
        <v>0</v>
      </c>
      <c r="S7" s="8"/>
      <c r="T7" s="8"/>
      <c r="U7" s="8">
        <v>0</v>
      </c>
      <c r="V7" s="8">
        <f>U7-P7</f>
        <v>0</v>
      </c>
      <c r="W7" s="8"/>
      <c r="X7" s="158"/>
      <c r="Y7" s="295">
        <f>P7</f>
        <v>0</v>
      </c>
      <c r="Z7" s="8"/>
    </row>
    <row r="8" spans="1:29" ht="27.6" x14ac:dyDescent="0.3">
      <c r="A8" s="7">
        <f>72691.03*1.058</f>
        <v>76907.10974</v>
      </c>
      <c r="B8" s="7">
        <f>76889.86*1.058</f>
        <v>81349.471879999997</v>
      </c>
      <c r="C8" s="7">
        <f t="shared" ref="C8:K8" si="0">187351.21272*1.058</f>
        <v>198217.58305776003</v>
      </c>
      <c r="D8" s="7">
        <f t="shared" si="0"/>
        <v>198217.58305776003</v>
      </c>
      <c r="E8" s="7">
        <f t="shared" si="0"/>
        <v>198217.58305776003</v>
      </c>
      <c r="F8" s="7">
        <f t="shared" si="0"/>
        <v>198217.58305776003</v>
      </c>
      <c r="G8" s="7">
        <f t="shared" si="0"/>
        <v>198217.58305776003</v>
      </c>
      <c r="H8" s="7">
        <f t="shared" si="0"/>
        <v>198217.58305776003</v>
      </c>
      <c r="I8" s="7">
        <f t="shared" si="0"/>
        <v>198217.58305776003</v>
      </c>
      <c r="J8" s="7">
        <f t="shared" si="0"/>
        <v>198217.58305776003</v>
      </c>
      <c r="K8" s="7">
        <f t="shared" si="0"/>
        <v>198217.58305776003</v>
      </c>
      <c r="L8" s="7">
        <f>(187351.21272*1.058)+282.2</f>
        <v>198499.78305776004</v>
      </c>
      <c r="M8" s="13" t="s">
        <v>415</v>
      </c>
      <c r="N8" s="7">
        <f t="shared" ref="N8:N16" si="1">SUM(0)</f>
        <v>0</v>
      </c>
      <c r="O8" s="7">
        <f t="shared" ref="O8:O16" si="2">SUM(A8:L8)</f>
        <v>2140714.6121976003</v>
      </c>
      <c r="P8" s="7">
        <f t="shared" ref="P8:P16" si="3">SUM(N8:O8)</f>
        <v>2140714.6121976003</v>
      </c>
      <c r="Q8" s="7">
        <v>2140714.6121976003</v>
      </c>
      <c r="R8" s="202">
        <f t="shared" ref="R8:R16" si="4">Q8-P8</f>
        <v>0</v>
      </c>
      <c r="S8" s="7"/>
      <c r="T8" s="7">
        <v>-61376</v>
      </c>
      <c r="U8" s="7">
        <v>1919016.3145600001</v>
      </c>
      <c r="V8" s="7">
        <f t="shared" ref="V8:V71" si="5">U8-P8</f>
        <v>-221698.29763760022</v>
      </c>
      <c r="W8" s="359" t="s">
        <v>280</v>
      </c>
      <c r="X8" s="159">
        <f>IFERROR(N8/Q8,0)</f>
        <v>0</v>
      </c>
      <c r="Y8" s="295">
        <f t="shared" ref="Y8:Y16" si="6">P8</f>
        <v>2140714.6121976003</v>
      </c>
      <c r="Z8" s="7">
        <f>SUM(A8:L8)</f>
        <v>2140714.6121976003</v>
      </c>
      <c r="AA8" s="182"/>
      <c r="AC8" s="182"/>
    </row>
    <row r="9" spans="1:29" x14ac:dyDescent="0.3">
      <c r="A9" s="7"/>
      <c r="B9" s="7"/>
      <c r="C9" s="7"/>
      <c r="D9" s="7"/>
      <c r="E9" s="7"/>
      <c r="F9" s="7"/>
      <c r="G9" s="7"/>
      <c r="H9" s="7"/>
      <c r="I9" s="7"/>
      <c r="J9" s="7">
        <v>0</v>
      </c>
      <c r="K9" s="7"/>
      <c r="L9" s="7">
        <v>2189.4816000000001</v>
      </c>
      <c r="M9" s="13" t="s">
        <v>416</v>
      </c>
      <c r="N9" s="7">
        <f t="shared" si="1"/>
        <v>0</v>
      </c>
      <c r="O9" s="7">
        <f t="shared" si="2"/>
        <v>2189.4816000000001</v>
      </c>
      <c r="P9" s="7">
        <f t="shared" si="3"/>
        <v>2189.4816000000001</v>
      </c>
      <c r="Q9" s="7">
        <v>2189.4816000000001</v>
      </c>
      <c r="R9" s="7">
        <f t="shared" si="4"/>
        <v>0</v>
      </c>
      <c r="S9" s="7"/>
      <c r="T9" s="7"/>
      <c r="U9" s="7">
        <v>2970.5884718400002</v>
      </c>
      <c r="V9" s="7">
        <f t="shared" si="5"/>
        <v>781.10687184000017</v>
      </c>
      <c r="W9" s="359"/>
      <c r="X9" s="159">
        <f>IFERROR(N9/Q9,0)</f>
        <v>0</v>
      </c>
      <c r="Y9" s="295">
        <f t="shared" si="6"/>
        <v>2189.4816000000001</v>
      </c>
      <c r="Z9" s="7"/>
      <c r="AA9" s="182"/>
      <c r="AC9" s="182"/>
    </row>
    <row r="10" spans="1:29" x14ac:dyDescent="0.3">
      <c r="A10" s="7">
        <v>0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/>
      <c r="I10" s="7"/>
      <c r="J10" s="7"/>
      <c r="K10" s="7">
        <v>0</v>
      </c>
      <c r="L10" s="7">
        <v>0</v>
      </c>
      <c r="M10" s="13" t="s">
        <v>417</v>
      </c>
      <c r="N10" s="7">
        <f t="shared" si="1"/>
        <v>0</v>
      </c>
      <c r="O10" s="7">
        <f t="shared" si="2"/>
        <v>0</v>
      </c>
      <c r="P10" s="7">
        <f t="shared" si="3"/>
        <v>0</v>
      </c>
      <c r="Q10" s="7">
        <v>0</v>
      </c>
      <c r="R10" s="7">
        <f t="shared" si="4"/>
        <v>0</v>
      </c>
      <c r="S10" s="7"/>
      <c r="T10" s="7"/>
      <c r="U10" s="7">
        <v>0</v>
      </c>
      <c r="V10" s="7">
        <f t="shared" si="5"/>
        <v>0</v>
      </c>
      <c r="W10" s="359"/>
      <c r="X10" s="159">
        <f t="shared" ref="X10:X73" si="7">IFERROR(N10/Q10,0)</f>
        <v>0</v>
      </c>
      <c r="Y10" s="295">
        <f t="shared" si="6"/>
        <v>0</v>
      </c>
      <c r="Z10" s="7"/>
      <c r="AA10" s="182"/>
      <c r="AC10" s="182"/>
    </row>
    <row r="11" spans="1:29" x14ac:dyDescent="0.3">
      <c r="A11" s="7">
        <v>0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/>
      <c r="I11" s="7"/>
      <c r="J11" s="7"/>
      <c r="K11" s="7">
        <v>0</v>
      </c>
      <c r="L11" s="7">
        <v>0</v>
      </c>
      <c r="M11" s="13" t="s">
        <v>418</v>
      </c>
      <c r="N11" s="7">
        <f t="shared" si="1"/>
        <v>0</v>
      </c>
      <c r="O11" s="7">
        <f t="shared" si="2"/>
        <v>0</v>
      </c>
      <c r="P11" s="7">
        <f t="shared" si="3"/>
        <v>0</v>
      </c>
      <c r="Q11" s="7">
        <v>0</v>
      </c>
      <c r="R11" s="7">
        <f t="shared" si="4"/>
        <v>0</v>
      </c>
      <c r="S11" s="7"/>
      <c r="T11" s="7"/>
      <c r="U11" s="7">
        <v>0</v>
      </c>
      <c r="V11" s="7">
        <f t="shared" si="5"/>
        <v>0</v>
      </c>
      <c r="W11" s="359"/>
      <c r="X11" s="159">
        <f t="shared" si="7"/>
        <v>0</v>
      </c>
      <c r="Y11" s="295">
        <f t="shared" si="6"/>
        <v>0</v>
      </c>
      <c r="Z11" s="7"/>
      <c r="AA11" s="182"/>
      <c r="AC11" s="182"/>
    </row>
    <row r="12" spans="1:29" ht="27.6" x14ac:dyDescent="0.3">
      <c r="A12" s="7">
        <f>1533.72*1.048</f>
        <v>1607.3385600000001</v>
      </c>
      <c r="B12" s="7">
        <f>1533.72*1.048</f>
        <v>1607.3385600000001</v>
      </c>
      <c r="C12" s="7">
        <f t="shared" ref="C12:L12" si="8">2515.29978*1.048</f>
        <v>2636.0341694399999</v>
      </c>
      <c r="D12" s="7">
        <f t="shared" si="8"/>
        <v>2636.0341694399999</v>
      </c>
      <c r="E12" s="7">
        <f t="shared" si="8"/>
        <v>2636.0341694399999</v>
      </c>
      <c r="F12" s="7">
        <f t="shared" si="8"/>
        <v>2636.0341694399999</v>
      </c>
      <c r="G12" s="7">
        <f t="shared" si="8"/>
        <v>2636.0341694399999</v>
      </c>
      <c r="H12" s="7">
        <f t="shared" si="8"/>
        <v>2636.0341694399999</v>
      </c>
      <c r="I12" s="7">
        <f t="shared" si="8"/>
        <v>2636.0341694399999</v>
      </c>
      <c r="J12" s="7">
        <f t="shared" si="8"/>
        <v>2636.0341694399999</v>
      </c>
      <c r="K12" s="7">
        <f t="shared" si="8"/>
        <v>2636.0341694399999</v>
      </c>
      <c r="L12" s="7">
        <f t="shared" si="8"/>
        <v>2636.0341694399999</v>
      </c>
      <c r="M12" s="13" t="s">
        <v>419</v>
      </c>
      <c r="N12" s="7">
        <f t="shared" si="1"/>
        <v>0</v>
      </c>
      <c r="O12" s="7">
        <f t="shared" si="2"/>
        <v>29575.018814400006</v>
      </c>
      <c r="P12" s="7">
        <f t="shared" si="3"/>
        <v>29575.018814400006</v>
      </c>
      <c r="Q12" s="7">
        <v>29575.018814400006</v>
      </c>
      <c r="R12" s="202">
        <f t="shared" si="4"/>
        <v>0</v>
      </c>
      <c r="S12" s="7"/>
      <c r="T12" s="7"/>
      <c r="U12" s="7">
        <v>27663.584129999996</v>
      </c>
      <c r="V12" s="7">
        <f t="shared" si="5"/>
        <v>-1911.4346844000102</v>
      </c>
      <c r="W12" s="359" t="s">
        <v>280</v>
      </c>
      <c r="X12" s="159">
        <f t="shared" si="7"/>
        <v>0</v>
      </c>
      <c r="Y12" s="295">
        <f t="shared" si="6"/>
        <v>29575.018814400006</v>
      </c>
      <c r="Z12" s="7"/>
      <c r="AA12" s="182"/>
      <c r="AC12" s="182"/>
    </row>
    <row r="13" spans="1:29" x14ac:dyDescent="0.3">
      <c r="A13" s="7"/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/>
      <c r="I13" s="7"/>
      <c r="J13" s="7"/>
      <c r="K13" s="7">
        <v>0</v>
      </c>
      <c r="L13" s="7">
        <f>1273.06*1.048</f>
        <v>1334.16688</v>
      </c>
      <c r="M13" s="13" t="s">
        <v>420</v>
      </c>
      <c r="N13" s="7">
        <f t="shared" si="1"/>
        <v>0</v>
      </c>
      <c r="O13" s="7">
        <f t="shared" si="2"/>
        <v>1334.16688</v>
      </c>
      <c r="P13" s="7">
        <f t="shared" si="3"/>
        <v>1334.16688</v>
      </c>
      <c r="Q13" s="7">
        <v>1334.16688</v>
      </c>
      <c r="R13" s="7">
        <f t="shared" si="4"/>
        <v>0</v>
      </c>
      <c r="S13" s="7"/>
      <c r="T13" s="7">
        <v>1273</v>
      </c>
      <c r="U13" s="7">
        <v>1273</v>
      </c>
      <c r="V13" s="7">
        <f t="shared" si="5"/>
        <v>-61.166879999999992</v>
      </c>
      <c r="W13" s="7"/>
      <c r="X13" s="159">
        <f t="shared" si="7"/>
        <v>0</v>
      </c>
      <c r="Y13" s="295">
        <f t="shared" si="6"/>
        <v>1334.16688</v>
      </c>
      <c r="Z13" s="7"/>
      <c r="AA13" s="182"/>
      <c r="AC13" s="182"/>
    </row>
    <row r="14" spans="1:29" x14ac:dyDescent="0.3">
      <c r="A14" s="7">
        <v>0</v>
      </c>
      <c r="B14" s="7"/>
      <c r="C14" s="7"/>
      <c r="D14" s="7"/>
      <c r="E14" s="7"/>
      <c r="F14" s="7"/>
      <c r="G14" s="7"/>
      <c r="H14" s="7">
        <f>40000.421882435</f>
        <v>40000.421882435003</v>
      </c>
      <c r="I14" s="7"/>
      <c r="J14" s="7"/>
      <c r="K14" s="7"/>
      <c r="L14" s="7"/>
      <c r="M14" s="13" t="s">
        <v>421</v>
      </c>
      <c r="N14" s="7">
        <f t="shared" si="1"/>
        <v>0</v>
      </c>
      <c r="O14" s="7">
        <f t="shared" si="2"/>
        <v>40000.421882435003</v>
      </c>
      <c r="P14" s="7">
        <f t="shared" si="3"/>
        <v>40000.421882435003</v>
      </c>
      <c r="Q14" s="7">
        <v>40000.421882435003</v>
      </c>
      <c r="R14" s="7">
        <f t="shared" si="4"/>
        <v>0</v>
      </c>
      <c r="S14" s="7"/>
      <c r="T14" s="7">
        <v>-94666</v>
      </c>
      <c r="U14" s="7">
        <v>43100.421882434777</v>
      </c>
      <c r="V14" s="7">
        <f t="shared" si="5"/>
        <v>3099.9999999997744</v>
      </c>
      <c r="W14" s="7"/>
      <c r="X14" s="159">
        <f t="shared" si="7"/>
        <v>0</v>
      </c>
      <c r="Y14" s="295">
        <f t="shared" si="6"/>
        <v>40000.421882435003</v>
      </c>
      <c r="Z14" s="7"/>
      <c r="AA14" s="182"/>
      <c r="AC14" s="182"/>
    </row>
    <row r="15" spans="1:29" x14ac:dyDescent="0.3">
      <c r="A15" s="7">
        <v>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/>
      <c r="I15" s="7"/>
      <c r="J15" s="7"/>
      <c r="K15" s="7">
        <v>0</v>
      </c>
      <c r="L15" s="7">
        <v>0</v>
      </c>
      <c r="M15" s="13" t="s">
        <v>422</v>
      </c>
      <c r="N15" s="7">
        <f t="shared" si="1"/>
        <v>0</v>
      </c>
      <c r="O15" s="7">
        <f t="shared" si="2"/>
        <v>0</v>
      </c>
      <c r="P15" s="7">
        <f t="shared" si="3"/>
        <v>0</v>
      </c>
      <c r="Q15" s="7">
        <v>0</v>
      </c>
      <c r="R15" s="7">
        <f t="shared" si="4"/>
        <v>0</v>
      </c>
      <c r="S15" s="7"/>
      <c r="T15" s="7"/>
      <c r="U15" s="7">
        <v>0</v>
      </c>
      <c r="V15" s="7">
        <f t="shared" si="5"/>
        <v>0</v>
      </c>
      <c r="W15" s="7"/>
      <c r="X15" s="159">
        <f t="shared" si="7"/>
        <v>0</v>
      </c>
      <c r="Y15" s="295">
        <f t="shared" si="6"/>
        <v>0</v>
      </c>
      <c r="Z15" s="7"/>
      <c r="AA15" s="182"/>
      <c r="AC15" s="182"/>
    </row>
    <row r="16" spans="1:29" x14ac:dyDescent="0.3">
      <c r="A16" s="11">
        <v>0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/>
      <c r="I16" s="11"/>
      <c r="J16" s="11"/>
      <c r="K16" s="11">
        <v>0</v>
      </c>
      <c r="L16" s="11">
        <v>0</v>
      </c>
      <c r="M16" s="13" t="s">
        <v>423</v>
      </c>
      <c r="N16" s="11">
        <f t="shared" si="1"/>
        <v>0</v>
      </c>
      <c r="O16" s="11">
        <f t="shared" si="2"/>
        <v>0</v>
      </c>
      <c r="P16" s="11">
        <f t="shared" si="3"/>
        <v>0</v>
      </c>
      <c r="Q16" s="11">
        <v>0</v>
      </c>
      <c r="R16" s="11">
        <f t="shared" si="4"/>
        <v>0</v>
      </c>
      <c r="S16" s="11"/>
      <c r="T16" s="11"/>
      <c r="U16" s="11">
        <v>0</v>
      </c>
      <c r="V16" s="11">
        <f t="shared" si="5"/>
        <v>0</v>
      </c>
      <c r="W16" s="11"/>
      <c r="X16" s="160">
        <f t="shared" si="7"/>
        <v>0</v>
      </c>
      <c r="Y16" s="295">
        <f t="shared" si="6"/>
        <v>0</v>
      </c>
      <c r="Z16" s="11"/>
      <c r="AA16" s="182"/>
      <c r="AC16" s="182"/>
    </row>
    <row r="17" spans="1:29" x14ac:dyDescent="0.3">
      <c r="A17" s="81"/>
      <c r="B17" s="81"/>
      <c r="C17" s="81"/>
      <c r="D17" s="85"/>
      <c r="E17" s="83"/>
      <c r="F17" s="83"/>
      <c r="G17" s="83"/>
      <c r="H17" s="83"/>
      <c r="I17" s="83"/>
      <c r="J17" s="83"/>
      <c r="K17" s="84"/>
      <c r="L17" s="84"/>
      <c r="M17" s="13"/>
      <c r="N17" s="83">
        <f t="shared" ref="N17:N66" si="9">SUM(A17:J17)</f>
        <v>0</v>
      </c>
      <c r="O17" s="83">
        <f t="shared" ref="O17:O66" si="10">SUM(K17:L17)</f>
        <v>0</v>
      </c>
      <c r="P17" s="83">
        <f t="shared" ref="P17:P71" si="11">SUM(N17:O17)</f>
        <v>0</v>
      </c>
      <c r="Q17" s="81">
        <v>0</v>
      </c>
      <c r="R17" s="81"/>
      <c r="S17" s="81"/>
      <c r="T17" s="81"/>
      <c r="U17" s="81">
        <v>0</v>
      </c>
      <c r="V17" s="81">
        <f t="shared" si="5"/>
        <v>0</v>
      </c>
      <c r="W17" s="81"/>
      <c r="X17" s="204"/>
      <c r="Z17" s="81"/>
      <c r="AA17" s="182"/>
      <c r="AC17" s="182"/>
    </row>
    <row r="18" spans="1:29" x14ac:dyDescent="0.3">
      <c r="A18" s="4">
        <f>SUM(A7:A16)</f>
        <v>78514.448300000004</v>
      </c>
      <c r="B18" s="4">
        <f t="shared" ref="B18:L18" si="12">SUM(B7:B16)</f>
        <v>82956.810440000001</v>
      </c>
      <c r="C18" s="4">
        <f t="shared" si="12"/>
        <v>200853.61722720004</v>
      </c>
      <c r="D18" s="4">
        <f t="shared" si="12"/>
        <v>200853.61722720004</v>
      </c>
      <c r="E18" s="4">
        <f t="shared" si="12"/>
        <v>200853.61722720004</v>
      </c>
      <c r="F18" s="4">
        <f t="shared" si="12"/>
        <v>200853.61722720004</v>
      </c>
      <c r="G18" s="4">
        <f t="shared" si="12"/>
        <v>200853.61722720004</v>
      </c>
      <c r="H18" s="4">
        <f t="shared" si="12"/>
        <v>240854.03910963505</v>
      </c>
      <c r="I18" s="4">
        <f t="shared" si="12"/>
        <v>200853.61722720004</v>
      </c>
      <c r="J18" s="4">
        <f t="shared" si="12"/>
        <v>200853.61722720004</v>
      </c>
      <c r="K18" s="4">
        <f t="shared" si="12"/>
        <v>200853.61722720004</v>
      </c>
      <c r="L18" s="4">
        <f t="shared" si="12"/>
        <v>204659.46570720006</v>
      </c>
      <c r="M18" s="13" t="s">
        <v>89</v>
      </c>
      <c r="N18" s="4">
        <f t="shared" ref="N18:P18" si="13">SUM(N7:N17)</f>
        <v>0</v>
      </c>
      <c r="O18" s="4">
        <f t="shared" si="13"/>
        <v>2213813.7013744353</v>
      </c>
      <c r="P18" s="4">
        <f t="shared" si="13"/>
        <v>2213813.7013744353</v>
      </c>
      <c r="Q18" s="4">
        <v>2213813.7013744353</v>
      </c>
      <c r="R18" s="4">
        <f t="shared" ref="R18:W18" si="14">SUM(R8:R16)</f>
        <v>0</v>
      </c>
      <c r="S18" s="4">
        <v>0</v>
      </c>
      <c r="T18" s="4">
        <v>-154769</v>
      </c>
      <c r="U18" s="4">
        <v>1994023.9090442751</v>
      </c>
      <c r="V18" s="4">
        <f t="shared" si="5"/>
        <v>-219789.79233016027</v>
      </c>
      <c r="W18" s="4">
        <f t="shared" si="14"/>
        <v>0</v>
      </c>
      <c r="X18" s="162">
        <f t="shared" si="7"/>
        <v>0</v>
      </c>
      <c r="Z18" s="4"/>
      <c r="AA18" s="182"/>
      <c r="AC18" s="182"/>
    </row>
    <row r="19" spans="1:29" x14ac:dyDescent="0.3">
      <c r="A19" s="81"/>
      <c r="B19" s="81"/>
      <c r="C19" s="81"/>
      <c r="D19" s="82"/>
      <c r="E19" s="86"/>
      <c r="F19" s="86"/>
      <c r="G19" s="86"/>
      <c r="H19" s="87"/>
      <c r="I19" s="87"/>
      <c r="J19" s="87"/>
      <c r="K19" s="88"/>
      <c r="L19" s="88"/>
      <c r="M19" s="122"/>
      <c r="N19" s="86">
        <f t="shared" si="9"/>
        <v>0</v>
      </c>
      <c r="O19" s="86">
        <f t="shared" si="10"/>
        <v>0</v>
      </c>
      <c r="P19" s="86">
        <f t="shared" si="11"/>
        <v>0</v>
      </c>
      <c r="Q19" s="81">
        <v>0</v>
      </c>
      <c r="R19" s="81"/>
      <c r="S19" s="81"/>
      <c r="T19" s="81"/>
      <c r="U19" s="81">
        <v>0</v>
      </c>
      <c r="V19" s="81">
        <f t="shared" si="5"/>
        <v>0</v>
      </c>
      <c r="W19" s="81"/>
      <c r="X19" s="204"/>
      <c r="Z19" s="81"/>
      <c r="AA19" s="182"/>
    </row>
    <row r="20" spans="1:29" x14ac:dyDescent="0.3">
      <c r="A20" s="8">
        <v>0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238" t="s">
        <v>424</v>
      </c>
      <c r="N20" s="8">
        <f t="shared" ref="N20:N26" si="15">SUM(0)</f>
        <v>0</v>
      </c>
      <c r="O20" s="8">
        <f t="shared" ref="O20:O26" si="16">SUM(A20:L20)</f>
        <v>0</v>
      </c>
      <c r="P20" s="8">
        <f t="shared" si="11"/>
        <v>0</v>
      </c>
      <c r="Q20" s="8">
        <v>0</v>
      </c>
      <c r="R20" s="8">
        <f t="shared" ref="R20:R26" si="17">Q20-P20</f>
        <v>0</v>
      </c>
      <c r="S20" s="8"/>
      <c r="T20" s="8"/>
      <c r="U20" s="8">
        <v>0</v>
      </c>
      <c r="V20" s="8">
        <f t="shared" si="5"/>
        <v>0</v>
      </c>
      <c r="W20" s="8"/>
      <c r="X20" s="158">
        <f t="shared" si="7"/>
        <v>0</v>
      </c>
      <c r="Y20" s="295">
        <f>U20</f>
        <v>0</v>
      </c>
      <c r="Z20" s="8"/>
      <c r="AA20" s="182"/>
    </row>
    <row r="21" spans="1:29" x14ac:dyDescent="0.3">
      <c r="A21" s="7">
        <v>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13" t="s">
        <v>425</v>
      </c>
      <c r="N21" s="7">
        <f t="shared" si="15"/>
        <v>0</v>
      </c>
      <c r="O21" s="7">
        <f t="shared" si="16"/>
        <v>0</v>
      </c>
      <c r="P21" s="7">
        <f t="shared" si="11"/>
        <v>0</v>
      </c>
      <c r="Q21" s="7">
        <v>0</v>
      </c>
      <c r="R21" s="7">
        <f t="shared" si="17"/>
        <v>0</v>
      </c>
      <c r="S21" s="7">
        <v>0</v>
      </c>
      <c r="T21" s="7">
        <v>0</v>
      </c>
      <c r="U21" s="7">
        <v>0</v>
      </c>
      <c r="V21" s="7">
        <f t="shared" si="5"/>
        <v>0</v>
      </c>
      <c r="W21" s="7"/>
      <c r="X21" s="159">
        <f t="shared" si="7"/>
        <v>0</v>
      </c>
      <c r="Y21" s="295">
        <f t="shared" ref="Y21:Y64" si="18">U21</f>
        <v>0</v>
      </c>
      <c r="Z21" s="7"/>
      <c r="AA21" s="182"/>
    </row>
    <row r="22" spans="1:29" x14ac:dyDescent="0.3">
      <c r="A22" s="7">
        <v>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13" t="s">
        <v>426</v>
      </c>
      <c r="N22" s="7">
        <f t="shared" si="15"/>
        <v>0</v>
      </c>
      <c r="O22" s="7">
        <f t="shared" si="16"/>
        <v>0</v>
      </c>
      <c r="P22" s="7">
        <f t="shared" si="11"/>
        <v>0</v>
      </c>
      <c r="Q22" s="7">
        <v>0</v>
      </c>
      <c r="R22" s="7">
        <f t="shared" si="17"/>
        <v>0</v>
      </c>
      <c r="S22" s="7"/>
      <c r="T22" s="7"/>
      <c r="U22" s="7">
        <v>0</v>
      </c>
      <c r="V22" s="7">
        <f t="shared" si="5"/>
        <v>0</v>
      </c>
      <c r="W22" s="7"/>
      <c r="X22" s="159">
        <f t="shared" si="7"/>
        <v>0</v>
      </c>
      <c r="Y22" s="295">
        <f t="shared" si="18"/>
        <v>0</v>
      </c>
      <c r="Z22" s="7"/>
      <c r="AA22" s="182"/>
    </row>
    <row r="23" spans="1:29" x14ac:dyDescent="0.3">
      <c r="A23" s="7">
        <v>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125" t="s">
        <v>427</v>
      </c>
      <c r="N23" s="7">
        <f t="shared" si="15"/>
        <v>0</v>
      </c>
      <c r="O23" s="7">
        <f t="shared" si="16"/>
        <v>0</v>
      </c>
      <c r="P23" s="7">
        <f t="shared" si="11"/>
        <v>0</v>
      </c>
      <c r="Q23" s="7">
        <v>0</v>
      </c>
      <c r="R23" s="7">
        <f t="shared" si="17"/>
        <v>0</v>
      </c>
      <c r="S23" s="7"/>
      <c r="T23" s="7"/>
      <c r="U23" s="7">
        <v>0</v>
      </c>
      <c r="V23" s="7">
        <f t="shared" si="5"/>
        <v>0</v>
      </c>
      <c r="W23" s="7"/>
      <c r="X23" s="159">
        <f t="shared" si="7"/>
        <v>0</v>
      </c>
      <c r="Y23" s="295">
        <f t="shared" si="18"/>
        <v>0</v>
      </c>
      <c r="Z23" s="7"/>
      <c r="AA23" s="182"/>
    </row>
    <row r="24" spans="1:29" x14ac:dyDescent="0.3">
      <c r="A24" s="7">
        <v>0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125" t="s">
        <v>428</v>
      </c>
      <c r="N24" s="7">
        <f t="shared" si="15"/>
        <v>0</v>
      </c>
      <c r="O24" s="7">
        <f t="shared" si="16"/>
        <v>0</v>
      </c>
      <c r="P24" s="7">
        <f t="shared" si="11"/>
        <v>0</v>
      </c>
      <c r="Q24" s="7">
        <v>0</v>
      </c>
      <c r="R24" s="7">
        <f t="shared" si="17"/>
        <v>0</v>
      </c>
      <c r="S24" s="7"/>
      <c r="T24" s="7"/>
      <c r="U24" s="7">
        <v>0</v>
      </c>
      <c r="V24" s="7">
        <f t="shared" si="5"/>
        <v>0</v>
      </c>
      <c r="W24" s="7"/>
      <c r="X24" s="159">
        <f t="shared" si="7"/>
        <v>0</v>
      </c>
      <c r="Y24" s="295">
        <f t="shared" si="18"/>
        <v>0</v>
      </c>
      <c r="Z24" s="7"/>
      <c r="AA24" s="182"/>
    </row>
    <row r="25" spans="1:29" x14ac:dyDescent="0.3">
      <c r="A25" s="7">
        <v>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13" t="s">
        <v>429</v>
      </c>
      <c r="N25" s="7">
        <f t="shared" si="15"/>
        <v>0</v>
      </c>
      <c r="O25" s="7">
        <f t="shared" si="16"/>
        <v>0</v>
      </c>
      <c r="P25" s="7">
        <f t="shared" si="11"/>
        <v>0</v>
      </c>
      <c r="Q25" s="7">
        <v>0</v>
      </c>
      <c r="R25" s="7">
        <f t="shared" si="17"/>
        <v>0</v>
      </c>
      <c r="S25" s="7"/>
      <c r="T25" s="7"/>
      <c r="U25" s="7">
        <v>0</v>
      </c>
      <c r="V25" s="7">
        <f t="shared" si="5"/>
        <v>0</v>
      </c>
      <c r="W25" s="7"/>
      <c r="X25" s="159">
        <f t="shared" si="7"/>
        <v>0</v>
      </c>
      <c r="Y25" s="295">
        <f t="shared" si="18"/>
        <v>0</v>
      </c>
      <c r="Z25" s="7"/>
      <c r="AA25" s="182"/>
    </row>
    <row r="26" spans="1:29" x14ac:dyDescent="0.3">
      <c r="A26" s="11">
        <v>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3" t="s">
        <v>430</v>
      </c>
      <c r="N26" s="11">
        <f t="shared" si="15"/>
        <v>0</v>
      </c>
      <c r="O26" s="11">
        <f t="shared" si="16"/>
        <v>0</v>
      </c>
      <c r="P26" s="11">
        <f t="shared" si="11"/>
        <v>0</v>
      </c>
      <c r="Q26" s="11">
        <v>0</v>
      </c>
      <c r="R26" s="11">
        <f t="shared" si="17"/>
        <v>0</v>
      </c>
      <c r="S26" s="11"/>
      <c r="T26" s="11"/>
      <c r="U26" s="11">
        <v>0</v>
      </c>
      <c r="V26" s="11">
        <f t="shared" si="5"/>
        <v>0</v>
      </c>
      <c r="W26" s="11"/>
      <c r="X26" s="160">
        <f t="shared" si="7"/>
        <v>0</v>
      </c>
      <c r="Y26" s="295">
        <f t="shared" si="18"/>
        <v>0</v>
      </c>
      <c r="Z26" s="11"/>
      <c r="AA26" s="182"/>
    </row>
    <row r="27" spans="1:29" x14ac:dyDescent="0.3">
      <c r="A27" s="81"/>
      <c r="B27" s="81"/>
      <c r="C27" s="81"/>
      <c r="D27" s="85"/>
      <c r="E27" s="83"/>
      <c r="F27" s="83"/>
      <c r="G27" s="83"/>
      <c r="H27" s="83"/>
      <c r="I27" s="83"/>
      <c r="J27" s="83"/>
      <c r="K27" s="84"/>
      <c r="L27" s="84"/>
      <c r="M27" s="13"/>
      <c r="N27" s="83">
        <f t="shared" si="9"/>
        <v>0</v>
      </c>
      <c r="O27" s="83">
        <f t="shared" si="10"/>
        <v>0</v>
      </c>
      <c r="P27" s="83">
        <f t="shared" si="11"/>
        <v>0</v>
      </c>
      <c r="Q27" s="83">
        <v>0</v>
      </c>
      <c r="R27" s="81"/>
      <c r="S27" s="81"/>
      <c r="T27" s="81"/>
      <c r="U27" s="81">
        <v>0</v>
      </c>
      <c r="V27" s="81">
        <f t="shared" si="5"/>
        <v>0</v>
      </c>
      <c r="W27" s="81"/>
      <c r="X27" s="204">
        <f t="shared" si="7"/>
        <v>0</v>
      </c>
      <c r="Y27" s="295">
        <f t="shared" si="18"/>
        <v>0</v>
      </c>
      <c r="Z27" s="81"/>
      <c r="AA27" s="182"/>
    </row>
    <row r="28" spans="1:29" x14ac:dyDescent="0.3">
      <c r="A28" s="4">
        <f>SUM(A20:A26)</f>
        <v>0</v>
      </c>
      <c r="B28" s="4">
        <f t="shared" ref="B28:L28" si="19">SUM(B20:B26)</f>
        <v>0</v>
      </c>
      <c r="C28" s="4">
        <f t="shared" si="19"/>
        <v>0</v>
      </c>
      <c r="D28" s="4">
        <f t="shared" si="19"/>
        <v>0</v>
      </c>
      <c r="E28" s="4">
        <f t="shared" si="19"/>
        <v>0</v>
      </c>
      <c r="F28" s="4">
        <f t="shared" si="19"/>
        <v>0</v>
      </c>
      <c r="G28" s="4">
        <f t="shared" si="19"/>
        <v>0</v>
      </c>
      <c r="H28" s="4">
        <f t="shared" si="19"/>
        <v>0</v>
      </c>
      <c r="I28" s="4">
        <f t="shared" si="19"/>
        <v>0</v>
      </c>
      <c r="J28" s="4">
        <f t="shared" si="19"/>
        <v>0</v>
      </c>
      <c r="K28" s="4">
        <f t="shared" si="19"/>
        <v>0</v>
      </c>
      <c r="L28" s="4">
        <f t="shared" si="19"/>
        <v>0</v>
      </c>
      <c r="M28" s="13" t="s">
        <v>97</v>
      </c>
      <c r="N28" s="4">
        <f t="shared" ref="N28:P28" si="20">SUM(N20:N26)</f>
        <v>0</v>
      </c>
      <c r="O28" s="4">
        <f t="shared" si="20"/>
        <v>0</v>
      </c>
      <c r="P28" s="4">
        <f t="shared" si="20"/>
        <v>0</v>
      </c>
      <c r="Q28" s="4">
        <v>0</v>
      </c>
      <c r="R28" s="4">
        <f t="shared" ref="R28:W28" si="21">SUM(R20:R26)</f>
        <v>0</v>
      </c>
      <c r="S28" s="4">
        <v>0</v>
      </c>
      <c r="T28" s="4">
        <v>0</v>
      </c>
      <c r="U28" s="4">
        <v>0</v>
      </c>
      <c r="V28" s="4">
        <f t="shared" si="5"/>
        <v>0</v>
      </c>
      <c r="W28" s="4">
        <f t="shared" si="21"/>
        <v>0</v>
      </c>
      <c r="X28" s="162">
        <f t="shared" si="7"/>
        <v>0</v>
      </c>
      <c r="Y28" s="295">
        <f t="shared" si="18"/>
        <v>0</v>
      </c>
      <c r="Z28" s="4"/>
      <c r="AA28" s="182"/>
    </row>
    <row r="29" spans="1:29" x14ac:dyDescent="0.3">
      <c r="A29" s="81"/>
      <c r="B29" s="81"/>
      <c r="C29" s="81"/>
      <c r="D29" s="82"/>
      <c r="E29" s="86"/>
      <c r="F29" s="86"/>
      <c r="G29" s="86"/>
      <c r="H29" s="87"/>
      <c r="I29" s="87"/>
      <c r="J29" s="87"/>
      <c r="K29" s="84"/>
      <c r="L29" s="84"/>
      <c r="M29" s="80"/>
      <c r="N29" s="86">
        <f t="shared" si="9"/>
        <v>0</v>
      </c>
      <c r="O29" s="86">
        <f t="shared" si="10"/>
        <v>0</v>
      </c>
      <c r="P29" s="86">
        <f t="shared" si="11"/>
        <v>0</v>
      </c>
      <c r="Q29" s="81">
        <v>0</v>
      </c>
      <c r="R29" s="81"/>
      <c r="S29" s="81"/>
      <c r="T29" s="81"/>
      <c r="U29" s="81">
        <v>0</v>
      </c>
      <c r="V29" s="81">
        <f t="shared" si="5"/>
        <v>0</v>
      </c>
      <c r="W29" s="81"/>
      <c r="X29" s="204">
        <f t="shared" si="7"/>
        <v>0</v>
      </c>
      <c r="Y29" s="295">
        <f t="shared" si="18"/>
        <v>0</v>
      </c>
      <c r="Z29" s="81"/>
      <c r="AA29" s="182"/>
    </row>
    <row r="30" spans="1:29" x14ac:dyDescent="0.3">
      <c r="A30" s="8">
        <v>0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238" t="s">
        <v>431</v>
      </c>
      <c r="N30" s="8">
        <f t="shared" ref="N30:N44" si="22">SUM(0)</f>
        <v>0</v>
      </c>
      <c r="O30" s="8">
        <f t="shared" ref="O30:O44" si="23">SUM(A30:L30)</f>
        <v>0</v>
      </c>
      <c r="P30" s="8">
        <f t="shared" si="11"/>
        <v>0</v>
      </c>
      <c r="Q30" s="8">
        <v>0</v>
      </c>
      <c r="R30" s="8">
        <f t="shared" ref="R30:R44" si="24">Q30-P30</f>
        <v>0</v>
      </c>
      <c r="S30" s="8"/>
      <c r="T30" s="8"/>
      <c r="U30" s="8">
        <v>0</v>
      </c>
      <c r="V30" s="8">
        <f t="shared" si="5"/>
        <v>0</v>
      </c>
      <c r="W30" s="8"/>
      <c r="X30" s="158">
        <f t="shared" si="7"/>
        <v>0</v>
      </c>
      <c r="Y30" s="295">
        <f t="shared" si="18"/>
        <v>0</v>
      </c>
      <c r="Z30" s="8"/>
      <c r="AA30" s="182"/>
    </row>
    <row r="31" spans="1:29" x14ac:dyDescent="0.3">
      <c r="A31" s="7">
        <v>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13" t="s">
        <v>432</v>
      </c>
      <c r="N31" s="7">
        <f t="shared" si="22"/>
        <v>0</v>
      </c>
      <c r="O31" s="7">
        <f t="shared" si="23"/>
        <v>0</v>
      </c>
      <c r="P31" s="7">
        <f t="shared" si="11"/>
        <v>0</v>
      </c>
      <c r="Q31" s="7">
        <v>0</v>
      </c>
      <c r="R31" s="7">
        <f t="shared" si="24"/>
        <v>0</v>
      </c>
      <c r="S31" s="7"/>
      <c r="T31" s="7"/>
      <c r="U31" s="7">
        <v>0</v>
      </c>
      <c r="V31" s="7">
        <f t="shared" si="5"/>
        <v>0</v>
      </c>
      <c r="W31" s="7"/>
      <c r="X31" s="159">
        <f t="shared" si="7"/>
        <v>0</v>
      </c>
      <c r="Y31" s="295">
        <f t="shared" si="18"/>
        <v>0</v>
      </c>
      <c r="Z31" s="7"/>
      <c r="AA31" s="182"/>
    </row>
    <row r="32" spans="1:29" x14ac:dyDescent="0.3">
      <c r="A32" s="7">
        <v>0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13" t="s">
        <v>433</v>
      </c>
      <c r="N32" s="7">
        <f t="shared" si="22"/>
        <v>0</v>
      </c>
      <c r="O32" s="7">
        <f t="shared" si="23"/>
        <v>0</v>
      </c>
      <c r="P32" s="7">
        <f t="shared" si="11"/>
        <v>0</v>
      </c>
      <c r="Q32" s="7">
        <v>0</v>
      </c>
      <c r="R32" s="7">
        <f t="shared" si="24"/>
        <v>0</v>
      </c>
      <c r="S32" s="7"/>
      <c r="T32" s="7"/>
      <c r="U32" s="7">
        <v>0</v>
      </c>
      <c r="V32" s="7">
        <f t="shared" si="5"/>
        <v>0</v>
      </c>
      <c r="W32" s="7"/>
      <c r="X32" s="159">
        <f t="shared" si="7"/>
        <v>0</v>
      </c>
      <c r="Y32" s="295">
        <f t="shared" si="18"/>
        <v>0</v>
      </c>
      <c r="Z32" s="7"/>
      <c r="AA32" s="182"/>
    </row>
    <row r="33" spans="1:27" x14ac:dyDescent="0.3">
      <c r="A33" s="7">
        <v>0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13" t="s">
        <v>434</v>
      </c>
      <c r="N33" s="7">
        <f t="shared" si="22"/>
        <v>0</v>
      </c>
      <c r="O33" s="7">
        <f t="shared" si="23"/>
        <v>0</v>
      </c>
      <c r="P33" s="7">
        <f t="shared" si="11"/>
        <v>0</v>
      </c>
      <c r="Q33" s="7">
        <v>0</v>
      </c>
      <c r="R33" s="7">
        <f t="shared" si="24"/>
        <v>0</v>
      </c>
      <c r="S33" s="7"/>
      <c r="T33" s="7"/>
      <c r="U33" s="7">
        <v>0</v>
      </c>
      <c r="V33" s="7">
        <f t="shared" si="5"/>
        <v>0</v>
      </c>
      <c r="W33" s="7"/>
      <c r="X33" s="159">
        <f t="shared" si="7"/>
        <v>0</v>
      </c>
      <c r="Y33" s="295">
        <f t="shared" si="18"/>
        <v>0</v>
      </c>
      <c r="Z33" s="7"/>
      <c r="AA33" s="182"/>
    </row>
    <row r="34" spans="1:27" x14ac:dyDescent="0.3">
      <c r="A34" s="7">
        <v>0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13" t="s">
        <v>435</v>
      </c>
      <c r="N34" s="7">
        <f t="shared" si="22"/>
        <v>0</v>
      </c>
      <c r="O34" s="7">
        <f t="shared" si="23"/>
        <v>0</v>
      </c>
      <c r="P34" s="7">
        <f t="shared" si="11"/>
        <v>0</v>
      </c>
      <c r="Q34" s="7">
        <v>0</v>
      </c>
      <c r="R34" s="7">
        <f t="shared" si="24"/>
        <v>0</v>
      </c>
      <c r="S34" s="7"/>
      <c r="T34" s="7"/>
      <c r="U34" s="7">
        <v>0</v>
      </c>
      <c r="V34" s="7">
        <f t="shared" si="5"/>
        <v>0</v>
      </c>
      <c r="W34" s="7"/>
      <c r="X34" s="159">
        <f t="shared" si="7"/>
        <v>0</v>
      </c>
      <c r="Y34" s="295">
        <f t="shared" si="18"/>
        <v>0</v>
      </c>
      <c r="Z34" s="7"/>
      <c r="AA34" s="182"/>
    </row>
    <row r="35" spans="1:27" x14ac:dyDescent="0.3">
      <c r="A35" s="7">
        <v>0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13" t="s">
        <v>436</v>
      </c>
      <c r="N35" s="7">
        <f t="shared" si="22"/>
        <v>0</v>
      </c>
      <c r="O35" s="7">
        <f t="shared" si="23"/>
        <v>0</v>
      </c>
      <c r="P35" s="7">
        <f t="shared" si="11"/>
        <v>0</v>
      </c>
      <c r="Q35" s="7">
        <v>0</v>
      </c>
      <c r="R35" s="7">
        <f t="shared" si="24"/>
        <v>0</v>
      </c>
      <c r="S35" s="7"/>
      <c r="T35" s="7"/>
      <c r="U35" s="7">
        <v>0</v>
      </c>
      <c r="V35" s="7">
        <f t="shared" si="5"/>
        <v>0</v>
      </c>
      <c r="W35" s="7"/>
      <c r="X35" s="159">
        <f t="shared" si="7"/>
        <v>0</v>
      </c>
      <c r="Y35" s="295">
        <f t="shared" si="18"/>
        <v>0</v>
      </c>
      <c r="Z35" s="7"/>
      <c r="AA35" s="182"/>
    </row>
    <row r="36" spans="1:27" x14ac:dyDescent="0.3">
      <c r="A36" s="7">
        <v>0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13" t="s">
        <v>437</v>
      </c>
      <c r="N36" s="7">
        <f t="shared" si="22"/>
        <v>0</v>
      </c>
      <c r="O36" s="7">
        <f t="shared" si="23"/>
        <v>0</v>
      </c>
      <c r="P36" s="7">
        <f t="shared" si="11"/>
        <v>0</v>
      </c>
      <c r="Q36" s="7">
        <v>0</v>
      </c>
      <c r="R36" s="7">
        <f t="shared" si="24"/>
        <v>0</v>
      </c>
      <c r="S36" s="7"/>
      <c r="T36" s="7"/>
      <c r="U36" s="7">
        <v>0</v>
      </c>
      <c r="V36" s="7">
        <f t="shared" si="5"/>
        <v>0</v>
      </c>
      <c r="W36" s="7"/>
      <c r="X36" s="159">
        <f t="shared" si="7"/>
        <v>0</v>
      </c>
      <c r="Y36" s="295">
        <f t="shared" si="18"/>
        <v>0</v>
      </c>
      <c r="Z36" s="7"/>
      <c r="AA36" s="182"/>
    </row>
    <row r="37" spans="1:27" x14ac:dyDescent="0.3">
      <c r="A37" s="7">
        <v>0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238" t="s">
        <v>438</v>
      </c>
      <c r="N37" s="7">
        <f t="shared" si="22"/>
        <v>0</v>
      </c>
      <c r="O37" s="7">
        <f t="shared" si="23"/>
        <v>0</v>
      </c>
      <c r="P37" s="7">
        <f t="shared" si="11"/>
        <v>0</v>
      </c>
      <c r="Q37" s="7">
        <v>0</v>
      </c>
      <c r="R37" s="7">
        <f t="shared" si="24"/>
        <v>0</v>
      </c>
      <c r="S37" s="7"/>
      <c r="T37" s="7"/>
      <c r="U37" s="7">
        <v>0</v>
      </c>
      <c r="V37" s="7">
        <f t="shared" si="5"/>
        <v>0</v>
      </c>
      <c r="W37" s="7"/>
      <c r="X37" s="159">
        <f t="shared" si="7"/>
        <v>0</v>
      </c>
      <c r="Y37" s="295">
        <f t="shared" si="18"/>
        <v>0</v>
      </c>
      <c r="Z37" s="7"/>
      <c r="AA37" s="182"/>
    </row>
    <row r="38" spans="1:27" x14ac:dyDescent="0.3">
      <c r="A38" s="7">
        <v>0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13" t="s">
        <v>439</v>
      </c>
      <c r="N38" s="7">
        <f t="shared" si="22"/>
        <v>0</v>
      </c>
      <c r="O38" s="7">
        <f t="shared" si="23"/>
        <v>0</v>
      </c>
      <c r="P38" s="7">
        <f t="shared" si="11"/>
        <v>0</v>
      </c>
      <c r="Q38" s="7">
        <v>0</v>
      </c>
      <c r="R38" s="7">
        <f t="shared" si="24"/>
        <v>0</v>
      </c>
      <c r="S38" s="7"/>
      <c r="T38" s="7"/>
      <c r="U38" s="7">
        <v>0</v>
      </c>
      <c r="V38" s="7">
        <f t="shared" si="5"/>
        <v>0</v>
      </c>
      <c r="W38" s="7"/>
      <c r="X38" s="159">
        <f t="shared" si="7"/>
        <v>0</v>
      </c>
      <c r="Y38" s="295">
        <f t="shared" si="18"/>
        <v>0</v>
      </c>
      <c r="Z38" s="7"/>
      <c r="AA38" s="182"/>
    </row>
    <row r="39" spans="1:27" x14ac:dyDescent="0.3">
      <c r="A39" s="7">
        <v>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13" t="s">
        <v>440</v>
      </c>
      <c r="N39" s="7">
        <f t="shared" si="22"/>
        <v>0</v>
      </c>
      <c r="O39" s="7">
        <f t="shared" si="23"/>
        <v>0</v>
      </c>
      <c r="P39" s="7">
        <f t="shared" si="11"/>
        <v>0</v>
      </c>
      <c r="Q39" s="7">
        <v>0</v>
      </c>
      <c r="R39" s="7">
        <f t="shared" si="24"/>
        <v>0</v>
      </c>
      <c r="S39" s="7"/>
      <c r="T39" s="7"/>
      <c r="U39" s="7">
        <v>0</v>
      </c>
      <c r="V39" s="7">
        <f t="shared" si="5"/>
        <v>0</v>
      </c>
      <c r="W39" s="7"/>
      <c r="X39" s="159">
        <f t="shared" si="7"/>
        <v>0</v>
      </c>
      <c r="Y39" s="295">
        <f t="shared" si="18"/>
        <v>0</v>
      </c>
      <c r="Z39" s="7"/>
      <c r="AA39" s="182"/>
    </row>
    <row r="40" spans="1:27" x14ac:dyDescent="0.3">
      <c r="A40" s="7">
        <v>0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13" t="s">
        <v>441</v>
      </c>
      <c r="N40" s="7">
        <f t="shared" si="22"/>
        <v>0</v>
      </c>
      <c r="O40" s="7">
        <f t="shared" si="23"/>
        <v>0</v>
      </c>
      <c r="P40" s="7">
        <f t="shared" si="11"/>
        <v>0</v>
      </c>
      <c r="Q40" s="7">
        <v>0</v>
      </c>
      <c r="R40" s="7">
        <f t="shared" si="24"/>
        <v>0</v>
      </c>
      <c r="S40" s="7"/>
      <c r="T40" s="7"/>
      <c r="U40" s="7">
        <v>0</v>
      </c>
      <c r="V40" s="7">
        <f t="shared" si="5"/>
        <v>0</v>
      </c>
      <c r="W40" s="7"/>
      <c r="X40" s="159">
        <f t="shared" si="7"/>
        <v>0</v>
      </c>
      <c r="Y40" s="295">
        <f t="shared" si="18"/>
        <v>0</v>
      </c>
      <c r="Z40" s="7"/>
      <c r="AA40" s="182"/>
    </row>
    <row r="41" spans="1:27" x14ac:dyDescent="0.3">
      <c r="A41" s="7">
        <v>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13" t="s">
        <v>442</v>
      </c>
      <c r="N41" s="7">
        <f t="shared" si="22"/>
        <v>0</v>
      </c>
      <c r="O41" s="7">
        <f t="shared" si="23"/>
        <v>0</v>
      </c>
      <c r="P41" s="7">
        <f t="shared" si="11"/>
        <v>0</v>
      </c>
      <c r="Q41" s="7">
        <v>0</v>
      </c>
      <c r="R41" s="7">
        <f t="shared" si="24"/>
        <v>0</v>
      </c>
      <c r="S41" s="7"/>
      <c r="T41" s="7"/>
      <c r="U41" s="7">
        <v>0</v>
      </c>
      <c r="V41" s="7">
        <f t="shared" si="5"/>
        <v>0</v>
      </c>
      <c r="W41" s="7"/>
      <c r="X41" s="159">
        <f t="shared" si="7"/>
        <v>0</v>
      </c>
      <c r="Y41" s="295">
        <f t="shared" si="18"/>
        <v>0</v>
      </c>
      <c r="Z41" s="7"/>
      <c r="AA41" s="182"/>
    </row>
    <row r="42" spans="1:27" x14ac:dyDescent="0.3">
      <c r="A42" s="7">
        <v>0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13" t="s">
        <v>443</v>
      </c>
      <c r="N42" s="7">
        <f t="shared" si="22"/>
        <v>0</v>
      </c>
      <c r="O42" s="7">
        <f t="shared" si="23"/>
        <v>0</v>
      </c>
      <c r="P42" s="7">
        <f t="shared" si="11"/>
        <v>0</v>
      </c>
      <c r="Q42" s="7">
        <v>0</v>
      </c>
      <c r="R42" s="7">
        <f t="shared" si="24"/>
        <v>0</v>
      </c>
      <c r="S42" s="7"/>
      <c r="T42" s="7"/>
      <c r="U42" s="7">
        <v>0</v>
      </c>
      <c r="V42" s="7">
        <f t="shared" si="5"/>
        <v>0</v>
      </c>
      <c r="W42" s="7"/>
      <c r="X42" s="159">
        <f t="shared" si="7"/>
        <v>0</v>
      </c>
      <c r="Y42" s="295">
        <f t="shared" si="18"/>
        <v>0</v>
      </c>
      <c r="Z42" s="7"/>
      <c r="AA42" s="182"/>
    </row>
    <row r="43" spans="1:27" x14ac:dyDescent="0.3">
      <c r="A43" s="7">
        <v>0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13" t="s">
        <v>444</v>
      </c>
      <c r="N43" s="7">
        <f t="shared" si="22"/>
        <v>0</v>
      </c>
      <c r="O43" s="7">
        <f t="shared" si="23"/>
        <v>0</v>
      </c>
      <c r="P43" s="7">
        <f t="shared" si="11"/>
        <v>0</v>
      </c>
      <c r="Q43" s="7">
        <v>0</v>
      </c>
      <c r="R43" s="7">
        <f t="shared" si="24"/>
        <v>0</v>
      </c>
      <c r="S43" s="7"/>
      <c r="T43" s="7"/>
      <c r="U43" s="7">
        <v>0</v>
      </c>
      <c r="V43" s="7">
        <f t="shared" si="5"/>
        <v>0</v>
      </c>
      <c r="W43" s="7"/>
      <c r="X43" s="159">
        <f t="shared" si="7"/>
        <v>0</v>
      </c>
      <c r="Y43" s="295">
        <f t="shared" si="18"/>
        <v>0</v>
      </c>
      <c r="Z43" s="7"/>
      <c r="AA43" s="182"/>
    </row>
    <row r="44" spans="1:27" x14ac:dyDescent="0.3">
      <c r="A44" s="11">
        <v>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238" t="s">
        <v>113</v>
      </c>
      <c r="N44" s="11">
        <f t="shared" si="22"/>
        <v>0</v>
      </c>
      <c r="O44" s="11">
        <f t="shared" si="23"/>
        <v>0</v>
      </c>
      <c r="P44" s="11">
        <f t="shared" si="11"/>
        <v>0</v>
      </c>
      <c r="Q44" s="11">
        <v>0</v>
      </c>
      <c r="R44" s="11">
        <f t="shared" si="24"/>
        <v>0</v>
      </c>
      <c r="S44" s="11"/>
      <c r="T44" s="11"/>
      <c r="U44" s="11">
        <v>0</v>
      </c>
      <c r="V44" s="11">
        <f t="shared" si="5"/>
        <v>0</v>
      </c>
      <c r="W44" s="11"/>
      <c r="X44" s="160">
        <f t="shared" si="7"/>
        <v>0</v>
      </c>
      <c r="Y44" s="295">
        <f t="shared" si="18"/>
        <v>0</v>
      </c>
      <c r="Z44" s="11"/>
      <c r="AA44" s="182"/>
    </row>
    <row r="45" spans="1:27" x14ac:dyDescent="0.3">
      <c r="A45" s="8"/>
      <c r="B45" s="86"/>
      <c r="C45" s="86"/>
      <c r="D45" s="85"/>
      <c r="E45" s="83"/>
      <c r="F45" s="83"/>
      <c r="G45" s="83"/>
      <c r="H45" s="83"/>
      <c r="I45" s="83"/>
      <c r="J45" s="83"/>
      <c r="K45" s="84"/>
      <c r="L45" s="84"/>
      <c r="M45" s="13"/>
      <c r="N45" s="83">
        <f t="shared" si="9"/>
        <v>0</v>
      </c>
      <c r="O45" s="83">
        <f t="shared" si="10"/>
        <v>0</v>
      </c>
      <c r="P45" s="83">
        <f t="shared" si="11"/>
        <v>0</v>
      </c>
      <c r="Q45" s="86">
        <v>0</v>
      </c>
      <c r="R45" s="86"/>
      <c r="S45" s="86"/>
      <c r="T45" s="86"/>
      <c r="U45" s="86">
        <v>0</v>
      </c>
      <c r="V45" s="86">
        <f t="shared" si="5"/>
        <v>0</v>
      </c>
      <c r="W45" s="86"/>
      <c r="X45" s="205">
        <f t="shared" si="7"/>
        <v>0</v>
      </c>
      <c r="Y45" s="295">
        <f t="shared" si="18"/>
        <v>0</v>
      </c>
      <c r="Z45" s="86"/>
      <c r="AA45" s="182"/>
    </row>
    <row r="46" spans="1:27" x14ac:dyDescent="0.3">
      <c r="A46" s="4">
        <f>SUM(A30:A44)</f>
        <v>0</v>
      </c>
      <c r="B46" s="4">
        <f t="shared" ref="B46:L46" si="25">SUM(B30:B44)</f>
        <v>0</v>
      </c>
      <c r="C46" s="4">
        <f t="shared" si="25"/>
        <v>0</v>
      </c>
      <c r="D46" s="4">
        <f t="shared" si="25"/>
        <v>0</v>
      </c>
      <c r="E46" s="4">
        <f t="shared" si="25"/>
        <v>0</v>
      </c>
      <c r="F46" s="4">
        <f t="shared" si="25"/>
        <v>0</v>
      </c>
      <c r="G46" s="4">
        <f t="shared" si="25"/>
        <v>0</v>
      </c>
      <c r="H46" s="4">
        <f t="shared" si="25"/>
        <v>0</v>
      </c>
      <c r="I46" s="4">
        <f t="shared" si="25"/>
        <v>0</v>
      </c>
      <c r="J46" s="4">
        <f t="shared" si="25"/>
        <v>0</v>
      </c>
      <c r="K46" s="4">
        <f t="shared" si="25"/>
        <v>0</v>
      </c>
      <c r="L46" s="4">
        <f t="shared" si="25"/>
        <v>0</v>
      </c>
      <c r="M46" s="13" t="s">
        <v>114</v>
      </c>
      <c r="N46" s="4">
        <f t="shared" ref="N46:P46" si="26">SUM(N30:N44)</f>
        <v>0</v>
      </c>
      <c r="O46" s="4">
        <f t="shared" si="26"/>
        <v>0</v>
      </c>
      <c r="P46" s="4">
        <f t="shared" si="26"/>
        <v>0</v>
      </c>
      <c r="Q46" s="4">
        <v>0</v>
      </c>
      <c r="R46" s="4">
        <f t="shared" ref="R46:W46" si="27">SUM(R30:R44)</f>
        <v>0</v>
      </c>
      <c r="S46" s="4">
        <v>0</v>
      </c>
      <c r="T46" s="4">
        <v>0</v>
      </c>
      <c r="U46" s="4">
        <v>0</v>
      </c>
      <c r="V46" s="4">
        <f t="shared" si="5"/>
        <v>0</v>
      </c>
      <c r="W46" s="4">
        <f t="shared" si="27"/>
        <v>0</v>
      </c>
      <c r="X46" s="162">
        <f t="shared" si="7"/>
        <v>0</v>
      </c>
      <c r="Y46" s="295">
        <f t="shared" si="18"/>
        <v>0</v>
      </c>
      <c r="Z46" s="4"/>
      <c r="AA46" s="182"/>
    </row>
    <row r="47" spans="1:27" x14ac:dyDescent="0.3">
      <c r="A47" s="81"/>
      <c r="B47" s="81"/>
      <c r="C47" s="81"/>
      <c r="D47" s="82"/>
      <c r="E47" s="86"/>
      <c r="F47" s="86"/>
      <c r="G47" s="86"/>
      <c r="H47" s="87"/>
      <c r="I47" s="87"/>
      <c r="J47" s="87"/>
      <c r="K47" s="84"/>
      <c r="L47" s="84"/>
      <c r="M47" s="80"/>
      <c r="N47" s="86">
        <f t="shared" si="9"/>
        <v>0</v>
      </c>
      <c r="O47" s="86">
        <f t="shared" si="10"/>
        <v>0</v>
      </c>
      <c r="P47" s="86">
        <f t="shared" si="11"/>
        <v>0</v>
      </c>
      <c r="Q47" s="81">
        <v>0</v>
      </c>
      <c r="R47" s="81"/>
      <c r="S47" s="81"/>
      <c r="T47" s="81"/>
      <c r="U47" s="81">
        <v>0</v>
      </c>
      <c r="V47" s="81">
        <f t="shared" si="5"/>
        <v>0</v>
      </c>
      <c r="W47" s="81"/>
      <c r="X47" s="204"/>
      <c r="Y47" s="295">
        <f t="shared" si="18"/>
        <v>0</v>
      </c>
      <c r="Z47" s="81"/>
      <c r="AA47" s="182"/>
    </row>
    <row r="48" spans="1:27" x14ac:dyDescent="0.3">
      <c r="A48" s="8">
        <v>0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238" t="s">
        <v>445</v>
      </c>
      <c r="N48" s="8">
        <f t="shared" ref="N48:N63" si="28">SUM(0)</f>
        <v>0</v>
      </c>
      <c r="O48" s="8">
        <f t="shared" ref="O48:O63" si="29">SUM(A48:L48)</f>
        <v>0</v>
      </c>
      <c r="P48" s="8">
        <f t="shared" si="11"/>
        <v>0</v>
      </c>
      <c r="Q48" s="8">
        <v>0</v>
      </c>
      <c r="R48" s="8">
        <f t="shared" ref="R48:R63" si="30">Q48-P48</f>
        <v>0</v>
      </c>
      <c r="S48" s="8"/>
      <c r="T48" s="8"/>
      <c r="U48" s="8">
        <v>0</v>
      </c>
      <c r="V48" s="8">
        <f t="shared" si="5"/>
        <v>0</v>
      </c>
      <c r="W48" s="8"/>
      <c r="X48" s="158">
        <f t="shared" si="7"/>
        <v>0</v>
      </c>
      <c r="Y48" s="295">
        <f t="shared" si="18"/>
        <v>0</v>
      </c>
      <c r="Z48" s="8"/>
      <c r="AA48" s="182"/>
    </row>
    <row r="49" spans="1:27" x14ac:dyDescent="0.3">
      <c r="A49" s="7">
        <f>728*1.048</f>
        <v>762.94400000000007</v>
      </c>
      <c r="B49" s="7">
        <f t="shared" ref="B49:L49" si="31">728*1.048</f>
        <v>762.94400000000007</v>
      </c>
      <c r="C49" s="7">
        <f t="shared" si="31"/>
        <v>762.94400000000007</v>
      </c>
      <c r="D49" s="7">
        <f t="shared" si="31"/>
        <v>762.94400000000007</v>
      </c>
      <c r="E49" s="7">
        <f t="shared" si="31"/>
        <v>762.94400000000007</v>
      </c>
      <c r="F49" s="7">
        <f t="shared" si="31"/>
        <v>762.94400000000007</v>
      </c>
      <c r="G49" s="7">
        <f t="shared" si="31"/>
        <v>762.94400000000007</v>
      </c>
      <c r="H49" s="7">
        <f t="shared" si="31"/>
        <v>762.94400000000007</v>
      </c>
      <c r="I49" s="7">
        <f t="shared" si="31"/>
        <v>762.94400000000007</v>
      </c>
      <c r="J49" s="7">
        <f t="shared" si="31"/>
        <v>762.94400000000007</v>
      </c>
      <c r="K49" s="7">
        <f t="shared" si="31"/>
        <v>762.94400000000007</v>
      </c>
      <c r="L49" s="7">
        <f t="shared" si="31"/>
        <v>762.94400000000007</v>
      </c>
      <c r="M49" s="13" t="s">
        <v>446</v>
      </c>
      <c r="N49" s="7">
        <f t="shared" si="28"/>
        <v>0</v>
      </c>
      <c r="O49" s="7">
        <f t="shared" si="29"/>
        <v>9155.3280000000013</v>
      </c>
      <c r="P49" s="7">
        <f t="shared" si="11"/>
        <v>9155.3280000000013</v>
      </c>
      <c r="Q49" s="7">
        <v>9155.3280000000013</v>
      </c>
      <c r="R49" s="7">
        <f t="shared" si="30"/>
        <v>0</v>
      </c>
      <c r="S49" s="7"/>
      <c r="T49" s="7">
        <v>4859</v>
      </c>
      <c r="U49" s="7">
        <v>8739.8816227999996</v>
      </c>
      <c r="V49" s="7">
        <f t="shared" si="5"/>
        <v>-415.44637720000173</v>
      </c>
      <c r="W49" s="7"/>
      <c r="X49" s="159">
        <f t="shared" si="7"/>
        <v>0</v>
      </c>
      <c r="Y49" s="295">
        <f t="shared" si="18"/>
        <v>8739.8816227999996</v>
      </c>
      <c r="Z49" s="7"/>
      <c r="AA49" s="182"/>
    </row>
    <row r="50" spans="1:27" x14ac:dyDescent="0.3">
      <c r="A50" s="7">
        <f>167*1.048</f>
        <v>175.01600000000002</v>
      </c>
      <c r="B50" s="7">
        <f t="shared" ref="B50:L50" si="32">167*1.048</f>
        <v>175.01600000000002</v>
      </c>
      <c r="C50" s="7">
        <f t="shared" si="32"/>
        <v>175.01600000000002</v>
      </c>
      <c r="D50" s="7">
        <f t="shared" si="32"/>
        <v>175.01600000000002</v>
      </c>
      <c r="E50" s="7">
        <f t="shared" si="32"/>
        <v>175.01600000000002</v>
      </c>
      <c r="F50" s="7">
        <f t="shared" si="32"/>
        <v>175.01600000000002</v>
      </c>
      <c r="G50" s="7">
        <f t="shared" si="32"/>
        <v>175.01600000000002</v>
      </c>
      <c r="H50" s="7">
        <f t="shared" si="32"/>
        <v>175.01600000000002</v>
      </c>
      <c r="I50" s="7">
        <f t="shared" si="32"/>
        <v>175.01600000000002</v>
      </c>
      <c r="J50" s="7">
        <f t="shared" si="32"/>
        <v>175.01600000000002</v>
      </c>
      <c r="K50" s="7">
        <f t="shared" si="32"/>
        <v>175.01600000000002</v>
      </c>
      <c r="L50" s="7">
        <f t="shared" si="32"/>
        <v>175.01600000000002</v>
      </c>
      <c r="M50" s="13" t="s">
        <v>447</v>
      </c>
      <c r="N50" s="7">
        <f t="shared" si="28"/>
        <v>0</v>
      </c>
      <c r="O50" s="7">
        <f t="shared" si="29"/>
        <v>2100.1920000000005</v>
      </c>
      <c r="P50" s="7">
        <f t="shared" si="11"/>
        <v>2100.1920000000005</v>
      </c>
      <c r="Q50" s="7">
        <v>2100.1920000000005</v>
      </c>
      <c r="R50" s="7">
        <f t="shared" si="30"/>
        <v>0</v>
      </c>
      <c r="S50" s="7"/>
      <c r="T50" s="7"/>
      <c r="U50" s="7">
        <v>2000</v>
      </c>
      <c r="V50" s="7">
        <f t="shared" si="5"/>
        <v>-100.19200000000046</v>
      </c>
      <c r="W50" s="7"/>
      <c r="X50" s="159">
        <f t="shared" si="7"/>
        <v>0</v>
      </c>
      <c r="Y50" s="295">
        <f t="shared" si="18"/>
        <v>2000</v>
      </c>
      <c r="Z50" s="7"/>
      <c r="AA50" s="182"/>
    </row>
    <row r="51" spans="1:27" x14ac:dyDescent="0.3">
      <c r="A51" s="7">
        <v>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13" t="s">
        <v>448</v>
      </c>
      <c r="N51" s="7">
        <f t="shared" si="28"/>
        <v>0</v>
      </c>
      <c r="O51" s="7">
        <f t="shared" si="29"/>
        <v>0</v>
      </c>
      <c r="P51" s="7">
        <f t="shared" si="11"/>
        <v>0</v>
      </c>
      <c r="Q51" s="7">
        <v>0</v>
      </c>
      <c r="R51" s="7">
        <f t="shared" si="30"/>
        <v>0</v>
      </c>
      <c r="S51" s="7"/>
      <c r="T51" s="7"/>
      <c r="U51" s="7">
        <v>0</v>
      </c>
      <c r="V51" s="7">
        <f t="shared" si="5"/>
        <v>0</v>
      </c>
      <c r="W51" s="7"/>
      <c r="X51" s="159">
        <f t="shared" si="7"/>
        <v>0</v>
      </c>
      <c r="Y51" s="295">
        <f t="shared" si="18"/>
        <v>0</v>
      </c>
      <c r="Z51" s="7"/>
      <c r="AA51" s="182"/>
    </row>
    <row r="52" spans="1:27" x14ac:dyDescent="0.3">
      <c r="A52" s="7">
        <v>0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13" t="s">
        <v>449</v>
      </c>
      <c r="N52" s="7">
        <f t="shared" si="28"/>
        <v>0</v>
      </c>
      <c r="O52" s="7">
        <f t="shared" si="29"/>
        <v>0</v>
      </c>
      <c r="P52" s="7">
        <f t="shared" si="11"/>
        <v>0</v>
      </c>
      <c r="Q52" s="7">
        <v>0</v>
      </c>
      <c r="R52" s="7">
        <f t="shared" si="30"/>
        <v>0</v>
      </c>
      <c r="S52" s="7"/>
      <c r="T52" s="7"/>
      <c r="U52" s="7">
        <v>0</v>
      </c>
      <c r="V52" s="7">
        <f t="shared" si="5"/>
        <v>0</v>
      </c>
      <c r="W52" s="7"/>
      <c r="X52" s="159">
        <f t="shared" si="7"/>
        <v>0</v>
      </c>
      <c r="Y52" s="295">
        <f t="shared" si="18"/>
        <v>0</v>
      </c>
      <c r="Z52" s="7"/>
      <c r="AA52" s="182"/>
    </row>
    <row r="53" spans="1:27" x14ac:dyDescent="0.3">
      <c r="A53" s="7">
        <f>17*1.048</f>
        <v>17.816000000000003</v>
      </c>
      <c r="B53" s="7">
        <f t="shared" ref="B53:L53" si="33">17*1.048</f>
        <v>17.816000000000003</v>
      </c>
      <c r="C53" s="7">
        <f t="shared" si="33"/>
        <v>17.816000000000003</v>
      </c>
      <c r="D53" s="7">
        <f t="shared" si="33"/>
        <v>17.816000000000003</v>
      </c>
      <c r="E53" s="7">
        <f t="shared" si="33"/>
        <v>17.816000000000003</v>
      </c>
      <c r="F53" s="7">
        <f t="shared" si="33"/>
        <v>17.816000000000003</v>
      </c>
      <c r="G53" s="7">
        <f t="shared" si="33"/>
        <v>17.816000000000003</v>
      </c>
      <c r="H53" s="7">
        <f t="shared" si="33"/>
        <v>17.816000000000003</v>
      </c>
      <c r="I53" s="7">
        <f t="shared" si="33"/>
        <v>17.816000000000003</v>
      </c>
      <c r="J53" s="7">
        <f t="shared" si="33"/>
        <v>17.816000000000003</v>
      </c>
      <c r="K53" s="7">
        <f t="shared" si="33"/>
        <v>17.816000000000003</v>
      </c>
      <c r="L53" s="7">
        <f t="shared" si="33"/>
        <v>17.816000000000003</v>
      </c>
      <c r="M53" s="13" t="s">
        <v>450</v>
      </c>
      <c r="N53" s="7">
        <f t="shared" si="28"/>
        <v>0</v>
      </c>
      <c r="O53" s="7">
        <f t="shared" si="29"/>
        <v>213.79200000000003</v>
      </c>
      <c r="P53" s="7">
        <f t="shared" si="11"/>
        <v>213.79200000000003</v>
      </c>
      <c r="Q53" s="7">
        <v>213.79200000000003</v>
      </c>
      <c r="R53" s="7">
        <f t="shared" si="30"/>
        <v>0</v>
      </c>
      <c r="S53" s="7"/>
      <c r="T53" s="7">
        <v>-4633</v>
      </c>
      <c r="U53" s="7">
        <v>207.36721999999645</v>
      </c>
      <c r="V53" s="7">
        <f t="shared" si="5"/>
        <v>-6.4247800000035795</v>
      </c>
      <c r="W53" s="7"/>
      <c r="X53" s="159">
        <f t="shared" si="7"/>
        <v>0</v>
      </c>
      <c r="Y53" s="7">
        <v>4633.3672199999965</v>
      </c>
      <c r="Z53" s="7"/>
      <c r="AA53" s="182"/>
    </row>
    <row r="54" spans="1:27" x14ac:dyDescent="0.3">
      <c r="A54" s="7">
        <v>0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13" t="s">
        <v>451</v>
      </c>
      <c r="N54" s="7">
        <f t="shared" si="28"/>
        <v>0</v>
      </c>
      <c r="O54" s="7">
        <f t="shared" si="29"/>
        <v>0</v>
      </c>
      <c r="P54" s="7">
        <f t="shared" si="11"/>
        <v>0</v>
      </c>
      <c r="Q54" s="7">
        <v>0</v>
      </c>
      <c r="R54" s="7">
        <f t="shared" si="30"/>
        <v>0</v>
      </c>
      <c r="S54" s="7"/>
      <c r="T54" s="7"/>
      <c r="U54" s="7">
        <v>0</v>
      </c>
      <c r="V54" s="7">
        <f t="shared" si="5"/>
        <v>0</v>
      </c>
      <c r="W54" s="7"/>
      <c r="X54" s="159">
        <f t="shared" si="7"/>
        <v>0</v>
      </c>
      <c r="Y54" s="295">
        <f t="shared" si="18"/>
        <v>0</v>
      </c>
      <c r="Z54" s="7"/>
      <c r="AA54" s="182"/>
    </row>
    <row r="55" spans="1:27" x14ac:dyDescent="0.3">
      <c r="A55" s="7">
        <f>178*1.048</f>
        <v>186.54400000000001</v>
      </c>
      <c r="B55" s="7">
        <f t="shared" ref="B55:L55" si="34">178*1.048</f>
        <v>186.54400000000001</v>
      </c>
      <c r="C55" s="7">
        <f t="shared" si="34"/>
        <v>186.54400000000001</v>
      </c>
      <c r="D55" s="7">
        <f t="shared" si="34"/>
        <v>186.54400000000001</v>
      </c>
      <c r="E55" s="7">
        <f t="shared" si="34"/>
        <v>186.54400000000001</v>
      </c>
      <c r="F55" s="7">
        <f t="shared" si="34"/>
        <v>186.54400000000001</v>
      </c>
      <c r="G55" s="7">
        <f t="shared" si="34"/>
        <v>186.54400000000001</v>
      </c>
      <c r="H55" s="7">
        <f t="shared" si="34"/>
        <v>186.54400000000001</v>
      </c>
      <c r="I55" s="7">
        <f t="shared" si="34"/>
        <v>186.54400000000001</v>
      </c>
      <c r="J55" s="7">
        <f t="shared" si="34"/>
        <v>186.54400000000001</v>
      </c>
      <c r="K55" s="7">
        <f t="shared" si="34"/>
        <v>186.54400000000001</v>
      </c>
      <c r="L55" s="7">
        <f t="shared" si="34"/>
        <v>186.54400000000001</v>
      </c>
      <c r="M55" s="238" t="s">
        <v>452</v>
      </c>
      <c r="N55" s="7">
        <f t="shared" si="28"/>
        <v>0</v>
      </c>
      <c r="O55" s="7">
        <f t="shared" si="29"/>
        <v>2238.5280000000002</v>
      </c>
      <c r="P55" s="7">
        <f t="shared" si="11"/>
        <v>2238.5280000000002</v>
      </c>
      <c r="Q55" s="7">
        <v>2238.5280000000002</v>
      </c>
      <c r="R55" s="7">
        <f t="shared" si="30"/>
        <v>0</v>
      </c>
      <c r="S55" s="7"/>
      <c r="T55" s="7">
        <v>-226</v>
      </c>
      <c r="U55" s="7">
        <v>2138.0566040000003</v>
      </c>
      <c r="V55" s="7">
        <f t="shared" si="5"/>
        <v>-100.47139599999991</v>
      </c>
      <c r="W55" s="7"/>
      <c r="X55" s="159">
        <f t="shared" si="7"/>
        <v>0</v>
      </c>
      <c r="Y55" s="295">
        <f t="shared" si="18"/>
        <v>2138.0566040000003</v>
      </c>
      <c r="Z55" s="7"/>
      <c r="AA55" s="182"/>
    </row>
    <row r="56" spans="1:27" x14ac:dyDescent="0.3">
      <c r="A56" s="7">
        <f t="shared" ref="A56:L56" si="35">$Q56/12</f>
        <v>8.0111324981165429E-14</v>
      </c>
      <c r="B56" s="7">
        <f t="shared" si="35"/>
        <v>8.0111324981165429E-14</v>
      </c>
      <c r="C56" s="7">
        <f t="shared" si="35"/>
        <v>8.0111324981165429E-14</v>
      </c>
      <c r="D56" s="7">
        <f t="shared" si="35"/>
        <v>8.0111324981165429E-14</v>
      </c>
      <c r="E56" s="7">
        <f t="shared" si="35"/>
        <v>8.0111324981165429E-14</v>
      </c>
      <c r="F56" s="7">
        <f t="shared" si="35"/>
        <v>8.0111324981165429E-14</v>
      </c>
      <c r="G56" s="7">
        <f t="shared" si="35"/>
        <v>8.0111324981165429E-14</v>
      </c>
      <c r="H56" s="7">
        <f t="shared" si="35"/>
        <v>8.0111324981165429E-14</v>
      </c>
      <c r="I56" s="7">
        <f t="shared" si="35"/>
        <v>8.0111324981165429E-14</v>
      </c>
      <c r="J56" s="7">
        <f t="shared" si="35"/>
        <v>8.0111324981165429E-14</v>
      </c>
      <c r="K56" s="7">
        <f t="shared" si="35"/>
        <v>8.0111324981165429E-14</v>
      </c>
      <c r="L56" s="7">
        <f t="shared" si="35"/>
        <v>8.0111324981165429E-14</v>
      </c>
      <c r="M56" s="13" t="s">
        <v>453</v>
      </c>
      <c r="N56" s="7">
        <f t="shared" si="28"/>
        <v>0</v>
      </c>
      <c r="O56" s="7">
        <f t="shared" si="29"/>
        <v>9.6133589977398489E-13</v>
      </c>
      <c r="P56" s="7">
        <f t="shared" si="11"/>
        <v>9.6133589977398489E-13</v>
      </c>
      <c r="Q56" s="7">
        <v>9.6133589977398509E-13</v>
      </c>
      <c r="R56" s="7">
        <f t="shared" si="30"/>
        <v>0</v>
      </c>
      <c r="S56" s="7"/>
      <c r="T56" s="7"/>
      <c r="U56" s="7">
        <v>9.6133589977398509E-13</v>
      </c>
      <c r="V56" s="7">
        <f t="shared" si="5"/>
        <v>0</v>
      </c>
      <c r="W56" s="7"/>
      <c r="X56" s="159">
        <f t="shared" si="7"/>
        <v>0</v>
      </c>
      <c r="Y56" s="295">
        <f t="shared" si="18"/>
        <v>9.6133589977398509E-13</v>
      </c>
      <c r="Z56" s="7"/>
      <c r="AA56" s="182"/>
    </row>
    <row r="57" spans="1:27" x14ac:dyDescent="0.3">
      <c r="A57" s="7">
        <v>0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13" t="s">
        <v>454</v>
      </c>
      <c r="N57" s="7">
        <f t="shared" si="28"/>
        <v>0</v>
      </c>
      <c r="O57" s="7">
        <f t="shared" si="29"/>
        <v>0</v>
      </c>
      <c r="P57" s="7">
        <f t="shared" si="11"/>
        <v>0</v>
      </c>
      <c r="Q57" s="7">
        <v>0</v>
      </c>
      <c r="R57" s="7">
        <f t="shared" si="30"/>
        <v>0</v>
      </c>
      <c r="S57" s="7"/>
      <c r="T57" s="7"/>
      <c r="U57" s="7">
        <v>0</v>
      </c>
      <c r="V57" s="7">
        <f t="shared" si="5"/>
        <v>0</v>
      </c>
      <c r="W57" s="7"/>
      <c r="X57" s="159">
        <f t="shared" si="7"/>
        <v>0</v>
      </c>
      <c r="Y57" s="295">
        <f t="shared" si="18"/>
        <v>0</v>
      </c>
      <c r="Z57" s="7"/>
      <c r="AA57" s="182"/>
    </row>
    <row r="58" spans="1:27" x14ac:dyDescent="0.3">
      <c r="A58" s="7">
        <f>(375-5)*1.048</f>
        <v>387.76</v>
      </c>
      <c r="B58" s="7">
        <f>375*1.048</f>
        <v>393</v>
      </c>
      <c r="C58" s="7">
        <f t="shared" ref="C58:L58" si="36">375*1.048</f>
        <v>393</v>
      </c>
      <c r="D58" s="7">
        <f t="shared" si="36"/>
        <v>393</v>
      </c>
      <c r="E58" s="7">
        <f t="shared" si="36"/>
        <v>393</v>
      </c>
      <c r="F58" s="7">
        <f t="shared" si="36"/>
        <v>393</v>
      </c>
      <c r="G58" s="7">
        <f t="shared" si="36"/>
        <v>393</v>
      </c>
      <c r="H58" s="7">
        <f t="shared" si="36"/>
        <v>393</v>
      </c>
      <c r="I58" s="7">
        <f t="shared" si="36"/>
        <v>393</v>
      </c>
      <c r="J58" s="7">
        <f t="shared" si="36"/>
        <v>393</v>
      </c>
      <c r="K58" s="7">
        <f t="shared" si="36"/>
        <v>393</v>
      </c>
      <c r="L58" s="7">
        <f t="shared" si="36"/>
        <v>393</v>
      </c>
      <c r="M58" s="13" t="s">
        <v>455</v>
      </c>
      <c r="N58" s="7">
        <f t="shared" si="28"/>
        <v>0</v>
      </c>
      <c r="O58" s="7">
        <f t="shared" si="29"/>
        <v>4710.76</v>
      </c>
      <c r="P58" s="7">
        <f t="shared" si="11"/>
        <v>4710.76</v>
      </c>
      <c r="Q58" s="7">
        <v>4710.76</v>
      </c>
      <c r="R58" s="7">
        <f t="shared" si="30"/>
        <v>0</v>
      </c>
      <c r="S58" s="7"/>
      <c r="T58" s="7"/>
      <c r="U58" s="7">
        <v>4500</v>
      </c>
      <c r="V58" s="7">
        <f t="shared" si="5"/>
        <v>-210.76000000000022</v>
      </c>
      <c r="W58" s="7"/>
      <c r="X58" s="159">
        <f t="shared" si="7"/>
        <v>0</v>
      </c>
      <c r="Y58" s="295">
        <f t="shared" si="18"/>
        <v>4500</v>
      </c>
      <c r="Z58" s="7"/>
      <c r="AA58" s="182"/>
    </row>
    <row r="59" spans="1:27" x14ac:dyDescent="0.3">
      <c r="A59" s="7">
        <v>0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13" t="s">
        <v>456</v>
      </c>
      <c r="N59" s="7">
        <f t="shared" si="28"/>
        <v>0</v>
      </c>
      <c r="O59" s="7">
        <f t="shared" si="29"/>
        <v>0</v>
      </c>
      <c r="P59" s="7">
        <f t="shared" si="11"/>
        <v>0</v>
      </c>
      <c r="Q59" s="7">
        <v>0</v>
      </c>
      <c r="R59" s="7">
        <f t="shared" si="30"/>
        <v>0</v>
      </c>
      <c r="S59" s="7"/>
      <c r="T59" s="7"/>
      <c r="U59" s="7">
        <v>0</v>
      </c>
      <c r="V59" s="7">
        <f t="shared" si="5"/>
        <v>0</v>
      </c>
      <c r="W59" s="7"/>
      <c r="X59" s="159">
        <f t="shared" si="7"/>
        <v>0</v>
      </c>
      <c r="Y59" s="295">
        <f t="shared" si="18"/>
        <v>0</v>
      </c>
      <c r="Z59" s="7"/>
      <c r="AA59" s="182"/>
    </row>
    <row r="60" spans="1:27" x14ac:dyDescent="0.3">
      <c r="A60" s="7">
        <v>0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13" t="s">
        <v>457</v>
      </c>
      <c r="N60" s="7">
        <f t="shared" si="28"/>
        <v>0</v>
      </c>
      <c r="O60" s="7">
        <f t="shared" si="29"/>
        <v>0</v>
      </c>
      <c r="P60" s="7">
        <f t="shared" si="11"/>
        <v>0</v>
      </c>
      <c r="Q60" s="7">
        <v>0</v>
      </c>
      <c r="R60" s="7">
        <f t="shared" si="30"/>
        <v>0</v>
      </c>
      <c r="S60" s="7"/>
      <c r="T60" s="7"/>
      <c r="U60" s="7">
        <v>0</v>
      </c>
      <c r="V60" s="7">
        <f t="shared" si="5"/>
        <v>0</v>
      </c>
      <c r="W60" s="7"/>
      <c r="X60" s="159">
        <f t="shared" si="7"/>
        <v>0</v>
      </c>
      <c r="Y60" s="295">
        <f t="shared" si="18"/>
        <v>0</v>
      </c>
      <c r="Z60" s="7"/>
      <c r="AA60" s="182"/>
    </row>
    <row r="61" spans="1:27" x14ac:dyDescent="0.3">
      <c r="A61" s="7">
        <v>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13" t="s">
        <v>458</v>
      </c>
      <c r="N61" s="7">
        <f t="shared" si="28"/>
        <v>0</v>
      </c>
      <c r="O61" s="7">
        <f t="shared" si="29"/>
        <v>0</v>
      </c>
      <c r="P61" s="7">
        <f t="shared" si="11"/>
        <v>0</v>
      </c>
      <c r="Q61" s="7">
        <v>0</v>
      </c>
      <c r="R61" s="7">
        <f t="shared" si="30"/>
        <v>0</v>
      </c>
      <c r="S61" s="7"/>
      <c r="T61" s="7"/>
      <c r="U61" s="7">
        <v>0</v>
      </c>
      <c r="V61" s="7">
        <f t="shared" si="5"/>
        <v>0</v>
      </c>
      <c r="W61" s="7"/>
      <c r="X61" s="159">
        <f t="shared" si="7"/>
        <v>0</v>
      </c>
      <c r="Y61" s="295">
        <f t="shared" si="18"/>
        <v>0</v>
      </c>
      <c r="Z61" s="7"/>
      <c r="AA61" s="182"/>
    </row>
    <row r="62" spans="1:27" x14ac:dyDescent="0.3">
      <c r="A62" s="7">
        <v>0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238" t="s">
        <v>459</v>
      </c>
      <c r="N62" s="7">
        <f t="shared" si="28"/>
        <v>0</v>
      </c>
      <c r="O62" s="7">
        <f t="shared" si="29"/>
        <v>0</v>
      </c>
      <c r="P62" s="7">
        <f t="shared" si="11"/>
        <v>0</v>
      </c>
      <c r="Q62" s="7">
        <v>0</v>
      </c>
      <c r="R62" s="7">
        <f t="shared" si="30"/>
        <v>0</v>
      </c>
      <c r="S62" s="7"/>
      <c r="T62" s="7"/>
      <c r="U62" s="7">
        <v>0</v>
      </c>
      <c r="V62" s="7">
        <f t="shared" si="5"/>
        <v>0</v>
      </c>
      <c r="W62" s="7"/>
      <c r="X62" s="159">
        <f t="shared" si="7"/>
        <v>0</v>
      </c>
      <c r="Y62" s="295">
        <f t="shared" si="18"/>
        <v>0</v>
      </c>
      <c r="Z62" s="7"/>
      <c r="AA62" s="182"/>
    </row>
    <row r="63" spans="1:27" x14ac:dyDescent="0.3">
      <c r="A63" s="11">
        <v>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238" t="s">
        <v>460</v>
      </c>
      <c r="N63" s="11">
        <f t="shared" si="28"/>
        <v>0</v>
      </c>
      <c r="O63" s="11">
        <f t="shared" si="29"/>
        <v>0</v>
      </c>
      <c r="P63" s="11">
        <f t="shared" si="11"/>
        <v>0</v>
      </c>
      <c r="Q63" s="11">
        <v>0</v>
      </c>
      <c r="R63" s="11">
        <f t="shared" si="30"/>
        <v>0</v>
      </c>
      <c r="S63" s="11"/>
      <c r="T63" s="11"/>
      <c r="U63" s="11">
        <v>0</v>
      </c>
      <c r="V63" s="11">
        <f t="shared" si="5"/>
        <v>0</v>
      </c>
      <c r="W63" s="11"/>
      <c r="X63" s="160">
        <f t="shared" si="7"/>
        <v>0</v>
      </c>
      <c r="Y63" s="295">
        <f t="shared" si="18"/>
        <v>0</v>
      </c>
      <c r="Z63" s="11"/>
      <c r="AA63" s="182"/>
    </row>
    <row r="64" spans="1:27" ht="15" thickBot="1" x14ac:dyDescent="0.35">
      <c r="A64" s="89"/>
      <c r="B64" s="89"/>
      <c r="C64" s="89"/>
      <c r="D64" s="90"/>
      <c r="E64" s="91"/>
      <c r="F64" s="91"/>
      <c r="G64" s="91"/>
      <c r="H64" s="91"/>
      <c r="I64" s="91"/>
      <c r="J64" s="91"/>
      <c r="K64" s="92"/>
      <c r="L64" s="92"/>
      <c r="M64" s="13"/>
      <c r="N64" s="91">
        <f t="shared" si="9"/>
        <v>0</v>
      </c>
      <c r="O64" s="91">
        <f t="shared" si="10"/>
        <v>0</v>
      </c>
      <c r="P64" s="91">
        <f t="shared" si="11"/>
        <v>0</v>
      </c>
      <c r="Q64" s="89">
        <v>0</v>
      </c>
      <c r="R64" s="89"/>
      <c r="S64" s="89"/>
      <c r="T64" s="89"/>
      <c r="U64" s="89">
        <v>0</v>
      </c>
      <c r="V64" s="89">
        <f t="shared" si="5"/>
        <v>0</v>
      </c>
      <c r="W64" s="89"/>
      <c r="X64" s="207">
        <f t="shared" si="7"/>
        <v>0</v>
      </c>
      <c r="Y64" s="295">
        <f t="shared" si="18"/>
        <v>0</v>
      </c>
      <c r="Z64" s="89"/>
      <c r="AA64" s="182"/>
    </row>
    <row r="65" spans="1:27" x14ac:dyDescent="0.3">
      <c r="A65" s="4">
        <f>SUM(A48:A63)</f>
        <v>1530.0800000000002</v>
      </c>
      <c r="B65" s="4">
        <f t="shared" ref="B65:L65" si="37">SUM(B48:B63)</f>
        <v>1535.3200000000002</v>
      </c>
      <c r="C65" s="4">
        <f t="shared" si="37"/>
        <v>1535.3200000000002</v>
      </c>
      <c r="D65" s="4">
        <f t="shared" si="37"/>
        <v>1535.3200000000002</v>
      </c>
      <c r="E65" s="4">
        <f t="shared" si="37"/>
        <v>1535.3200000000002</v>
      </c>
      <c r="F65" s="4">
        <f t="shared" si="37"/>
        <v>1535.3200000000002</v>
      </c>
      <c r="G65" s="4">
        <f t="shared" si="37"/>
        <v>1535.3200000000002</v>
      </c>
      <c r="H65" s="4">
        <f t="shared" si="37"/>
        <v>1535.3200000000002</v>
      </c>
      <c r="I65" s="4">
        <f t="shared" si="37"/>
        <v>1535.3200000000002</v>
      </c>
      <c r="J65" s="4">
        <f t="shared" si="37"/>
        <v>1535.3200000000002</v>
      </c>
      <c r="K65" s="4">
        <f t="shared" si="37"/>
        <v>1535.3200000000002</v>
      </c>
      <c r="L65" s="4">
        <f t="shared" si="37"/>
        <v>1535.3200000000002</v>
      </c>
      <c r="M65" s="13" t="s">
        <v>132</v>
      </c>
      <c r="N65" s="4">
        <f t="shared" ref="N65:P65" si="38">SUM(N48:N63)</f>
        <v>0</v>
      </c>
      <c r="O65" s="4">
        <f t="shared" si="38"/>
        <v>18418.600000000006</v>
      </c>
      <c r="P65" s="4">
        <f t="shared" si="38"/>
        <v>18418.600000000006</v>
      </c>
      <c r="Q65" s="4">
        <v>18418.600000000006</v>
      </c>
      <c r="R65" s="4">
        <f t="shared" ref="R65:W65" si="39">SUM(R48:R63)</f>
        <v>0</v>
      </c>
      <c r="S65" s="4">
        <v>0</v>
      </c>
      <c r="T65" s="4">
        <v>0</v>
      </c>
      <c r="U65" s="4">
        <v>17585.305446799997</v>
      </c>
      <c r="V65" s="4">
        <f t="shared" si="5"/>
        <v>-833.29455320000852</v>
      </c>
      <c r="W65" s="4">
        <f t="shared" si="39"/>
        <v>0</v>
      </c>
      <c r="X65" s="162">
        <f t="shared" si="7"/>
        <v>0</v>
      </c>
      <c r="Z65" s="4"/>
      <c r="AA65" s="182"/>
    </row>
    <row r="66" spans="1:27" x14ac:dyDescent="0.3">
      <c r="A66" s="81"/>
      <c r="B66" s="81"/>
      <c r="C66" s="81"/>
      <c r="D66" s="82"/>
      <c r="E66" s="86"/>
      <c r="F66" s="86"/>
      <c r="G66" s="86"/>
      <c r="H66" s="87"/>
      <c r="I66" s="87"/>
      <c r="J66" s="87"/>
      <c r="K66" s="84"/>
      <c r="L66" s="84"/>
      <c r="M66" s="80"/>
      <c r="N66" s="86">
        <f t="shared" si="9"/>
        <v>0</v>
      </c>
      <c r="O66" s="86">
        <f t="shared" si="10"/>
        <v>0</v>
      </c>
      <c r="P66" s="86">
        <f t="shared" si="11"/>
        <v>0</v>
      </c>
      <c r="Q66" s="81"/>
      <c r="R66" s="81"/>
      <c r="S66" s="81"/>
      <c r="T66" s="81"/>
      <c r="U66" s="81">
        <v>0</v>
      </c>
      <c r="V66" s="81">
        <f t="shared" si="5"/>
        <v>0</v>
      </c>
      <c r="W66" s="81"/>
      <c r="X66" s="204"/>
      <c r="Z66" s="81"/>
      <c r="AA66" s="182"/>
    </row>
    <row r="67" spans="1:27" x14ac:dyDescent="0.3">
      <c r="A67" s="8">
        <v>0</v>
      </c>
      <c r="B67" s="8">
        <v>0</v>
      </c>
      <c r="C67" s="8">
        <f>54395*1.048</f>
        <v>57005.96</v>
      </c>
      <c r="D67" s="8">
        <v>0</v>
      </c>
      <c r="E67" s="8"/>
      <c r="F67" s="8">
        <f>145605*1.048</f>
        <v>152594.04</v>
      </c>
      <c r="G67" s="8"/>
      <c r="H67" s="8">
        <v>0</v>
      </c>
      <c r="I67" s="8"/>
      <c r="J67" s="8"/>
      <c r="K67" s="8"/>
      <c r="L67" s="245">
        <v>0</v>
      </c>
      <c r="M67" s="238" t="s">
        <v>461</v>
      </c>
      <c r="N67" s="8">
        <f t="shared" ref="N67:N89" si="40">SUM(0)</f>
        <v>0</v>
      </c>
      <c r="O67" s="8">
        <f t="shared" ref="O67:O89" si="41">SUM(A67:L67)</f>
        <v>209600</v>
      </c>
      <c r="P67" s="8">
        <f t="shared" si="11"/>
        <v>209600</v>
      </c>
      <c r="Q67" s="8">
        <v>209600</v>
      </c>
      <c r="R67" s="8">
        <f t="shared" ref="R67:R89" si="42">Q67-P67</f>
        <v>0</v>
      </c>
      <c r="S67" s="8"/>
      <c r="T67" s="8"/>
      <c r="U67" s="8">
        <v>200000</v>
      </c>
      <c r="V67" s="8">
        <f t="shared" si="5"/>
        <v>-9600</v>
      </c>
      <c r="W67" s="8"/>
      <c r="X67" s="158">
        <f t="shared" si="7"/>
        <v>0</v>
      </c>
      <c r="Y67" s="295">
        <f>U67</f>
        <v>200000</v>
      </c>
      <c r="Z67" s="8"/>
      <c r="AA67" s="182"/>
    </row>
    <row r="68" spans="1:27" x14ac:dyDescent="0.3">
      <c r="A68" s="7">
        <v>0</v>
      </c>
      <c r="B68" s="7">
        <v>0</v>
      </c>
      <c r="C68" s="7">
        <v>0</v>
      </c>
      <c r="D68" s="7">
        <v>0</v>
      </c>
      <c r="E68" s="7"/>
      <c r="F68" s="7">
        <v>0</v>
      </c>
      <c r="G68" s="7"/>
      <c r="H68" s="7">
        <v>0</v>
      </c>
      <c r="I68" s="7"/>
      <c r="J68" s="7"/>
      <c r="K68" s="7">
        <v>0</v>
      </c>
      <c r="L68" s="7">
        <v>0</v>
      </c>
      <c r="M68" s="13" t="s">
        <v>462</v>
      </c>
      <c r="N68" s="7">
        <f t="shared" si="40"/>
        <v>0</v>
      </c>
      <c r="O68" s="7">
        <f t="shared" si="41"/>
        <v>0</v>
      </c>
      <c r="P68" s="7">
        <f t="shared" si="11"/>
        <v>0</v>
      </c>
      <c r="Q68" s="7">
        <v>0</v>
      </c>
      <c r="R68" s="7">
        <f t="shared" si="42"/>
        <v>0</v>
      </c>
      <c r="S68" s="7"/>
      <c r="T68" s="7"/>
      <c r="U68" s="7">
        <v>0</v>
      </c>
      <c r="V68" s="7">
        <f t="shared" si="5"/>
        <v>0</v>
      </c>
      <c r="W68" s="7"/>
      <c r="X68" s="159">
        <f t="shared" si="7"/>
        <v>0</v>
      </c>
      <c r="Y68" s="295">
        <f t="shared" ref="Y68:Y129" si="43">U68</f>
        <v>0</v>
      </c>
      <c r="Z68" s="7"/>
      <c r="AA68" s="182"/>
    </row>
    <row r="69" spans="1:27" x14ac:dyDescent="0.3">
      <c r="A69" s="7">
        <v>0</v>
      </c>
      <c r="B69" s="7">
        <v>0</v>
      </c>
      <c r="C69" s="7">
        <v>0</v>
      </c>
      <c r="D69" s="7">
        <v>0</v>
      </c>
      <c r="E69" s="7"/>
      <c r="F69" s="7">
        <f>200000*1.048+4</f>
        <v>209604</v>
      </c>
      <c r="G69" s="7"/>
      <c r="H69" s="7"/>
      <c r="I69" s="7"/>
      <c r="J69" s="7"/>
      <c r="K69" s="7"/>
      <c r="L69" s="244">
        <v>0</v>
      </c>
      <c r="M69" s="13" t="s">
        <v>463</v>
      </c>
      <c r="N69" s="7">
        <f t="shared" si="40"/>
        <v>0</v>
      </c>
      <c r="O69" s="7">
        <f t="shared" si="41"/>
        <v>209604</v>
      </c>
      <c r="P69" s="7">
        <f t="shared" si="11"/>
        <v>209604</v>
      </c>
      <c r="Q69" s="7">
        <v>209604</v>
      </c>
      <c r="R69" s="7">
        <f t="shared" si="42"/>
        <v>0</v>
      </c>
      <c r="S69" s="7"/>
      <c r="T69" s="7"/>
      <c r="U69" s="7">
        <v>200000</v>
      </c>
      <c r="V69" s="7">
        <f t="shared" si="5"/>
        <v>-9604</v>
      </c>
      <c r="W69" s="7"/>
      <c r="X69" s="159">
        <f t="shared" si="7"/>
        <v>0</v>
      </c>
      <c r="Y69" s="295">
        <f t="shared" si="43"/>
        <v>200000</v>
      </c>
      <c r="Z69" s="7"/>
      <c r="AA69" s="182"/>
    </row>
    <row r="70" spans="1:27" x14ac:dyDescent="0.3">
      <c r="A70" s="7">
        <v>0</v>
      </c>
      <c r="B70" s="7">
        <v>0</v>
      </c>
      <c r="C70" s="7">
        <v>0</v>
      </c>
      <c r="D70" s="7">
        <v>0</v>
      </c>
      <c r="E70" s="7"/>
      <c r="F70" s="7">
        <v>0</v>
      </c>
      <c r="G70" s="7"/>
      <c r="H70" s="7">
        <v>0</v>
      </c>
      <c r="I70" s="7"/>
      <c r="J70" s="7"/>
      <c r="K70" s="7">
        <v>0</v>
      </c>
      <c r="L70" s="7">
        <v>0</v>
      </c>
      <c r="M70" s="13" t="s">
        <v>464</v>
      </c>
      <c r="N70" s="7">
        <f t="shared" si="40"/>
        <v>0</v>
      </c>
      <c r="O70" s="7">
        <f t="shared" si="41"/>
        <v>0</v>
      </c>
      <c r="P70" s="7">
        <f t="shared" si="11"/>
        <v>0</v>
      </c>
      <c r="Q70" s="7">
        <v>0</v>
      </c>
      <c r="R70" s="7">
        <f t="shared" si="42"/>
        <v>0</v>
      </c>
      <c r="S70" s="7"/>
      <c r="T70" s="7"/>
      <c r="U70" s="7">
        <v>0</v>
      </c>
      <c r="V70" s="7">
        <f t="shared" si="5"/>
        <v>0</v>
      </c>
      <c r="W70" s="7"/>
      <c r="X70" s="159">
        <f t="shared" si="7"/>
        <v>0</v>
      </c>
      <c r="Y70" s="295">
        <f t="shared" si="43"/>
        <v>0</v>
      </c>
      <c r="Z70" s="7"/>
      <c r="AA70" s="182"/>
    </row>
    <row r="71" spans="1:27" x14ac:dyDescent="0.3">
      <c r="A71" s="7">
        <v>0</v>
      </c>
      <c r="B71" s="7">
        <v>0</v>
      </c>
      <c r="C71" s="7">
        <v>0</v>
      </c>
      <c r="D71" s="7">
        <v>0</v>
      </c>
      <c r="E71" s="7"/>
      <c r="F71" s="7">
        <v>0</v>
      </c>
      <c r="G71" s="7"/>
      <c r="H71" s="7">
        <v>0</v>
      </c>
      <c r="I71" s="7"/>
      <c r="J71" s="7"/>
      <c r="K71" s="7">
        <v>0</v>
      </c>
      <c r="L71" s="7">
        <v>0</v>
      </c>
      <c r="M71" s="13" t="s">
        <v>465</v>
      </c>
      <c r="N71" s="7">
        <f t="shared" si="40"/>
        <v>0</v>
      </c>
      <c r="O71" s="7">
        <f t="shared" si="41"/>
        <v>0</v>
      </c>
      <c r="P71" s="7">
        <f t="shared" si="11"/>
        <v>0</v>
      </c>
      <c r="Q71" s="7">
        <v>0</v>
      </c>
      <c r="R71" s="7">
        <f t="shared" si="42"/>
        <v>0</v>
      </c>
      <c r="S71" s="7"/>
      <c r="T71" s="7"/>
      <c r="U71" s="7">
        <v>0</v>
      </c>
      <c r="V71" s="7">
        <f t="shared" si="5"/>
        <v>0</v>
      </c>
      <c r="W71" s="7"/>
      <c r="X71" s="159">
        <f t="shared" si="7"/>
        <v>0</v>
      </c>
      <c r="Y71" s="295">
        <f t="shared" si="43"/>
        <v>0</v>
      </c>
      <c r="Z71" s="7"/>
      <c r="AA71" s="182"/>
    </row>
    <row r="72" spans="1:27" x14ac:dyDescent="0.3">
      <c r="A72" s="7">
        <v>0</v>
      </c>
      <c r="B72" s="7">
        <v>0</v>
      </c>
      <c r="C72" s="7">
        <v>0</v>
      </c>
      <c r="D72" s="7">
        <v>0</v>
      </c>
      <c r="E72" s="7"/>
      <c r="F72" s="7">
        <v>0</v>
      </c>
      <c r="G72" s="7"/>
      <c r="H72" s="7">
        <v>0</v>
      </c>
      <c r="I72" s="7"/>
      <c r="J72" s="7"/>
      <c r="K72" s="7">
        <v>0</v>
      </c>
      <c r="L72" s="7">
        <v>0</v>
      </c>
      <c r="M72" s="13" t="s">
        <v>466</v>
      </c>
      <c r="N72" s="7">
        <f t="shared" si="40"/>
        <v>0</v>
      </c>
      <c r="O72" s="7">
        <f t="shared" si="41"/>
        <v>0</v>
      </c>
      <c r="P72" s="7">
        <f t="shared" ref="P72:P128" si="44">SUM(N72:O72)</f>
        <v>0</v>
      </c>
      <c r="Q72" s="7">
        <v>0</v>
      </c>
      <c r="R72" s="7">
        <f t="shared" si="42"/>
        <v>0</v>
      </c>
      <c r="S72" s="7"/>
      <c r="T72" s="7"/>
      <c r="U72" s="7">
        <v>0</v>
      </c>
      <c r="V72" s="7">
        <f t="shared" ref="V72:V129" si="45">U72-P72</f>
        <v>0</v>
      </c>
      <c r="W72" s="7"/>
      <c r="X72" s="159">
        <f t="shared" si="7"/>
        <v>0</v>
      </c>
      <c r="Y72" s="295">
        <f t="shared" si="43"/>
        <v>0</v>
      </c>
      <c r="Z72" s="7"/>
      <c r="AA72" s="182"/>
    </row>
    <row r="73" spans="1:27" x14ac:dyDescent="0.3">
      <c r="A73" s="7">
        <v>0</v>
      </c>
      <c r="B73" s="7">
        <v>0</v>
      </c>
      <c r="C73" s="7">
        <v>0</v>
      </c>
      <c r="D73" s="7">
        <v>0</v>
      </c>
      <c r="E73" s="7"/>
      <c r="F73" s="7">
        <v>0</v>
      </c>
      <c r="G73" s="7"/>
      <c r="H73" s="7">
        <v>0</v>
      </c>
      <c r="I73" s="7"/>
      <c r="J73" s="7"/>
      <c r="K73" s="7">
        <v>0</v>
      </c>
      <c r="L73" s="7">
        <v>0</v>
      </c>
      <c r="M73" s="13" t="s">
        <v>453</v>
      </c>
      <c r="N73" s="7">
        <f t="shared" si="40"/>
        <v>0</v>
      </c>
      <c r="O73" s="7">
        <f t="shared" si="41"/>
        <v>0</v>
      </c>
      <c r="P73" s="7">
        <f t="shared" si="44"/>
        <v>0</v>
      </c>
      <c r="Q73" s="7">
        <v>0</v>
      </c>
      <c r="R73" s="7">
        <f t="shared" si="42"/>
        <v>0</v>
      </c>
      <c r="S73" s="7"/>
      <c r="T73" s="7"/>
      <c r="U73" s="7">
        <v>0</v>
      </c>
      <c r="V73" s="7">
        <f t="shared" si="45"/>
        <v>0</v>
      </c>
      <c r="W73" s="7"/>
      <c r="X73" s="159">
        <f t="shared" si="7"/>
        <v>0</v>
      </c>
      <c r="Y73" s="295">
        <f t="shared" si="43"/>
        <v>0</v>
      </c>
      <c r="Z73" s="7"/>
      <c r="AA73" s="182"/>
    </row>
    <row r="74" spans="1:27" x14ac:dyDescent="0.3">
      <c r="A74" s="7">
        <v>0</v>
      </c>
      <c r="B74" s="7">
        <v>0</v>
      </c>
      <c r="C74" s="7">
        <v>0</v>
      </c>
      <c r="D74" s="7">
        <v>0</v>
      </c>
      <c r="E74" s="7"/>
      <c r="F74" s="7">
        <v>0</v>
      </c>
      <c r="G74" s="7"/>
      <c r="H74" s="7">
        <v>0</v>
      </c>
      <c r="I74" s="7"/>
      <c r="J74" s="7"/>
      <c r="K74" s="7">
        <v>0</v>
      </c>
      <c r="L74" s="7">
        <v>0</v>
      </c>
      <c r="M74" s="238" t="s">
        <v>467</v>
      </c>
      <c r="N74" s="7">
        <f t="shared" si="40"/>
        <v>0</v>
      </c>
      <c r="O74" s="7">
        <f t="shared" si="41"/>
        <v>0</v>
      </c>
      <c r="P74" s="7">
        <f t="shared" si="44"/>
        <v>0</v>
      </c>
      <c r="Q74" s="7">
        <v>0</v>
      </c>
      <c r="R74" s="7">
        <f t="shared" si="42"/>
        <v>0</v>
      </c>
      <c r="S74" s="7"/>
      <c r="T74" s="7"/>
      <c r="U74" s="7">
        <v>0</v>
      </c>
      <c r="V74" s="7">
        <f t="shared" si="45"/>
        <v>0</v>
      </c>
      <c r="W74" s="7"/>
      <c r="X74" s="159">
        <f t="shared" ref="X74:X129" si="46">IFERROR(N74/Q74,0)</f>
        <v>0</v>
      </c>
      <c r="Y74" s="295">
        <f t="shared" si="43"/>
        <v>0</v>
      </c>
      <c r="Z74" s="7"/>
      <c r="AA74" s="182"/>
    </row>
    <row r="75" spans="1:27" x14ac:dyDescent="0.3">
      <c r="A75" s="7">
        <v>0</v>
      </c>
      <c r="B75" s="7">
        <v>0</v>
      </c>
      <c r="C75" s="7">
        <v>0</v>
      </c>
      <c r="D75" s="7">
        <v>0</v>
      </c>
      <c r="E75" s="7"/>
      <c r="F75" s="7">
        <v>0</v>
      </c>
      <c r="G75" s="7"/>
      <c r="H75" s="7">
        <v>0</v>
      </c>
      <c r="I75" s="7"/>
      <c r="J75" s="7"/>
      <c r="K75" s="7">
        <v>0</v>
      </c>
      <c r="L75" s="7">
        <v>0</v>
      </c>
      <c r="M75" s="13" t="s">
        <v>468</v>
      </c>
      <c r="N75" s="7">
        <f t="shared" si="40"/>
        <v>0</v>
      </c>
      <c r="O75" s="7">
        <f t="shared" si="41"/>
        <v>0</v>
      </c>
      <c r="P75" s="7">
        <f t="shared" si="44"/>
        <v>0</v>
      </c>
      <c r="Q75" s="7">
        <v>0</v>
      </c>
      <c r="R75" s="7">
        <f t="shared" si="42"/>
        <v>0</v>
      </c>
      <c r="S75" s="7"/>
      <c r="T75" s="7"/>
      <c r="U75" s="7">
        <v>0</v>
      </c>
      <c r="V75" s="7">
        <f t="shared" si="45"/>
        <v>0</v>
      </c>
      <c r="W75" s="7"/>
      <c r="X75" s="159">
        <f t="shared" si="46"/>
        <v>0</v>
      </c>
      <c r="Y75" s="295">
        <f t="shared" si="43"/>
        <v>0</v>
      </c>
      <c r="Z75" s="7"/>
      <c r="AA75" s="182"/>
    </row>
    <row r="76" spans="1:27" x14ac:dyDescent="0.3">
      <c r="A76" s="7">
        <v>0</v>
      </c>
      <c r="B76" s="7">
        <v>0</v>
      </c>
      <c r="C76" s="7">
        <v>0</v>
      </c>
      <c r="D76" s="7">
        <v>0</v>
      </c>
      <c r="E76" s="7"/>
      <c r="F76" s="7">
        <v>0</v>
      </c>
      <c r="G76" s="7"/>
      <c r="H76" s="7">
        <v>0</v>
      </c>
      <c r="I76" s="7"/>
      <c r="J76" s="7"/>
      <c r="K76" s="7">
        <v>0</v>
      </c>
      <c r="L76" s="7">
        <v>0</v>
      </c>
      <c r="M76" s="13" t="s">
        <v>469</v>
      </c>
      <c r="N76" s="7">
        <f t="shared" si="40"/>
        <v>0</v>
      </c>
      <c r="O76" s="7">
        <f t="shared" si="41"/>
        <v>0</v>
      </c>
      <c r="P76" s="7">
        <f t="shared" si="44"/>
        <v>0</v>
      </c>
      <c r="Q76" s="7">
        <v>0</v>
      </c>
      <c r="R76" s="7">
        <f t="shared" si="42"/>
        <v>0</v>
      </c>
      <c r="S76" s="7"/>
      <c r="T76" s="7"/>
      <c r="U76" s="7">
        <v>0</v>
      </c>
      <c r="V76" s="7">
        <f t="shared" si="45"/>
        <v>0</v>
      </c>
      <c r="W76" s="7"/>
      <c r="X76" s="159">
        <f t="shared" si="46"/>
        <v>0</v>
      </c>
      <c r="Y76" s="295">
        <f t="shared" si="43"/>
        <v>0</v>
      </c>
      <c r="Z76" s="7"/>
      <c r="AA76" s="182"/>
    </row>
    <row r="77" spans="1:27" x14ac:dyDescent="0.3">
      <c r="A77" s="7">
        <v>0</v>
      </c>
      <c r="B77" s="7">
        <v>0</v>
      </c>
      <c r="C77" s="7">
        <v>0</v>
      </c>
      <c r="D77" s="7">
        <v>0</v>
      </c>
      <c r="E77" s="7"/>
      <c r="F77" s="7">
        <v>0</v>
      </c>
      <c r="G77" s="7"/>
      <c r="H77" s="7">
        <v>0</v>
      </c>
      <c r="I77" s="7"/>
      <c r="J77" s="7"/>
      <c r="K77" s="7">
        <v>0</v>
      </c>
      <c r="L77" s="7">
        <v>0</v>
      </c>
      <c r="M77" s="13" t="s">
        <v>470</v>
      </c>
      <c r="N77" s="7">
        <f t="shared" si="40"/>
        <v>0</v>
      </c>
      <c r="O77" s="7">
        <f t="shared" si="41"/>
        <v>0</v>
      </c>
      <c r="P77" s="7">
        <f t="shared" si="44"/>
        <v>0</v>
      </c>
      <c r="Q77" s="7">
        <v>0</v>
      </c>
      <c r="R77" s="7">
        <f t="shared" si="42"/>
        <v>0</v>
      </c>
      <c r="S77" s="7"/>
      <c r="T77" s="7"/>
      <c r="U77" s="7">
        <v>0</v>
      </c>
      <c r="V77" s="7">
        <f t="shared" si="45"/>
        <v>0</v>
      </c>
      <c r="W77" s="7"/>
      <c r="X77" s="159">
        <f t="shared" si="46"/>
        <v>0</v>
      </c>
      <c r="Y77" s="295">
        <f t="shared" si="43"/>
        <v>0</v>
      </c>
      <c r="Z77" s="7"/>
      <c r="AA77" s="182"/>
    </row>
    <row r="78" spans="1:27" x14ac:dyDescent="0.3">
      <c r="A78" s="7">
        <v>0</v>
      </c>
      <c r="B78" s="7">
        <v>0</v>
      </c>
      <c r="C78" s="7">
        <v>0</v>
      </c>
      <c r="D78" s="7">
        <v>0</v>
      </c>
      <c r="E78" s="7"/>
      <c r="F78" s="7">
        <v>0</v>
      </c>
      <c r="G78" s="7"/>
      <c r="H78" s="7">
        <v>0</v>
      </c>
      <c r="I78" s="7"/>
      <c r="J78" s="7"/>
      <c r="K78" s="7">
        <v>0</v>
      </c>
      <c r="L78" s="7">
        <v>0</v>
      </c>
      <c r="M78" s="13" t="s">
        <v>471</v>
      </c>
      <c r="N78" s="7">
        <f t="shared" si="40"/>
        <v>0</v>
      </c>
      <c r="O78" s="7">
        <f t="shared" si="41"/>
        <v>0</v>
      </c>
      <c r="P78" s="7">
        <f t="shared" si="44"/>
        <v>0</v>
      </c>
      <c r="Q78" s="7">
        <v>0</v>
      </c>
      <c r="R78" s="7">
        <f t="shared" si="42"/>
        <v>0</v>
      </c>
      <c r="S78" s="7"/>
      <c r="T78" s="7"/>
      <c r="U78" s="7">
        <v>0</v>
      </c>
      <c r="V78" s="7">
        <f t="shared" si="45"/>
        <v>0</v>
      </c>
      <c r="W78" s="7"/>
      <c r="X78" s="159">
        <f t="shared" si="46"/>
        <v>0</v>
      </c>
      <c r="Y78" s="295">
        <f t="shared" si="43"/>
        <v>0</v>
      </c>
      <c r="Z78" s="7"/>
      <c r="AA78" s="182"/>
    </row>
    <row r="79" spans="1:27" x14ac:dyDescent="0.3">
      <c r="A79" s="7">
        <v>0</v>
      </c>
      <c r="B79" s="7">
        <v>0</v>
      </c>
      <c r="C79" s="7">
        <v>0</v>
      </c>
      <c r="D79" s="7">
        <v>0</v>
      </c>
      <c r="E79" s="7"/>
      <c r="F79" s="7">
        <v>0</v>
      </c>
      <c r="G79" s="7"/>
      <c r="H79" s="7">
        <v>0</v>
      </c>
      <c r="I79" s="7"/>
      <c r="J79" s="7"/>
      <c r="K79" s="7">
        <v>0</v>
      </c>
      <c r="L79" s="7">
        <v>0</v>
      </c>
      <c r="M79" s="13" t="s">
        <v>472</v>
      </c>
      <c r="N79" s="7">
        <f t="shared" si="40"/>
        <v>0</v>
      </c>
      <c r="O79" s="7">
        <f t="shared" si="41"/>
        <v>0</v>
      </c>
      <c r="P79" s="7">
        <f t="shared" si="44"/>
        <v>0</v>
      </c>
      <c r="Q79" s="7">
        <v>0</v>
      </c>
      <c r="R79" s="7">
        <f t="shared" si="42"/>
        <v>0</v>
      </c>
      <c r="S79" s="7"/>
      <c r="T79" s="7"/>
      <c r="U79" s="7">
        <v>0</v>
      </c>
      <c r="V79" s="7">
        <f t="shared" si="45"/>
        <v>0</v>
      </c>
      <c r="W79" s="7"/>
      <c r="X79" s="159">
        <f t="shared" si="46"/>
        <v>0</v>
      </c>
      <c r="Y79" s="295">
        <f t="shared" si="43"/>
        <v>0</v>
      </c>
      <c r="Z79" s="7"/>
      <c r="AA79" s="182"/>
    </row>
    <row r="80" spans="1:27" x14ac:dyDescent="0.3">
      <c r="A80" s="7">
        <v>0</v>
      </c>
      <c r="B80" s="7">
        <v>0</v>
      </c>
      <c r="C80" s="7">
        <v>0</v>
      </c>
      <c r="D80" s="7">
        <v>0</v>
      </c>
      <c r="E80" s="7"/>
      <c r="F80" s="7">
        <v>0</v>
      </c>
      <c r="G80" s="7"/>
      <c r="H80" s="7">
        <v>0</v>
      </c>
      <c r="I80" s="7"/>
      <c r="J80" s="7"/>
      <c r="K80" s="7">
        <v>0</v>
      </c>
      <c r="L80" s="7">
        <v>0</v>
      </c>
      <c r="M80" s="13" t="s">
        <v>145</v>
      </c>
      <c r="N80" s="7">
        <f t="shared" si="40"/>
        <v>0</v>
      </c>
      <c r="O80" s="7">
        <f t="shared" si="41"/>
        <v>0</v>
      </c>
      <c r="P80" s="7">
        <f t="shared" si="44"/>
        <v>0</v>
      </c>
      <c r="Q80" s="7">
        <v>0</v>
      </c>
      <c r="R80" s="7">
        <f t="shared" si="42"/>
        <v>0</v>
      </c>
      <c r="S80" s="7"/>
      <c r="T80" s="7"/>
      <c r="U80" s="7">
        <v>0</v>
      </c>
      <c r="V80" s="7">
        <f t="shared" si="45"/>
        <v>0</v>
      </c>
      <c r="W80" s="7"/>
      <c r="X80" s="159">
        <f t="shared" si="46"/>
        <v>0</v>
      </c>
      <c r="Y80" s="295">
        <f t="shared" si="43"/>
        <v>0</v>
      </c>
      <c r="Z80" s="7"/>
      <c r="AA80" s="182"/>
    </row>
    <row r="81" spans="1:27" x14ac:dyDescent="0.3">
      <c r="A81" s="7">
        <v>0</v>
      </c>
      <c r="B81" s="7">
        <v>0</v>
      </c>
      <c r="C81" s="7">
        <v>0</v>
      </c>
      <c r="D81" s="7">
        <v>0</v>
      </c>
      <c r="E81" s="7"/>
      <c r="F81" s="7"/>
      <c r="G81" s="7">
        <f>49349.96*1.048</f>
        <v>51718.75808</v>
      </c>
      <c r="H81" s="7"/>
      <c r="I81" s="7"/>
      <c r="J81" s="7"/>
      <c r="K81" s="7">
        <f>30650*1.048</f>
        <v>32121.200000000001</v>
      </c>
      <c r="L81" s="7"/>
      <c r="M81" s="238" t="s">
        <v>473</v>
      </c>
      <c r="N81" s="7">
        <f t="shared" si="40"/>
        <v>0</v>
      </c>
      <c r="O81" s="7">
        <f t="shared" si="41"/>
        <v>83839.958079999997</v>
      </c>
      <c r="P81" s="7">
        <f t="shared" si="44"/>
        <v>83839.958079999997</v>
      </c>
      <c r="Q81" s="7">
        <v>83839.958079999997</v>
      </c>
      <c r="R81" s="7">
        <f t="shared" si="42"/>
        <v>0</v>
      </c>
      <c r="S81" s="7"/>
      <c r="T81" s="7"/>
      <c r="U81" s="7">
        <v>80000</v>
      </c>
      <c r="V81" s="7">
        <f t="shared" si="45"/>
        <v>-3839.9580799999967</v>
      </c>
      <c r="W81" s="7"/>
      <c r="X81" s="159">
        <f t="shared" si="46"/>
        <v>0</v>
      </c>
      <c r="Y81" s="295">
        <f t="shared" si="43"/>
        <v>80000</v>
      </c>
      <c r="Z81" s="7"/>
      <c r="AA81" s="182"/>
    </row>
    <row r="82" spans="1:27" x14ac:dyDescent="0.3">
      <c r="A82" s="7">
        <v>0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/>
      <c r="H82" s="7">
        <v>0</v>
      </c>
      <c r="I82" s="7"/>
      <c r="J82" s="7"/>
      <c r="K82" s="7">
        <v>0</v>
      </c>
      <c r="L82" s="7">
        <v>0</v>
      </c>
      <c r="M82" s="238" t="s">
        <v>474</v>
      </c>
      <c r="N82" s="7">
        <f t="shared" si="40"/>
        <v>0</v>
      </c>
      <c r="O82" s="7">
        <f t="shared" si="41"/>
        <v>0</v>
      </c>
      <c r="P82" s="7">
        <f t="shared" si="44"/>
        <v>0</v>
      </c>
      <c r="Q82" s="7">
        <v>0</v>
      </c>
      <c r="R82" s="7">
        <f t="shared" si="42"/>
        <v>0</v>
      </c>
      <c r="S82" s="7"/>
      <c r="T82" s="7"/>
      <c r="U82" s="7">
        <v>0</v>
      </c>
      <c r="V82" s="7">
        <f t="shared" si="45"/>
        <v>0</v>
      </c>
      <c r="W82" s="7"/>
      <c r="X82" s="159">
        <f t="shared" si="46"/>
        <v>0</v>
      </c>
      <c r="Y82" s="295">
        <f t="shared" si="43"/>
        <v>0</v>
      </c>
      <c r="Z82" s="7"/>
      <c r="AA82" s="182"/>
    </row>
    <row r="83" spans="1:27" x14ac:dyDescent="0.3">
      <c r="A83" s="7">
        <v>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/>
      <c r="H83" s="7">
        <v>0</v>
      </c>
      <c r="I83" s="7"/>
      <c r="J83" s="7"/>
      <c r="K83" s="7">
        <v>0</v>
      </c>
      <c r="L83" s="7">
        <v>0</v>
      </c>
      <c r="M83" s="238" t="s">
        <v>148</v>
      </c>
      <c r="N83" s="7">
        <f t="shared" si="40"/>
        <v>0</v>
      </c>
      <c r="O83" s="7">
        <f t="shared" si="41"/>
        <v>0</v>
      </c>
      <c r="P83" s="7">
        <f t="shared" si="44"/>
        <v>0</v>
      </c>
      <c r="Q83" s="7">
        <v>0</v>
      </c>
      <c r="R83" s="7">
        <f t="shared" si="42"/>
        <v>0</v>
      </c>
      <c r="S83" s="7"/>
      <c r="T83" s="7"/>
      <c r="U83" s="7">
        <v>0</v>
      </c>
      <c r="V83" s="7">
        <f t="shared" si="45"/>
        <v>0</v>
      </c>
      <c r="W83" s="7"/>
      <c r="X83" s="159">
        <f t="shared" si="46"/>
        <v>0</v>
      </c>
      <c r="Y83" s="295">
        <f t="shared" si="43"/>
        <v>0</v>
      </c>
      <c r="Z83" s="7"/>
      <c r="AA83" s="182"/>
    </row>
    <row r="84" spans="1:27" x14ac:dyDescent="0.3">
      <c r="A84" s="7">
        <v>0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/>
      <c r="H84" s="7">
        <v>0</v>
      </c>
      <c r="I84" s="7"/>
      <c r="J84" s="7"/>
      <c r="K84" s="7">
        <v>0</v>
      </c>
      <c r="L84" s="7">
        <v>0</v>
      </c>
      <c r="M84" s="13" t="s">
        <v>475</v>
      </c>
      <c r="N84" s="7">
        <f t="shared" si="40"/>
        <v>0</v>
      </c>
      <c r="O84" s="7">
        <f t="shared" si="41"/>
        <v>0</v>
      </c>
      <c r="P84" s="7">
        <f t="shared" si="44"/>
        <v>0</v>
      </c>
      <c r="Q84" s="7">
        <v>0</v>
      </c>
      <c r="R84" s="7">
        <f t="shared" si="42"/>
        <v>0</v>
      </c>
      <c r="S84" s="7"/>
      <c r="T84" s="7"/>
      <c r="U84" s="7">
        <v>0</v>
      </c>
      <c r="V84" s="7">
        <f t="shared" si="45"/>
        <v>0</v>
      </c>
      <c r="W84" s="7"/>
      <c r="X84" s="159">
        <f t="shared" si="46"/>
        <v>0</v>
      </c>
      <c r="Y84" s="295">
        <f t="shared" si="43"/>
        <v>0</v>
      </c>
      <c r="Z84" s="7"/>
      <c r="AA84" s="182"/>
    </row>
    <row r="85" spans="1:27" x14ac:dyDescent="0.3">
      <c r="A85" s="7">
        <v>0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/>
      <c r="H85" s="7">
        <v>0</v>
      </c>
      <c r="I85" s="7"/>
      <c r="J85" s="7"/>
      <c r="K85" s="7">
        <v>0</v>
      </c>
      <c r="L85" s="7">
        <v>0</v>
      </c>
      <c r="M85" s="13" t="s">
        <v>476</v>
      </c>
      <c r="N85" s="7">
        <f t="shared" si="40"/>
        <v>0</v>
      </c>
      <c r="O85" s="7">
        <f t="shared" si="41"/>
        <v>0</v>
      </c>
      <c r="P85" s="7">
        <f t="shared" si="44"/>
        <v>0</v>
      </c>
      <c r="Q85" s="7">
        <v>0</v>
      </c>
      <c r="R85" s="7">
        <f t="shared" si="42"/>
        <v>0</v>
      </c>
      <c r="S85" s="7"/>
      <c r="T85" s="7"/>
      <c r="U85" s="7">
        <v>0</v>
      </c>
      <c r="V85" s="7">
        <f t="shared" si="45"/>
        <v>0</v>
      </c>
      <c r="W85" s="7"/>
      <c r="X85" s="159">
        <f t="shared" si="46"/>
        <v>0</v>
      </c>
      <c r="Y85" s="295">
        <f t="shared" si="43"/>
        <v>0</v>
      </c>
      <c r="Z85" s="7"/>
      <c r="AA85" s="182"/>
    </row>
    <row r="86" spans="1:27" x14ac:dyDescent="0.3">
      <c r="A86" s="7">
        <v>0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/>
      <c r="H86" s="7">
        <v>0</v>
      </c>
      <c r="I86" s="7"/>
      <c r="J86" s="7"/>
      <c r="K86" s="7">
        <v>0</v>
      </c>
      <c r="L86" s="7">
        <v>0</v>
      </c>
      <c r="M86" s="13" t="s">
        <v>151</v>
      </c>
      <c r="N86" s="7">
        <f t="shared" si="40"/>
        <v>0</v>
      </c>
      <c r="O86" s="7">
        <f t="shared" si="41"/>
        <v>0</v>
      </c>
      <c r="P86" s="7">
        <f t="shared" si="44"/>
        <v>0</v>
      </c>
      <c r="Q86" s="7">
        <v>0</v>
      </c>
      <c r="R86" s="7">
        <f t="shared" si="42"/>
        <v>0</v>
      </c>
      <c r="S86" s="7"/>
      <c r="T86" s="7"/>
      <c r="U86" s="7">
        <v>0</v>
      </c>
      <c r="V86" s="7">
        <f t="shared" si="45"/>
        <v>0</v>
      </c>
      <c r="W86" s="7"/>
      <c r="X86" s="159">
        <f t="shared" si="46"/>
        <v>0</v>
      </c>
      <c r="Y86" s="295">
        <f t="shared" si="43"/>
        <v>0</v>
      </c>
      <c r="Z86" s="7"/>
      <c r="AA86" s="182"/>
    </row>
    <row r="87" spans="1:27" x14ac:dyDescent="0.3">
      <c r="A87" s="7">
        <v>0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/>
      <c r="H87" s="7">
        <v>0</v>
      </c>
      <c r="I87" s="7"/>
      <c r="J87" s="7"/>
      <c r="K87" s="7">
        <v>0</v>
      </c>
      <c r="L87" s="7">
        <v>0</v>
      </c>
      <c r="M87" s="13" t="s">
        <v>477</v>
      </c>
      <c r="N87" s="7">
        <f t="shared" si="40"/>
        <v>0</v>
      </c>
      <c r="O87" s="7">
        <f t="shared" si="41"/>
        <v>0</v>
      </c>
      <c r="P87" s="7">
        <f t="shared" si="44"/>
        <v>0</v>
      </c>
      <c r="Q87" s="7">
        <v>0</v>
      </c>
      <c r="R87" s="7">
        <f t="shared" si="42"/>
        <v>0</v>
      </c>
      <c r="S87" s="7"/>
      <c r="T87" s="7"/>
      <c r="U87" s="7">
        <v>0</v>
      </c>
      <c r="V87" s="7">
        <f t="shared" si="45"/>
        <v>0</v>
      </c>
      <c r="W87" s="7"/>
      <c r="X87" s="159">
        <f t="shared" si="46"/>
        <v>0</v>
      </c>
      <c r="Y87" s="295">
        <f t="shared" si="43"/>
        <v>0</v>
      </c>
      <c r="Z87" s="7"/>
      <c r="AA87" s="182"/>
    </row>
    <row r="88" spans="1:27" x14ac:dyDescent="0.3">
      <c r="A88" s="7">
        <v>0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/>
      <c r="H88" s="7">
        <v>0</v>
      </c>
      <c r="I88" s="7"/>
      <c r="J88" s="7"/>
      <c r="K88" s="7">
        <v>0</v>
      </c>
      <c r="L88" s="7">
        <v>0</v>
      </c>
      <c r="M88" s="13" t="s">
        <v>478</v>
      </c>
      <c r="N88" s="7">
        <f t="shared" si="40"/>
        <v>0</v>
      </c>
      <c r="O88" s="7">
        <f t="shared" si="41"/>
        <v>0</v>
      </c>
      <c r="P88" s="7">
        <f t="shared" si="44"/>
        <v>0</v>
      </c>
      <c r="Q88" s="7">
        <v>0</v>
      </c>
      <c r="R88" s="7">
        <f t="shared" si="42"/>
        <v>0</v>
      </c>
      <c r="S88" s="7"/>
      <c r="T88" s="7"/>
      <c r="U88" s="7">
        <v>0</v>
      </c>
      <c r="V88" s="7">
        <f t="shared" si="45"/>
        <v>0</v>
      </c>
      <c r="W88" s="7"/>
      <c r="X88" s="159">
        <f t="shared" si="46"/>
        <v>0</v>
      </c>
      <c r="Y88" s="295">
        <f t="shared" si="43"/>
        <v>0</v>
      </c>
      <c r="Z88" s="7"/>
      <c r="AA88" s="182"/>
    </row>
    <row r="89" spans="1:27" x14ac:dyDescent="0.3">
      <c r="A89" s="11">
        <v>0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/>
      <c r="H89" s="11">
        <v>0</v>
      </c>
      <c r="I89" s="11"/>
      <c r="J89" s="11"/>
      <c r="K89" s="11">
        <v>0</v>
      </c>
      <c r="L89" s="11">
        <v>0</v>
      </c>
      <c r="M89" s="238" t="s">
        <v>479</v>
      </c>
      <c r="N89" s="11">
        <f t="shared" si="40"/>
        <v>0</v>
      </c>
      <c r="O89" s="11">
        <f t="shared" si="41"/>
        <v>0</v>
      </c>
      <c r="P89" s="11">
        <f t="shared" si="44"/>
        <v>0</v>
      </c>
      <c r="Q89" s="11">
        <v>0</v>
      </c>
      <c r="R89" s="11">
        <f t="shared" si="42"/>
        <v>0</v>
      </c>
      <c r="S89" s="11"/>
      <c r="T89" s="11"/>
      <c r="U89" s="11">
        <v>0</v>
      </c>
      <c r="V89" s="11">
        <f t="shared" si="45"/>
        <v>0</v>
      </c>
      <c r="W89" s="11"/>
      <c r="X89" s="160">
        <f t="shared" si="46"/>
        <v>0</v>
      </c>
      <c r="Y89" s="295">
        <f t="shared" si="43"/>
        <v>0</v>
      </c>
      <c r="Z89" s="11"/>
      <c r="AA89" s="182"/>
    </row>
    <row r="90" spans="1:27" ht="15" thickBot="1" x14ac:dyDescent="0.35">
      <c r="A90" s="93"/>
      <c r="B90" s="93"/>
      <c r="C90" s="93"/>
      <c r="D90" s="94"/>
      <c r="E90" s="91"/>
      <c r="F90" s="91"/>
      <c r="G90" s="91"/>
      <c r="H90" s="91"/>
      <c r="I90" s="91"/>
      <c r="J90" s="91"/>
      <c r="K90" s="92"/>
      <c r="L90" s="92"/>
      <c r="M90" s="13"/>
      <c r="N90" s="91">
        <f t="shared" ref="N90:N128" si="47">SUM(A90:J90)</f>
        <v>0</v>
      </c>
      <c r="O90" s="91">
        <f t="shared" ref="O90:O128" si="48">SUM(K90:L90)</f>
        <v>0</v>
      </c>
      <c r="P90" s="91">
        <f t="shared" si="44"/>
        <v>0</v>
      </c>
      <c r="Q90" s="93">
        <v>0</v>
      </c>
      <c r="R90" s="93"/>
      <c r="S90" s="93"/>
      <c r="T90" s="93"/>
      <c r="U90" s="93">
        <v>0</v>
      </c>
      <c r="V90" s="93">
        <f t="shared" si="45"/>
        <v>0</v>
      </c>
      <c r="W90" s="93"/>
      <c r="X90" s="208">
        <f t="shared" si="46"/>
        <v>0</v>
      </c>
      <c r="Y90" s="295">
        <f t="shared" si="43"/>
        <v>0</v>
      </c>
      <c r="Z90" s="93"/>
      <c r="AA90" s="182"/>
    </row>
    <row r="91" spans="1:27" x14ac:dyDescent="0.3">
      <c r="A91" s="4">
        <f>SUM(A67:A89)</f>
        <v>0</v>
      </c>
      <c r="B91" s="4">
        <f t="shared" ref="B91:L91" si="49">SUM(B67:B89)</f>
        <v>0</v>
      </c>
      <c r="C91" s="4">
        <f t="shared" si="49"/>
        <v>57005.96</v>
      </c>
      <c r="D91" s="4">
        <f t="shared" si="49"/>
        <v>0</v>
      </c>
      <c r="E91" s="4">
        <f t="shared" si="49"/>
        <v>0</v>
      </c>
      <c r="F91" s="4">
        <f t="shared" si="49"/>
        <v>362198.04000000004</v>
      </c>
      <c r="G91" s="4">
        <f t="shared" si="49"/>
        <v>51718.75808</v>
      </c>
      <c r="H91" s="4">
        <f t="shared" si="49"/>
        <v>0</v>
      </c>
      <c r="I91" s="4">
        <f t="shared" si="49"/>
        <v>0</v>
      </c>
      <c r="J91" s="4">
        <f t="shared" si="49"/>
        <v>0</v>
      </c>
      <c r="K91" s="4">
        <f t="shared" si="49"/>
        <v>32121.200000000001</v>
      </c>
      <c r="L91" s="4">
        <f t="shared" si="49"/>
        <v>0</v>
      </c>
      <c r="M91" s="13" t="s">
        <v>155</v>
      </c>
      <c r="N91" s="4">
        <f t="shared" ref="N91:P91" si="50">SUM(N67:N89)</f>
        <v>0</v>
      </c>
      <c r="O91" s="4">
        <f t="shared" si="50"/>
        <v>503043.95808000001</v>
      </c>
      <c r="P91" s="4">
        <f t="shared" si="50"/>
        <v>503043.95808000001</v>
      </c>
      <c r="Q91" s="4">
        <v>503043.95808000001</v>
      </c>
      <c r="R91" s="4">
        <f t="shared" ref="R91:W91" si="51">SUM(R67:R89)</f>
        <v>0</v>
      </c>
      <c r="S91" s="4">
        <v>0</v>
      </c>
      <c r="T91" s="4">
        <v>0</v>
      </c>
      <c r="U91" s="4">
        <v>480000</v>
      </c>
      <c r="V91" s="4">
        <f t="shared" si="45"/>
        <v>-23043.958080000011</v>
      </c>
      <c r="W91" s="4">
        <f t="shared" si="51"/>
        <v>0</v>
      </c>
      <c r="X91" s="162">
        <f t="shared" si="46"/>
        <v>0</v>
      </c>
      <c r="Y91" s="295">
        <f t="shared" si="43"/>
        <v>480000</v>
      </c>
      <c r="Z91" s="4"/>
      <c r="AA91" s="182"/>
    </row>
    <row r="92" spans="1:27" x14ac:dyDescent="0.3">
      <c r="A92" s="81"/>
      <c r="B92" s="81"/>
      <c r="C92" s="81"/>
      <c r="D92" s="82"/>
      <c r="E92" s="86"/>
      <c r="F92" s="86"/>
      <c r="G92" s="86"/>
      <c r="H92" s="87"/>
      <c r="I92" s="87"/>
      <c r="J92" s="87"/>
      <c r="K92" s="84"/>
      <c r="L92" s="84"/>
      <c r="M92" s="80"/>
      <c r="N92" s="86">
        <f t="shared" si="47"/>
        <v>0</v>
      </c>
      <c r="O92" s="86">
        <f t="shared" si="48"/>
        <v>0</v>
      </c>
      <c r="P92" s="86">
        <f t="shared" si="44"/>
        <v>0</v>
      </c>
      <c r="Q92" s="81">
        <v>0</v>
      </c>
      <c r="R92" s="81"/>
      <c r="S92" s="81"/>
      <c r="T92" s="81"/>
      <c r="U92" s="81">
        <v>0</v>
      </c>
      <c r="V92" s="81">
        <f t="shared" si="45"/>
        <v>0</v>
      </c>
      <c r="W92" s="81"/>
      <c r="X92" s="204"/>
      <c r="Y92" s="295">
        <f t="shared" si="43"/>
        <v>0</v>
      </c>
      <c r="Z92" s="81"/>
      <c r="AA92" s="182"/>
    </row>
    <row r="93" spans="1:27" x14ac:dyDescent="0.3">
      <c r="A93" s="8">
        <f>659*1.048</f>
        <v>690.63200000000006</v>
      </c>
      <c r="B93" s="8">
        <f t="shared" ref="B93:L93" si="52">659*1.048</f>
        <v>690.63200000000006</v>
      </c>
      <c r="C93" s="8">
        <f t="shared" si="52"/>
        <v>690.63200000000006</v>
      </c>
      <c r="D93" s="8">
        <f t="shared" si="52"/>
        <v>690.63200000000006</v>
      </c>
      <c r="E93" s="8">
        <f t="shared" si="52"/>
        <v>690.63200000000006</v>
      </c>
      <c r="F93" s="8">
        <f t="shared" si="52"/>
        <v>690.63200000000006</v>
      </c>
      <c r="G93" s="8">
        <f t="shared" si="52"/>
        <v>690.63200000000006</v>
      </c>
      <c r="H93" s="8">
        <f t="shared" si="52"/>
        <v>690.63200000000006</v>
      </c>
      <c r="I93" s="8">
        <f t="shared" si="52"/>
        <v>690.63200000000006</v>
      </c>
      <c r="J93" s="8">
        <f t="shared" si="52"/>
        <v>690.63200000000006</v>
      </c>
      <c r="K93" s="8">
        <f t="shared" si="52"/>
        <v>690.63200000000006</v>
      </c>
      <c r="L93" s="8">
        <f t="shared" si="52"/>
        <v>690.63200000000006</v>
      </c>
      <c r="M93" s="238" t="s">
        <v>480</v>
      </c>
      <c r="N93" s="8">
        <f t="shared" ref="N93:N100" si="53">SUM(0)</f>
        <v>0</v>
      </c>
      <c r="O93" s="8">
        <f t="shared" ref="O93:O100" si="54">SUM(A93:L93)</f>
        <v>8287.5839999999989</v>
      </c>
      <c r="P93" s="8">
        <f t="shared" si="44"/>
        <v>8287.5839999999989</v>
      </c>
      <c r="Q93" s="8">
        <v>8287.5839999999989</v>
      </c>
      <c r="R93" s="8">
        <f t="shared" ref="R93:R100" si="55">Q93-P93</f>
        <v>0</v>
      </c>
      <c r="S93" s="8"/>
      <c r="T93" s="8">
        <v>-773</v>
      </c>
      <c r="U93" s="8">
        <v>7908.5637999999999</v>
      </c>
      <c r="V93" s="8">
        <f t="shared" si="45"/>
        <v>-379.02019999999902</v>
      </c>
      <c r="W93" s="8"/>
      <c r="X93" s="158">
        <f t="shared" si="46"/>
        <v>0</v>
      </c>
      <c r="Y93" s="295">
        <f t="shared" si="43"/>
        <v>7908.5637999999999</v>
      </c>
      <c r="Z93" s="8"/>
      <c r="AA93" s="182"/>
    </row>
    <row r="94" spans="1:27" x14ac:dyDescent="0.3">
      <c r="A94" s="7">
        <f>207*1.048</f>
        <v>216.93600000000001</v>
      </c>
      <c r="B94" s="7">
        <f t="shared" ref="B94:L94" si="56">207*1.048</f>
        <v>216.93600000000001</v>
      </c>
      <c r="C94" s="7">
        <f t="shared" si="56"/>
        <v>216.93600000000001</v>
      </c>
      <c r="D94" s="7">
        <f t="shared" si="56"/>
        <v>216.93600000000001</v>
      </c>
      <c r="E94" s="7">
        <f t="shared" si="56"/>
        <v>216.93600000000001</v>
      </c>
      <c r="F94" s="7">
        <f t="shared" si="56"/>
        <v>216.93600000000001</v>
      </c>
      <c r="G94" s="7">
        <f t="shared" si="56"/>
        <v>216.93600000000001</v>
      </c>
      <c r="H94" s="7">
        <f t="shared" si="56"/>
        <v>216.93600000000001</v>
      </c>
      <c r="I94" s="7">
        <f t="shared" si="56"/>
        <v>216.93600000000001</v>
      </c>
      <c r="J94" s="7">
        <f t="shared" si="56"/>
        <v>216.93600000000001</v>
      </c>
      <c r="K94" s="7">
        <f t="shared" si="56"/>
        <v>216.93600000000001</v>
      </c>
      <c r="L94" s="7">
        <f t="shared" si="56"/>
        <v>216.93600000000001</v>
      </c>
      <c r="M94" s="13" t="s">
        <v>481</v>
      </c>
      <c r="N94" s="7">
        <f t="shared" si="53"/>
        <v>0</v>
      </c>
      <c r="O94" s="7">
        <f t="shared" si="54"/>
        <v>2603.232</v>
      </c>
      <c r="P94" s="7">
        <f t="shared" si="44"/>
        <v>2603.232</v>
      </c>
      <c r="Q94" s="7">
        <v>2603.232</v>
      </c>
      <c r="R94" s="7">
        <f t="shared" si="55"/>
        <v>0</v>
      </c>
      <c r="S94" s="7"/>
      <c r="T94" s="7"/>
      <c r="U94" s="7">
        <v>2484.2628720000002</v>
      </c>
      <c r="V94" s="7">
        <f t="shared" si="45"/>
        <v>-118.96912799999973</v>
      </c>
      <c r="W94" s="7"/>
      <c r="X94" s="159">
        <f t="shared" si="46"/>
        <v>0</v>
      </c>
      <c r="Y94" s="295">
        <f t="shared" si="43"/>
        <v>2484.2628720000002</v>
      </c>
      <c r="Z94" s="7"/>
      <c r="AA94" s="182"/>
    </row>
    <row r="95" spans="1:27" x14ac:dyDescent="0.3">
      <c r="A95" s="7">
        <v>0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13" t="s">
        <v>482</v>
      </c>
      <c r="N95" s="7">
        <f t="shared" si="53"/>
        <v>0</v>
      </c>
      <c r="O95" s="7">
        <f t="shared" si="54"/>
        <v>0</v>
      </c>
      <c r="P95" s="7">
        <f t="shared" si="44"/>
        <v>0</v>
      </c>
      <c r="Q95" s="7">
        <v>0</v>
      </c>
      <c r="R95" s="7">
        <f t="shared" si="55"/>
        <v>0</v>
      </c>
      <c r="S95" s="7"/>
      <c r="T95" s="7"/>
      <c r="U95" s="7">
        <v>0</v>
      </c>
      <c r="V95" s="7">
        <f t="shared" si="45"/>
        <v>0</v>
      </c>
      <c r="W95" s="7"/>
      <c r="X95" s="159">
        <f t="shared" si="46"/>
        <v>0</v>
      </c>
      <c r="Y95" s="295">
        <f t="shared" si="43"/>
        <v>0</v>
      </c>
      <c r="Z95" s="7"/>
      <c r="AA95" s="182"/>
    </row>
    <row r="96" spans="1:27" x14ac:dyDescent="0.3">
      <c r="A96" s="7">
        <f>391*1.048</f>
        <v>409.76800000000003</v>
      </c>
      <c r="B96" s="7">
        <f t="shared" ref="B96:L96" si="57">391*1.048</f>
        <v>409.76800000000003</v>
      </c>
      <c r="C96" s="7">
        <f t="shared" si="57"/>
        <v>409.76800000000003</v>
      </c>
      <c r="D96" s="7">
        <f t="shared" si="57"/>
        <v>409.76800000000003</v>
      </c>
      <c r="E96" s="7">
        <f t="shared" si="57"/>
        <v>409.76800000000003</v>
      </c>
      <c r="F96" s="7">
        <f t="shared" si="57"/>
        <v>409.76800000000003</v>
      </c>
      <c r="G96" s="7">
        <f t="shared" si="57"/>
        <v>409.76800000000003</v>
      </c>
      <c r="H96" s="7">
        <f t="shared" si="57"/>
        <v>409.76800000000003</v>
      </c>
      <c r="I96" s="7">
        <f t="shared" si="57"/>
        <v>409.76800000000003</v>
      </c>
      <c r="J96" s="7">
        <f t="shared" si="57"/>
        <v>409.76800000000003</v>
      </c>
      <c r="K96" s="7">
        <f t="shared" si="57"/>
        <v>409.76800000000003</v>
      </c>
      <c r="L96" s="7">
        <f t="shared" si="57"/>
        <v>409.76800000000003</v>
      </c>
      <c r="M96" s="13" t="s">
        <v>483</v>
      </c>
      <c r="N96" s="7">
        <f t="shared" si="53"/>
        <v>0</v>
      </c>
      <c r="O96" s="7">
        <f t="shared" si="54"/>
        <v>4917.2160000000003</v>
      </c>
      <c r="P96" s="7">
        <f t="shared" si="44"/>
        <v>4917.2160000000003</v>
      </c>
      <c r="Q96" s="7">
        <v>4917.2160000000003</v>
      </c>
      <c r="R96" s="7">
        <f t="shared" si="55"/>
        <v>0</v>
      </c>
      <c r="S96" s="7"/>
      <c r="T96" s="7">
        <v>773</v>
      </c>
      <c r="U96" s="7">
        <v>4690.3706000000002</v>
      </c>
      <c r="V96" s="7">
        <f t="shared" si="45"/>
        <v>-226.84540000000015</v>
      </c>
      <c r="W96" s="7"/>
      <c r="X96" s="159">
        <f t="shared" si="46"/>
        <v>0</v>
      </c>
      <c r="Y96" s="295">
        <f t="shared" si="43"/>
        <v>4690.3706000000002</v>
      </c>
      <c r="Z96" s="7"/>
      <c r="AA96" s="182"/>
    </row>
    <row r="97" spans="1:27" x14ac:dyDescent="0.3">
      <c r="A97" s="7">
        <f>404*1.048</f>
        <v>423.392</v>
      </c>
      <c r="B97" s="7">
        <f t="shared" ref="B97:L97" si="58">404*1.048</f>
        <v>423.392</v>
      </c>
      <c r="C97" s="7">
        <f t="shared" si="58"/>
        <v>423.392</v>
      </c>
      <c r="D97" s="7">
        <f t="shared" si="58"/>
        <v>423.392</v>
      </c>
      <c r="E97" s="7">
        <f t="shared" si="58"/>
        <v>423.392</v>
      </c>
      <c r="F97" s="7">
        <f t="shared" si="58"/>
        <v>423.392</v>
      </c>
      <c r="G97" s="7">
        <f t="shared" si="58"/>
        <v>423.392</v>
      </c>
      <c r="H97" s="7">
        <f t="shared" si="58"/>
        <v>423.392</v>
      </c>
      <c r="I97" s="7">
        <f t="shared" si="58"/>
        <v>423.392</v>
      </c>
      <c r="J97" s="7">
        <f t="shared" si="58"/>
        <v>423.392</v>
      </c>
      <c r="K97" s="7">
        <f t="shared" si="58"/>
        <v>423.392</v>
      </c>
      <c r="L97" s="7">
        <f t="shared" si="58"/>
        <v>423.392</v>
      </c>
      <c r="M97" s="13" t="s">
        <v>484</v>
      </c>
      <c r="N97" s="7">
        <f t="shared" si="53"/>
        <v>0</v>
      </c>
      <c r="O97" s="7">
        <f t="shared" si="54"/>
        <v>5080.7039999999988</v>
      </c>
      <c r="P97" s="7">
        <f t="shared" si="44"/>
        <v>5080.7039999999988</v>
      </c>
      <c r="Q97" s="7">
        <v>5080.7039999999988</v>
      </c>
      <c r="R97" s="7">
        <f t="shared" si="55"/>
        <v>0</v>
      </c>
      <c r="S97" s="7"/>
      <c r="T97" s="7"/>
      <c r="U97" s="7">
        <v>4848.9281099999998</v>
      </c>
      <c r="V97" s="7">
        <f t="shared" si="45"/>
        <v>-231.77588999999898</v>
      </c>
      <c r="W97" s="7"/>
      <c r="X97" s="159">
        <f t="shared" si="46"/>
        <v>0</v>
      </c>
      <c r="Y97" s="295">
        <f t="shared" si="43"/>
        <v>4848.9281099999998</v>
      </c>
      <c r="Z97" s="7"/>
      <c r="AA97" s="182"/>
    </row>
    <row r="98" spans="1:27" x14ac:dyDescent="0.3">
      <c r="A98" s="7">
        <f>200*1.048</f>
        <v>209.60000000000002</v>
      </c>
      <c r="B98" s="7">
        <f t="shared" ref="B98:L98" si="59">200*1.048</f>
        <v>209.60000000000002</v>
      </c>
      <c r="C98" s="7">
        <f t="shared" si="59"/>
        <v>209.60000000000002</v>
      </c>
      <c r="D98" s="7">
        <f t="shared" si="59"/>
        <v>209.60000000000002</v>
      </c>
      <c r="E98" s="7">
        <f t="shared" si="59"/>
        <v>209.60000000000002</v>
      </c>
      <c r="F98" s="7">
        <f t="shared" si="59"/>
        <v>209.60000000000002</v>
      </c>
      <c r="G98" s="7">
        <f t="shared" si="59"/>
        <v>209.60000000000002</v>
      </c>
      <c r="H98" s="7">
        <f t="shared" si="59"/>
        <v>209.60000000000002</v>
      </c>
      <c r="I98" s="7">
        <f t="shared" si="59"/>
        <v>209.60000000000002</v>
      </c>
      <c r="J98" s="7">
        <f t="shared" si="59"/>
        <v>209.60000000000002</v>
      </c>
      <c r="K98" s="7">
        <f t="shared" si="59"/>
        <v>209.60000000000002</v>
      </c>
      <c r="L98" s="7">
        <f t="shared" si="59"/>
        <v>209.60000000000002</v>
      </c>
      <c r="M98" s="13" t="s">
        <v>485</v>
      </c>
      <c r="N98" s="7">
        <f t="shared" si="53"/>
        <v>0</v>
      </c>
      <c r="O98" s="7">
        <f t="shared" si="54"/>
        <v>2515.1999999999994</v>
      </c>
      <c r="P98" s="7">
        <f t="shared" si="44"/>
        <v>2515.1999999999994</v>
      </c>
      <c r="Q98" s="7">
        <v>2515.1999999999994</v>
      </c>
      <c r="R98" s="7">
        <f t="shared" si="55"/>
        <v>0</v>
      </c>
      <c r="S98" s="7"/>
      <c r="T98" s="7"/>
      <c r="U98" s="7">
        <v>2401.5070754999997</v>
      </c>
      <c r="V98" s="7">
        <f t="shared" si="45"/>
        <v>-113.69292449999966</v>
      </c>
      <c r="W98" s="7"/>
      <c r="X98" s="159">
        <f t="shared" si="46"/>
        <v>0</v>
      </c>
      <c r="Y98" s="295">
        <f t="shared" si="43"/>
        <v>2401.5070754999997</v>
      </c>
      <c r="Z98" s="7"/>
      <c r="AA98" s="182"/>
    </row>
    <row r="99" spans="1:27" x14ac:dyDescent="0.3">
      <c r="A99" s="7">
        <v>0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13" t="s">
        <v>486</v>
      </c>
      <c r="N99" s="7">
        <f t="shared" si="53"/>
        <v>0</v>
      </c>
      <c r="O99" s="7">
        <f t="shared" si="54"/>
        <v>0</v>
      </c>
      <c r="P99" s="7">
        <f t="shared" si="44"/>
        <v>0</v>
      </c>
      <c r="Q99" s="7">
        <v>0</v>
      </c>
      <c r="R99" s="7">
        <f t="shared" si="55"/>
        <v>0</v>
      </c>
      <c r="S99" s="7"/>
      <c r="T99" s="7"/>
      <c r="U99" s="7">
        <v>0</v>
      </c>
      <c r="V99" s="7">
        <f t="shared" si="45"/>
        <v>0</v>
      </c>
      <c r="W99" s="7"/>
      <c r="X99" s="159">
        <f t="shared" si="46"/>
        <v>0</v>
      </c>
      <c r="Y99" s="295">
        <f t="shared" si="43"/>
        <v>0</v>
      </c>
      <c r="Z99" s="7"/>
      <c r="AA99" s="182"/>
    </row>
    <row r="100" spans="1:27" x14ac:dyDescent="0.3">
      <c r="A100" s="11">
        <f>1977*1.048</f>
        <v>2071.8960000000002</v>
      </c>
      <c r="B100" s="11">
        <f t="shared" ref="B100:K100" si="60">1977*1.048</f>
        <v>2071.8960000000002</v>
      </c>
      <c r="C100" s="11">
        <f t="shared" si="60"/>
        <v>2071.8960000000002</v>
      </c>
      <c r="D100" s="11">
        <f t="shared" si="60"/>
        <v>2071.8960000000002</v>
      </c>
      <c r="E100" s="11">
        <f t="shared" si="60"/>
        <v>2071.8960000000002</v>
      </c>
      <c r="F100" s="11">
        <f t="shared" si="60"/>
        <v>2071.8960000000002</v>
      </c>
      <c r="G100" s="11">
        <f t="shared" si="60"/>
        <v>2071.8960000000002</v>
      </c>
      <c r="H100" s="11">
        <f t="shared" si="60"/>
        <v>2071.8960000000002</v>
      </c>
      <c r="I100" s="11">
        <f t="shared" si="60"/>
        <v>2071.8960000000002</v>
      </c>
      <c r="J100" s="11">
        <f t="shared" si="60"/>
        <v>2071.8960000000002</v>
      </c>
      <c r="K100" s="11">
        <f t="shared" si="60"/>
        <v>2071.8960000000002</v>
      </c>
      <c r="L100" s="11">
        <f>(1977*1.048)--4.44239392399322</f>
        <v>2076.3383939239934</v>
      </c>
      <c r="M100" s="238" t="s">
        <v>487</v>
      </c>
      <c r="N100" s="11">
        <f t="shared" si="53"/>
        <v>0</v>
      </c>
      <c r="O100" s="11">
        <f t="shared" si="54"/>
        <v>24867.194393923997</v>
      </c>
      <c r="P100" s="11">
        <f t="shared" si="44"/>
        <v>24867.194393923997</v>
      </c>
      <c r="Q100" s="11">
        <v>24867.194393923997</v>
      </c>
      <c r="R100" s="11">
        <f t="shared" si="55"/>
        <v>0</v>
      </c>
      <c r="S100" s="11"/>
      <c r="T100" s="11"/>
      <c r="U100" s="11">
        <v>23729.091925499997</v>
      </c>
      <c r="V100" s="11">
        <f t="shared" si="45"/>
        <v>-1138.1024684240001</v>
      </c>
      <c r="W100" s="11"/>
      <c r="X100" s="160">
        <f t="shared" si="46"/>
        <v>0</v>
      </c>
      <c r="Y100" s="295">
        <f t="shared" si="43"/>
        <v>23729.091925499997</v>
      </c>
      <c r="Z100" s="11"/>
      <c r="AA100" s="182"/>
    </row>
    <row r="101" spans="1:27" ht="15" thickBot="1" x14ac:dyDescent="0.35">
      <c r="A101" s="89"/>
      <c r="B101" s="89"/>
      <c r="C101" s="89"/>
      <c r="D101" s="90"/>
      <c r="E101" s="91"/>
      <c r="F101" s="91"/>
      <c r="G101" s="91"/>
      <c r="H101" s="91"/>
      <c r="I101" s="91"/>
      <c r="J101" s="91"/>
      <c r="K101" s="92"/>
      <c r="L101" s="92"/>
      <c r="M101" s="13"/>
      <c r="N101" s="91">
        <f t="shared" si="47"/>
        <v>0</v>
      </c>
      <c r="O101" s="91">
        <f t="shared" si="48"/>
        <v>0</v>
      </c>
      <c r="P101" s="91">
        <f t="shared" si="44"/>
        <v>0</v>
      </c>
      <c r="Q101" s="89">
        <v>0</v>
      </c>
      <c r="R101" s="89"/>
      <c r="S101" s="89"/>
      <c r="T101" s="89"/>
      <c r="U101" s="89">
        <v>0</v>
      </c>
      <c r="V101" s="89">
        <f t="shared" si="45"/>
        <v>0</v>
      </c>
      <c r="W101" s="89"/>
      <c r="X101" s="207">
        <f t="shared" si="46"/>
        <v>0</v>
      </c>
      <c r="Y101" s="295">
        <f t="shared" si="43"/>
        <v>0</v>
      </c>
      <c r="Z101" s="89"/>
      <c r="AA101" s="182"/>
    </row>
    <row r="102" spans="1:27" x14ac:dyDescent="0.3">
      <c r="A102" s="4">
        <f>SUM(A93:A100)</f>
        <v>4022.2240000000006</v>
      </c>
      <c r="B102" s="4">
        <f t="shared" ref="B102:L102" si="61">SUM(B93:B100)</f>
        <v>4022.2240000000006</v>
      </c>
      <c r="C102" s="4">
        <f t="shared" si="61"/>
        <v>4022.2240000000006</v>
      </c>
      <c r="D102" s="4">
        <f t="shared" si="61"/>
        <v>4022.2240000000006</v>
      </c>
      <c r="E102" s="4">
        <f t="shared" si="61"/>
        <v>4022.2240000000006</v>
      </c>
      <c r="F102" s="4">
        <f t="shared" si="61"/>
        <v>4022.2240000000006</v>
      </c>
      <c r="G102" s="4">
        <f t="shared" si="61"/>
        <v>4022.2240000000006</v>
      </c>
      <c r="H102" s="4">
        <f t="shared" si="61"/>
        <v>4022.2240000000006</v>
      </c>
      <c r="I102" s="4">
        <f t="shared" si="61"/>
        <v>4022.2240000000006</v>
      </c>
      <c r="J102" s="4">
        <f t="shared" si="61"/>
        <v>4022.2240000000006</v>
      </c>
      <c r="K102" s="4">
        <f t="shared" si="61"/>
        <v>4022.2240000000006</v>
      </c>
      <c r="L102" s="4">
        <f t="shared" si="61"/>
        <v>4026.6663939239938</v>
      </c>
      <c r="M102" s="13" t="s">
        <v>166</v>
      </c>
      <c r="N102" s="4">
        <f t="shared" ref="N102:P102" si="62">SUM(N93:N100)</f>
        <v>0</v>
      </c>
      <c r="O102" s="4">
        <f t="shared" si="62"/>
        <v>48271.130393923995</v>
      </c>
      <c r="P102" s="4">
        <f t="shared" si="62"/>
        <v>48271.130393923995</v>
      </c>
      <c r="Q102" s="4">
        <v>48271.130393923995</v>
      </c>
      <c r="R102" s="4">
        <f t="shared" ref="R102:Y102" si="63">SUM(R93:R100)</f>
        <v>0</v>
      </c>
      <c r="S102" s="4">
        <v>0</v>
      </c>
      <c r="T102" s="4">
        <v>0</v>
      </c>
      <c r="U102" s="4">
        <v>46062.724382999993</v>
      </c>
      <c r="V102" s="4">
        <f t="shared" si="45"/>
        <v>-2208.4060109240017</v>
      </c>
      <c r="W102" s="4">
        <f t="shared" si="63"/>
        <v>0</v>
      </c>
      <c r="X102" s="162">
        <f t="shared" si="46"/>
        <v>0</v>
      </c>
      <c r="Y102" s="4">
        <f t="shared" si="63"/>
        <v>46062.724382999993</v>
      </c>
      <c r="Z102" s="4"/>
      <c r="AA102" s="182"/>
    </row>
    <row r="103" spans="1:27" x14ac:dyDescent="0.3">
      <c r="A103" s="81"/>
      <c r="B103" s="81"/>
      <c r="C103" s="81"/>
      <c r="D103" s="82"/>
      <c r="E103" s="86"/>
      <c r="F103" s="86"/>
      <c r="G103" s="86"/>
      <c r="H103" s="87"/>
      <c r="I103" s="87"/>
      <c r="J103" s="87"/>
      <c r="K103" s="84"/>
      <c r="L103" s="84"/>
      <c r="M103" s="80"/>
      <c r="N103" s="86">
        <f t="shared" si="47"/>
        <v>0</v>
      </c>
      <c r="O103" s="86">
        <f t="shared" si="48"/>
        <v>0</v>
      </c>
      <c r="P103" s="86">
        <f t="shared" si="44"/>
        <v>0</v>
      </c>
      <c r="Q103" s="81">
        <v>0</v>
      </c>
      <c r="R103" s="81"/>
      <c r="S103" s="81"/>
      <c r="T103" s="81"/>
      <c r="U103" s="81">
        <v>0</v>
      </c>
      <c r="V103" s="81">
        <f t="shared" si="45"/>
        <v>0</v>
      </c>
      <c r="W103" s="81"/>
      <c r="X103" s="204"/>
      <c r="Y103" s="295">
        <f t="shared" si="43"/>
        <v>0</v>
      </c>
      <c r="Z103" s="81"/>
      <c r="AA103" s="182"/>
    </row>
    <row r="104" spans="1:27" x14ac:dyDescent="0.3">
      <c r="A104" s="8">
        <f>333*1.048</f>
        <v>348.98400000000004</v>
      </c>
      <c r="B104" s="8">
        <f t="shared" ref="B104:K104" si="64">333*1.048</f>
        <v>348.98400000000004</v>
      </c>
      <c r="C104" s="8">
        <f t="shared" si="64"/>
        <v>348.98400000000004</v>
      </c>
      <c r="D104" s="8">
        <f t="shared" si="64"/>
        <v>348.98400000000004</v>
      </c>
      <c r="E104" s="8">
        <f t="shared" si="64"/>
        <v>348.98400000000004</v>
      </c>
      <c r="F104" s="8">
        <f t="shared" si="64"/>
        <v>348.98400000000004</v>
      </c>
      <c r="G104" s="8">
        <f t="shared" si="64"/>
        <v>348.98400000000004</v>
      </c>
      <c r="H104" s="8">
        <f t="shared" si="64"/>
        <v>348.98400000000004</v>
      </c>
      <c r="I104" s="8">
        <f t="shared" si="64"/>
        <v>348.98400000000004</v>
      </c>
      <c r="J104" s="8">
        <f t="shared" si="64"/>
        <v>348.98400000000004</v>
      </c>
      <c r="K104" s="8">
        <f t="shared" si="64"/>
        <v>348.98400000000004</v>
      </c>
      <c r="L104" s="8">
        <f>(333*1.048)-8.38400000000183</f>
        <v>340.5999999999982</v>
      </c>
      <c r="M104" s="238" t="s">
        <v>488</v>
      </c>
      <c r="N104" s="8">
        <f t="shared" ref="N104:N106" si="65">SUM(0)</f>
        <v>0</v>
      </c>
      <c r="O104" s="8">
        <f t="shared" ref="O104:O106" si="66">SUM(A104:L104)</f>
        <v>4179.4239999999982</v>
      </c>
      <c r="P104" s="8">
        <f t="shared" si="44"/>
        <v>4179.4239999999982</v>
      </c>
      <c r="Q104" s="8">
        <v>4179.4239999999982</v>
      </c>
      <c r="R104" s="8">
        <f t="shared" ref="R104:R106" si="67">Q104-P104</f>
        <v>0</v>
      </c>
      <c r="S104" s="8"/>
      <c r="T104" s="8"/>
      <c r="U104" s="8">
        <v>4000</v>
      </c>
      <c r="V104" s="8">
        <f t="shared" si="45"/>
        <v>-179.42399999999816</v>
      </c>
      <c r="W104" s="8"/>
      <c r="X104" s="158">
        <f t="shared" si="46"/>
        <v>0</v>
      </c>
      <c r="Y104" s="295">
        <f t="shared" si="43"/>
        <v>4000</v>
      </c>
      <c r="Z104" s="8"/>
      <c r="AA104" s="182"/>
    </row>
    <row r="105" spans="1:27" x14ac:dyDescent="0.3">
      <c r="A105" s="7">
        <v>0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13" t="s">
        <v>489</v>
      </c>
      <c r="N105" s="7">
        <f t="shared" si="65"/>
        <v>0</v>
      </c>
      <c r="O105" s="7">
        <f t="shared" si="66"/>
        <v>0</v>
      </c>
      <c r="P105" s="7">
        <f t="shared" si="44"/>
        <v>0</v>
      </c>
      <c r="Q105" s="7">
        <v>0</v>
      </c>
      <c r="R105" s="7">
        <f t="shared" si="67"/>
        <v>0</v>
      </c>
      <c r="S105" s="7"/>
      <c r="T105" s="7"/>
      <c r="U105" s="7">
        <v>0</v>
      </c>
      <c r="V105" s="7">
        <f t="shared" si="45"/>
        <v>0</v>
      </c>
      <c r="W105" s="7"/>
      <c r="X105" s="159">
        <f t="shared" si="46"/>
        <v>0</v>
      </c>
      <c r="Y105" s="295">
        <f t="shared" si="43"/>
        <v>0</v>
      </c>
      <c r="Z105" s="7"/>
      <c r="AA105" s="182"/>
    </row>
    <row r="106" spans="1:27" x14ac:dyDescent="0.3">
      <c r="A106" s="7">
        <v>0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13" t="s">
        <v>490</v>
      </c>
      <c r="N106" s="11">
        <f t="shared" si="65"/>
        <v>0</v>
      </c>
      <c r="O106" s="11">
        <f t="shared" si="66"/>
        <v>0</v>
      </c>
      <c r="P106" s="11">
        <f t="shared" si="44"/>
        <v>0</v>
      </c>
      <c r="Q106" s="11">
        <v>0</v>
      </c>
      <c r="R106" s="11">
        <f t="shared" si="67"/>
        <v>0</v>
      </c>
      <c r="S106" s="11"/>
      <c r="T106" s="11"/>
      <c r="U106" s="11">
        <v>0</v>
      </c>
      <c r="V106" s="11">
        <f t="shared" si="45"/>
        <v>0</v>
      </c>
      <c r="W106" s="11"/>
      <c r="X106" s="160">
        <f t="shared" si="46"/>
        <v>0</v>
      </c>
      <c r="Y106" s="295">
        <f t="shared" si="43"/>
        <v>0</v>
      </c>
      <c r="Z106" s="11"/>
      <c r="AA106" s="182"/>
    </row>
    <row r="107" spans="1:27" ht="15" thickBot="1" x14ac:dyDescent="0.35">
      <c r="A107" s="89"/>
      <c r="B107" s="89"/>
      <c r="C107" s="89"/>
      <c r="D107" s="90"/>
      <c r="E107" s="91"/>
      <c r="F107" s="91"/>
      <c r="G107" s="91"/>
      <c r="H107" s="91"/>
      <c r="I107" s="91"/>
      <c r="J107" s="91"/>
      <c r="K107" s="92"/>
      <c r="L107" s="92"/>
      <c r="M107" s="13"/>
      <c r="N107" s="91">
        <f t="shared" si="47"/>
        <v>0</v>
      </c>
      <c r="O107" s="91">
        <f t="shared" si="48"/>
        <v>0</v>
      </c>
      <c r="P107" s="91">
        <f t="shared" si="44"/>
        <v>0</v>
      </c>
      <c r="Q107" s="89">
        <v>0</v>
      </c>
      <c r="R107" s="89"/>
      <c r="S107" s="89"/>
      <c r="T107" s="89"/>
      <c r="U107" s="89">
        <v>0</v>
      </c>
      <c r="V107" s="89">
        <f t="shared" si="45"/>
        <v>0</v>
      </c>
      <c r="W107" s="89"/>
      <c r="X107" s="207">
        <f t="shared" si="46"/>
        <v>0</v>
      </c>
      <c r="Y107" s="295">
        <f t="shared" si="43"/>
        <v>0</v>
      </c>
      <c r="Z107" s="89"/>
      <c r="AA107" s="182"/>
    </row>
    <row r="108" spans="1:27" x14ac:dyDescent="0.3">
      <c r="A108" s="4">
        <f>SUM(A104:A106)</f>
        <v>348.98400000000004</v>
      </c>
      <c r="B108" s="4">
        <f t="shared" ref="B108:L108" si="68">SUM(B104:B106)</f>
        <v>348.98400000000004</v>
      </c>
      <c r="C108" s="4">
        <f t="shared" si="68"/>
        <v>348.98400000000004</v>
      </c>
      <c r="D108" s="4">
        <f t="shared" si="68"/>
        <v>348.98400000000004</v>
      </c>
      <c r="E108" s="4">
        <f t="shared" si="68"/>
        <v>348.98400000000004</v>
      </c>
      <c r="F108" s="4">
        <f t="shared" si="68"/>
        <v>348.98400000000004</v>
      </c>
      <c r="G108" s="4">
        <f t="shared" si="68"/>
        <v>348.98400000000004</v>
      </c>
      <c r="H108" s="4">
        <f t="shared" si="68"/>
        <v>348.98400000000004</v>
      </c>
      <c r="I108" s="4">
        <f t="shared" si="68"/>
        <v>348.98400000000004</v>
      </c>
      <c r="J108" s="4">
        <f t="shared" si="68"/>
        <v>348.98400000000004</v>
      </c>
      <c r="K108" s="4">
        <f t="shared" si="68"/>
        <v>348.98400000000004</v>
      </c>
      <c r="L108" s="4">
        <f t="shared" si="68"/>
        <v>340.5999999999982</v>
      </c>
      <c r="M108" s="13" t="s">
        <v>170</v>
      </c>
      <c r="N108" s="4">
        <f t="shared" ref="N108:P108" si="69">SUM(N104:N106)</f>
        <v>0</v>
      </c>
      <c r="O108" s="4">
        <f t="shared" si="69"/>
        <v>4179.4239999999982</v>
      </c>
      <c r="P108" s="4">
        <f t="shared" si="69"/>
        <v>4179.4239999999982</v>
      </c>
      <c r="Q108" s="4">
        <v>4179.4239999999982</v>
      </c>
      <c r="R108" s="4">
        <f t="shared" ref="R108:W108" si="70">SUM(R104:R106)</f>
        <v>0</v>
      </c>
      <c r="S108" s="4">
        <v>0</v>
      </c>
      <c r="T108" s="4">
        <v>0</v>
      </c>
      <c r="U108" s="4">
        <v>4000</v>
      </c>
      <c r="V108" s="4">
        <f t="shared" si="45"/>
        <v>-179.42399999999816</v>
      </c>
      <c r="W108" s="4">
        <f t="shared" si="70"/>
        <v>0</v>
      </c>
      <c r="X108" s="162">
        <f t="shared" si="46"/>
        <v>0</v>
      </c>
      <c r="Y108" s="295">
        <f t="shared" si="43"/>
        <v>4000</v>
      </c>
      <c r="Z108" s="4"/>
      <c r="AA108" s="182"/>
    </row>
    <row r="109" spans="1:27" x14ac:dyDescent="0.3">
      <c r="A109" s="81"/>
      <c r="B109" s="81"/>
      <c r="C109" s="81"/>
      <c r="D109" s="82"/>
      <c r="E109" s="81"/>
      <c r="F109" s="81"/>
      <c r="G109" s="81"/>
      <c r="H109" s="87"/>
      <c r="I109" s="87"/>
      <c r="J109" s="87"/>
      <c r="K109" s="88"/>
      <c r="L109" s="88"/>
      <c r="M109" s="80"/>
      <c r="N109" s="81">
        <f t="shared" si="47"/>
        <v>0</v>
      </c>
      <c r="O109" s="81">
        <f t="shared" si="48"/>
        <v>0</v>
      </c>
      <c r="P109" s="81">
        <f t="shared" si="44"/>
        <v>0</v>
      </c>
      <c r="Q109" s="81">
        <v>0</v>
      </c>
      <c r="R109" s="81"/>
      <c r="S109" s="81"/>
      <c r="T109" s="81"/>
      <c r="U109" s="81">
        <v>0</v>
      </c>
      <c r="V109" s="81">
        <f t="shared" si="45"/>
        <v>0</v>
      </c>
      <c r="W109" s="81"/>
      <c r="X109" s="204"/>
      <c r="Y109" s="295">
        <f t="shared" si="43"/>
        <v>0</v>
      </c>
      <c r="Z109" s="81"/>
      <c r="AA109" s="182"/>
    </row>
    <row r="110" spans="1:27" x14ac:dyDescent="0.3">
      <c r="A110" s="4">
        <f>A28+A46+A65+A91+A102+A108</f>
        <v>5901.2880000000014</v>
      </c>
      <c r="B110" s="4">
        <f t="shared" ref="B110:L110" si="71">B28+B46+B65+B91+B102+B108</f>
        <v>5906.5280000000012</v>
      </c>
      <c r="C110" s="4">
        <f t="shared" si="71"/>
        <v>62912.487999999998</v>
      </c>
      <c r="D110" s="4">
        <f t="shared" si="71"/>
        <v>5906.5280000000012</v>
      </c>
      <c r="E110" s="4">
        <f t="shared" si="71"/>
        <v>5906.5280000000012</v>
      </c>
      <c r="F110" s="4">
        <f t="shared" si="71"/>
        <v>368104.56800000003</v>
      </c>
      <c r="G110" s="4">
        <f t="shared" si="71"/>
        <v>57625.286079999998</v>
      </c>
      <c r="H110" s="4">
        <f t="shared" si="71"/>
        <v>5906.5280000000012</v>
      </c>
      <c r="I110" s="4">
        <f t="shared" si="71"/>
        <v>5906.5280000000012</v>
      </c>
      <c r="J110" s="4">
        <f t="shared" si="71"/>
        <v>5906.5280000000012</v>
      </c>
      <c r="K110" s="4">
        <f t="shared" si="71"/>
        <v>38027.728000000003</v>
      </c>
      <c r="L110" s="4">
        <f t="shared" si="71"/>
        <v>5902.5863939239925</v>
      </c>
      <c r="M110" s="238" t="s">
        <v>171</v>
      </c>
      <c r="N110" s="4">
        <f t="shared" ref="N110:P110" si="72">N28+N46+N65+N91+N102+N108</f>
        <v>0</v>
      </c>
      <c r="O110" s="4">
        <f t="shared" si="72"/>
        <v>573913.11247392395</v>
      </c>
      <c r="P110" s="4">
        <f t="shared" si="72"/>
        <v>573913.11247392395</v>
      </c>
      <c r="Q110" s="4">
        <v>573913.11247392395</v>
      </c>
      <c r="R110" s="4">
        <f>R28+R46+R65+R91+R102+R108</f>
        <v>0</v>
      </c>
      <c r="S110" s="4">
        <v>0</v>
      </c>
      <c r="T110" s="4">
        <v>0</v>
      </c>
      <c r="U110" s="4">
        <v>547648.02982980001</v>
      </c>
      <c r="V110" s="4">
        <f t="shared" si="45"/>
        <v>-26265.082644123933</v>
      </c>
      <c r="W110" s="4">
        <f t="shared" ref="W110" si="73">W28+W46+W65+W91+W102+W108</f>
        <v>0</v>
      </c>
      <c r="X110" s="162">
        <f t="shared" si="46"/>
        <v>0</v>
      </c>
      <c r="Y110" s="295">
        <f t="shared" si="43"/>
        <v>547648.02982980001</v>
      </c>
      <c r="Z110" s="4"/>
      <c r="AA110" s="182"/>
    </row>
    <row r="111" spans="1:27" x14ac:dyDescent="0.3">
      <c r="A111" s="81"/>
      <c r="B111" s="81"/>
      <c r="C111" s="81"/>
      <c r="D111" s="82"/>
      <c r="E111" s="81"/>
      <c r="F111" s="81"/>
      <c r="G111" s="81"/>
      <c r="H111" s="87"/>
      <c r="I111" s="87"/>
      <c r="J111" s="87"/>
      <c r="K111" s="88"/>
      <c r="L111" s="88"/>
      <c r="M111" s="122"/>
      <c r="N111" s="81">
        <f t="shared" si="47"/>
        <v>0</v>
      </c>
      <c r="O111" s="81">
        <f t="shared" si="48"/>
        <v>0</v>
      </c>
      <c r="P111" s="81">
        <f t="shared" si="44"/>
        <v>0</v>
      </c>
      <c r="Q111" s="81">
        <v>0</v>
      </c>
      <c r="R111" s="81"/>
      <c r="S111" s="81"/>
      <c r="T111" s="81"/>
      <c r="U111" s="81">
        <v>0</v>
      </c>
      <c r="V111" s="81">
        <f t="shared" si="45"/>
        <v>0</v>
      </c>
      <c r="W111" s="81"/>
      <c r="X111" s="204"/>
      <c r="Y111" s="295">
        <f t="shared" si="43"/>
        <v>0</v>
      </c>
      <c r="Z111" s="81"/>
      <c r="AA111" s="182"/>
    </row>
    <row r="112" spans="1:27" x14ac:dyDescent="0.3">
      <c r="A112" s="4">
        <f>A18+A110</f>
        <v>84415.736300000004</v>
      </c>
      <c r="B112" s="4">
        <f t="shared" ref="B112:L112" si="74">B18+B110</f>
        <v>88863.338440000007</v>
      </c>
      <c r="C112" s="4">
        <f t="shared" si="74"/>
        <v>263766.10522720002</v>
      </c>
      <c r="D112" s="4">
        <f t="shared" si="74"/>
        <v>206760.14522720003</v>
      </c>
      <c r="E112" s="4">
        <f t="shared" si="74"/>
        <v>206760.14522720003</v>
      </c>
      <c r="F112" s="4">
        <f t="shared" si="74"/>
        <v>568958.18522720004</v>
      </c>
      <c r="G112" s="4">
        <f t="shared" si="74"/>
        <v>258478.90330720003</v>
      </c>
      <c r="H112" s="4">
        <f t="shared" si="74"/>
        <v>246760.56710963504</v>
      </c>
      <c r="I112" s="4">
        <f t="shared" si="74"/>
        <v>206760.14522720003</v>
      </c>
      <c r="J112" s="4">
        <f t="shared" si="74"/>
        <v>206760.14522720003</v>
      </c>
      <c r="K112" s="4">
        <f t="shared" si="74"/>
        <v>238881.34522720004</v>
      </c>
      <c r="L112" s="4">
        <f t="shared" si="74"/>
        <v>210562.05210112405</v>
      </c>
      <c r="M112" s="13" t="s">
        <v>240</v>
      </c>
      <c r="N112" s="4">
        <f t="shared" ref="N112:P112" si="75">N18+N110</f>
        <v>0</v>
      </c>
      <c r="O112" s="4">
        <f t="shared" si="75"/>
        <v>2787726.8138483595</v>
      </c>
      <c r="P112" s="4">
        <f t="shared" si="75"/>
        <v>2787726.8138483595</v>
      </c>
      <c r="Q112" s="4">
        <v>2787726.8138483595</v>
      </c>
      <c r="R112" s="4">
        <f t="shared" ref="R112:Y112" si="76">R18+R110</f>
        <v>0</v>
      </c>
      <c r="S112" s="224">
        <v>0</v>
      </c>
      <c r="T112" s="224">
        <v>-154769</v>
      </c>
      <c r="U112" s="224">
        <v>2541671.9388740752</v>
      </c>
      <c r="V112" s="224">
        <f t="shared" si="45"/>
        <v>-246054.87497428432</v>
      </c>
      <c r="W112" s="4">
        <f t="shared" si="76"/>
        <v>0</v>
      </c>
      <c r="X112" s="162">
        <f t="shared" si="46"/>
        <v>0</v>
      </c>
      <c r="Y112" s="4">
        <f t="shared" si="76"/>
        <v>547648.02982980001</v>
      </c>
      <c r="Z112" s="4"/>
      <c r="AA112" s="182"/>
    </row>
    <row r="113" spans="1:27" x14ac:dyDescent="0.3">
      <c r="A113" s="81"/>
      <c r="B113" s="81"/>
      <c r="C113" s="81"/>
      <c r="D113" s="82"/>
      <c r="E113" s="81"/>
      <c r="F113" s="81"/>
      <c r="G113" s="81"/>
      <c r="H113" s="87"/>
      <c r="I113" s="87"/>
      <c r="J113" s="87"/>
      <c r="K113" s="88"/>
      <c r="L113" s="88"/>
      <c r="M113" s="122"/>
      <c r="N113" s="81">
        <f t="shared" si="47"/>
        <v>0</v>
      </c>
      <c r="O113" s="81">
        <f t="shared" si="48"/>
        <v>0</v>
      </c>
      <c r="P113" s="81">
        <f t="shared" si="44"/>
        <v>0</v>
      </c>
      <c r="Q113" s="81">
        <v>0</v>
      </c>
      <c r="R113" s="81"/>
      <c r="S113" s="81"/>
      <c r="T113" s="81"/>
      <c r="U113" s="81">
        <v>0</v>
      </c>
      <c r="V113" s="81">
        <f t="shared" si="45"/>
        <v>0</v>
      </c>
      <c r="W113" s="81"/>
      <c r="X113" s="204"/>
      <c r="Y113" s="295">
        <f t="shared" si="43"/>
        <v>0</v>
      </c>
      <c r="Z113" s="81"/>
      <c r="AA113" s="182"/>
    </row>
    <row r="114" spans="1:27" x14ac:dyDescent="0.3">
      <c r="A114" s="8">
        <f t="shared" ref="A114:L125" si="77">$Q114/12</f>
        <v>0</v>
      </c>
      <c r="B114" s="8">
        <f t="shared" si="77"/>
        <v>0</v>
      </c>
      <c r="C114" s="8">
        <f t="shared" si="77"/>
        <v>0</v>
      </c>
      <c r="D114" s="8">
        <f t="shared" si="77"/>
        <v>0</v>
      </c>
      <c r="E114" s="8">
        <f t="shared" si="77"/>
        <v>0</v>
      </c>
      <c r="F114" s="8">
        <f t="shared" si="77"/>
        <v>0</v>
      </c>
      <c r="G114" s="8">
        <f t="shared" si="77"/>
        <v>0</v>
      </c>
      <c r="H114" s="8">
        <f t="shared" si="77"/>
        <v>0</v>
      </c>
      <c r="I114" s="8">
        <f t="shared" si="77"/>
        <v>0</v>
      </c>
      <c r="J114" s="8">
        <f t="shared" si="77"/>
        <v>0</v>
      </c>
      <c r="K114" s="8">
        <f t="shared" si="77"/>
        <v>0</v>
      </c>
      <c r="L114" s="8">
        <f t="shared" si="77"/>
        <v>0</v>
      </c>
      <c r="M114" s="238" t="s">
        <v>491</v>
      </c>
      <c r="N114" s="8">
        <f t="shared" ref="N114:N125" si="78">SUM(0)</f>
        <v>0</v>
      </c>
      <c r="O114" s="8">
        <f t="shared" ref="O114:O125" si="79">SUM(A114:L114)</f>
        <v>0</v>
      </c>
      <c r="P114" s="8">
        <f t="shared" si="44"/>
        <v>0</v>
      </c>
      <c r="Q114" s="8"/>
      <c r="R114" s="8">
        <f t="shared" ref="R114:R125" si="80">Q114-P114</f>
        <v>0</v>
      </c>
      <c r="S114" s="8"/>
      <c r="T114" s="8"/>
      <c r="U114" s="8">
        <v>0</v>
      </c>
      <c r="V114" s="8">
        <f t="shared" si="45"/>
        <v>0</v>
      </c>
      <c r="W114" s="8"/>
      <c r="X114" s="158">
        <f t="shared" si="46"/>
        <v>0</v>
      </c>
      <c r="Y114" s="295">
        <f t="shared" si="43"/>
        <v>0</v>
      </c>
      <c r="Z114" s="8"/>
      <c r="AA114" s="182"/>
    </row>
    <row r="115" spans="1:27" x14ac:dyDescent="0.3">
      <c r="A115" s="7">
        <f t="shared" si="77"/>
        <v>0</v>
      </c>
      <c r="B115" s="7">
        <f t="shared" si="77"/>
        <v>0</v>
      </c>
      <c r="C115" s="7">
        <f t="shared" si="77"/>
        <v>0</v>
      </c>
      <c r="D115" s="7">
        <f t="shared" si="77"/>
        <v>0</v>
      </c>
      <c r="E115" s="7">
        <f t="shared" si="77"/>
        <v>0</v>
      </c>
      <c r="F115" s="7">
        <f t="shared" si="77"/>
        <v>0</v>
      </c>
      <c r="G115" s="7">
        <f t="shared" si="77"/>
        <v>0</v>
      </c>
      <c r="H115" s="7">
        <f t="shared" si="77"/>
        <v>0</v>
      </c>
      <c r="I115" s="7">
        <f t="shared" si="77"/>
        <v>0</v>
      </c>
      <c r="J115" s="7">
        <f t="shared" si="77"/>
        <v>0</v>
      </c>
      <c r="K115" s="7">
        <f t="shared" si="77"/>
        <v>0</v>
      </c>
      <c r="L115" s="7">
        <f t="shared" si="77"/>
        <v>0</v>
      </c>
      <c r="M115" s="13" t="s">
        <v>492</v>
      </c>
      <c r="N115" s="7">
        <f t="shared" si="78"/>
        <v>0</v>
      </c>
      <c r="O115" s="7">
        <f t="shared" si="79"/>
        <v>0</v>
      </c>
      <c r="P115" s="7">
        <f t="shared" si="44"/>
        <v>0</v>
      </c>
      <c r="Q115" s="7">
        <v>0</v>
      </c>
      <c r="R115" s="7">
        <f t="shared" si="80"/>
        <v>0</v>
      </c>
      <c r="S115" s="7"/>
      <c r="T115" s="7"/>
      <c r="U115" s="7">
        <v>0</v>
      </c>
      <c r="V115" s="7">
        <f t="shared" si="45"/>
        <v>0</v>
      </c>
      <c r="W115" s="7"/>
      <c r="X115" s="159">
        <f t="shared" si="46"/>
        <v>0</v>
      </c>
      <c r="Y115" s="295">
        <f t="shared" si="43"/>
        <v>0</v>
      </c>
      <c r="Z115" s="7"/>
      <c r="AA115" s="182"/>
    </row>
    <row r="116" spans="1:27" x14ac:dyDescent="0.3">
      <c r="A116" s="7">
        <f t="shared" si="77"/>
        <v>0</v>
      </c>
      <c r="B116" s="7">
        <f t="shared" si="77"/>
        <v>0</v>
      </c>
      <c r="C116" s="7">
        <f t="shared" si="77"/>
        <v>0</v>
      </c>
      <c r="D116" s="7">
        <f t="shared" si="77"/>
        <v>0</v>
      </c>
      <c r="E116" s="7">
        <f t="shared" si="77"/>
        <v>0</v>
      </c>
      <c r="F116" s="7">
        <f t="shared" si="77"/>
        <v>0</v>
      </c>
      <c r="G116" s="7">
        <f t="shared" si="77"/>
        <v>0</v>
      </c>
      <c r="H116" s="7">
        <f t="shared" si="77"/>
        <v>0</v>
      </c>
      <c r="I116" s="7">
        <f t="shared" si="77"/>
        <v>0</v>
      </c>
      <c r="J116" s="7">
        <f t="shared" si="77"/>
        <v>0</v>
      </c>
      <c r="K116" s="7">
        <f t="shared" si="77"/>
        <v>0</v>
      </c>
      <c r="L116" s="7">
        <f t="shared" si="77"/>
        <v>0</v>
      </c>
      <c r="M116" s="13" t="s">
        <v>493</v>
      </c>
      <c r="N116" s="7">
        <f t="shared" si="78"/>
        <v>0</v>
      </c>
      <c r="O116" s="7">
        <f t="shared" si="79"/>
        <v>0</v>
      </c>
      <c r="P116" s="7">
        <f t="shared" si="44"/>
        <v>0</v>
      </c>
      <c r="Q116" s="7">
        <v>0</v>
      </c>
      <c r="R116" s="7">
        <f t="shared" si="80"/>
        <v>0</v>
      </c>
      <c r="S116" s="7"/>
      <c r="T116" s="7"/>
      <c r="U116" s="7">
        <v>0</v>
      </c>
      <c r="V116" s="7">
        <f t="shared" si="45"/>
        <v>0</v>
      </c>
      <c r="W116" s="7"/>
      <c r="X116" s="159">
        <f t="shared" si="46"/>
        <v>0</v>
      </c>
      <c r="Y116" s="295">
        <f t="shared" si="43"/>
        <v>0</v>
      </c>
      <c r="Z116" s="7"/>
      <c r="AA116" s="182"/>
    </row>
    <row r="117" spans="1:27" x14ac:dyDescent="0.3">
      <c r="A117" s="7">
        <f t="shared" si="77"/>
        <v>0</v>
      </c>
      <c r="B117" s="7">
        <f t="shared" si="77"/>
        <v>0</v>
      </c>
      <c r="C117" s="7">
        <f t="shared" si="77"/>
        <v>0</v>
      </c>
      <c r="D117" s="7">
        <f t="shared" si="77"/>
        <v>0</v>
      </c>
      <c r="E117" s="7">
        <f t="shared" si="77"/>
        <v>0</v>
      </c>
      <c r="F117" s="7">
        <f t="shared" si="77"/>
        <v>0</v>
      </c>
      <c r="G117" s="7">
        <f t="shared" si="77"/>
        <v>0</v>
      </c>
      <c r="H117" s="7">
        <f t="shared" si="77"/>
        <v>0</v>
      </c>
      <c r="I117" s="7">
        <f t="shared" si="77"/>
        <v>0</v>
      </c>
      <c r="J117" s="7">
        <f t="shared" si="77"/>
        <v>0</v>
      </c>
      <c r="K117" s="7">
        <f t="shared" si="77"/>
        <v>0</v>
      </c>
      <c r="L117" s="7">
        <f t="shared" si="77"/>
        <v>0</v>
      </c>
      <c r="M117" s="238" t="s">
        <v>494</v>
      </c>
      <c r="N117" s="7">
        <f t="shared" si="78"/>
        <v>0</v>
      </c>
      <c r="O117" s="7">
        <f t="shared" si="79"/>
        <v>0</v>
      </c>
      <c r="P117" s="7">
        <f t="shared" si="44"/>
        <v>0</v>
      </c>
      <c r="Q117" s="7">
        <v>0</v>
      </c>
      <c r="R117" s="7">
        <f t="shared" si="80"/>
        <v>0</v>
      </c>
      <c r="S117" s="7"/>
      <c r="T117" s="7"/>
      <c r="U117" s="7">
        <v>0</v>
      </c>
      <c r="V117" s="7">
        <f t="shared" si="45"/>
        <v>0</v>
      </c>
      <c r="W117" s="7"/>
      <c r="X117" s="159">
        <f t="shared" si="46"/>
        <v>0</v>
      </c>
      <c r="Y117" s="295">
        <f t="shared" si="43"/>
        <v>0</v>
      </c>
      <c r="Z117" s="7"/>
      <c r="AA117" s="182"/>
    </row>
    <row r="118" spans="1:27" x14ac:dyDescent="0.3">
      <c r="A118" s="7">
        <f t="shared" si="77"/>
        <v>0</v>
      </c>
      <c r="B118" s="7">
        <f t="shared" si="77"/>
        <v>0</v>
      </c>
      <c r="C118" s="7">
        <f t="shared" si="77"/>
        <v>0</v>
      </c>
      <c r="D118" s="7">
        <f t="shared" si="77"/>
        <v>0</v>
      </c>
      <c r="E118" s="7">
        <f t="shared" si="77"/>
        <v>0</v>
      </c>
      <c r="F118" s="7">
        <f t="shared" si="77"/>
        <v>0</v>
      </c>
      <c r="G118" s="7">
        <f t="shared" si="77"/>
        <v>0</v>
      </c>
      <c r="H118" s="7">
        <f t="shared" si="77"/>
        <v>0</v>
      </c>
      <c r="I118" s="7">
        <f t="shared" si="77"/>
        <v>0</v>
      </c>
      <c r="J118" s="7">
        <f t="shared" si="77"/>
        <v>0</v>
      </c>
      <c r="K118" s="7">
        <f t="shared" si="77"/>
        <v>0</v>
      </c>
      <c r="L118" s="7">
        <f t="shared" si="77"/>
        <v>0</v>
      </c>
      <c r="M118" s="13" t="s">
        <v>495</v>
      </c>
      <c r="N118" s="7">
        <f t="shared" si="78"/>
        <v>0</v>
      </c>
      <c r="O118" s="7">
        <f t="shared" si="79"/>
        <v>0</v>
      </c>
      <c r="P118" s="7">
        <f t="shared" si="44"/>
        <v>0</v>
      </c>
      <c r="Q118" s="7">
        <v>0</v>
      </c>
      <c r="R118" s="7">
        <f t="shared" si="80"/>
        <v>0</v>
      </c>
      <c r="S118" s="7"/>
      <c r="T118" s="7"/>
      <c r="U118" s="7">
        <v>0</v>
      </c>
      <c r="V118" s="7">
        <f t="shared" si="45"/>
        <v>0</v>
      </c>
      <c r="W118" s="7"/>
      <c r="X118" s="159">
        <f t="shared" si="46"/>
        <v>0</v>
      </c>
      <c r="Y118" s="295">
        <f t="shared" si="43"/>
        <v>0</v>
      </c>
      <c r="Z118" s="7"/>
      <c r="AA118" s="182"/>
    </row>
    <row r="119" spans="1:27" x14ac:dyDescent="0.3">
      <c r="A119" s="7">
        <f t="shared" si="77"/>
        <v>0</v>
      </c>
      <c r="B119" s="7">
        <f t="shared" si="77"/>
        <v>0</v>
      </c>
      <c r="C119" s="7">
        <f t="shared" si="77"/>
        <v>0</v>
      </c>
      <c r="D119" s="7">
        <f t="shared" si="77"/>
        <v>0</v>
      </c>
      <c r="E119" s="7">
        <f t="shared" si="77"/>
        <v>0</v>
      </c>
      <c r="F119" s="7">
        <f t="shared" si="77"/>
        <v>0</v>
      </c>
      <c r="G119" s="7">
        <f t="shared" si="77"/>
        <v>0</v>
      </c>
      <c r="H119" s="7">
        <f t="shared" si="77"/>
        <v>0</v>
      </c>
      <c r="I119" s="7">
        <f t="shared" si="77"/>
        <v>0</v>
      </c>
      <c r="J119" s="7">
        <f t="shared" si="77"/>
        <v>0</v>
      </c>
      <c r="K119" s="7">
        <f t="shared" si="77"/>
        <v>0</v>
      </c>
      <c r="L119" s="7">
        <f t="shared" si="77"/>
        <v>0</v>
      </c>
      <c r="M119" s="13" t="s">
        <v>496</v>
      </c>
      <c r="N119" s="7">
        <f t="shared" si="78"/>
        <v>0</v>
      </c>
      <c r="O119" s="7">
        <f t="shared" si="79"/>
        <v>0</v>
      </c>
      <c r="P119" s="7">
        <f t="shared" si="44"/>
        <v>0</v>
      </c>
      <c r="Q119" s="7">
        <v>0</v>
      </c>
      <c r="R119" s="7">
        <f t="shared" si="80"/>
        <v>0</v>
      </c>
      <c r="S119" s="7"/>
      <c r="T119" s="7"/>
      <c r="U119" s="7">
        <v>0</v>
      </c>
      <c r="V119" s="7">
        <f t="shared" si="45"/>
        <v>0</v>
      </c>
      <c r="W119" s="7"/>
      <c r="X119" s="159">
        <f t="shared" si="46"/>
        <v>0</v>
      </c>
      <c r="Y119" s="295">
        <f t="shared" si="43"/>
        <v>0</v>
      </c>
      <c r="Z119" s="7"/>
      <c r="AA119" s="182"/>
    </row>
    <row r="120" spans="1:27" x14ac:dyDescent="0.3">
      <c r="A120" s="7">
        <f t="shared" si="77"/>
        <v>0</v>
      </c>
      <c r="B120" s="7">
        <f t="shared" si="77"/>
        <v>0</v>
      </c>
      <c r="C120" s="7">
        <f t="shared" si="77"/>
        <v>0</v>
      </c>
      <c r="D120" s="7">
        <f t="shared" si="77"/>
        <v>0</v>
      </c>
      <c r="E120" s="7">
        <f t="shared" si="77"/>
        <v>0</v>
      </c>
      <c r="F120" s="7">
        <f t="shared" si="77"/>
        <v>0</v>
      </c>
      <c r="G120" s="7">
        <f t="shared" si="77"/>
        <v>0</v>
      </c>
      <c r="H120" s="7">
        <f t="shared" si="77"/>
        <v>0</v>
      </c>
      <c r="I120" s="7">
        <f t="shared" si="77"/>
        <v>0</v>
      </c>
      <c r="J120" s="7">
        <f t="shared" si="77"/>
        <v>0</v>
      </c>
      <c r="K120" s="7">
        <f t="shared" si="77"/>
        <v>0</v>
      </c>
      <c r="L120" s="7">
        <f t="shared" si="77"/>
        <v>0</v>
      </c>
      <c r="M120" s="238" t="s">
        <v>497</v>
      </c>
      <c r="N120" s="7">
        <f t="shared" si="78"/>
        <v>0</v>
      </c>
      <c r="O120" s="7">
        <f t="shared" si="79"/>
        <v>0</v>
      </c>
      <c r="P120" s="7">
        <f t="shared" si="44"/>
        <v>0</v>
      </c>
      <c r="Q120" s="7">
        <v>0</v>
      </c>
      <c r="R120" s="7">
        <f t="shared" si="80"/>
        <v>0</v>
      </c>
      <c r="S120" s="7"/>
      <c r="T120" s="7"/>
      <c r="U120" s="7">
        <v>0</v>
      </c>
      <c r="V120" s="7">
        <f t="shared" si="45"/>
        <v>0</v>
      </c>
      <c r="W120" s="7"/>
      <c r="X120" s="159">
        <f t="shared" si="46"/>
        <v>0</v>
      </c>
      <c r="Y120" s="295">
        <f t="shared" si="43"/>
        <v>0</v>
      </c>
      <c r="Z120" s="7"/>
      <c r="AA120" s="182"/>
    </row>
    <row r="121" spans="1:27" x14ac:dyDescent="0.3">
      <c r="A121" s="7">
        <f t="shared" si="77"/>
        <v>0</v>
      </c>
      <c r="B121" s="7">
        <f t="shared" si="77"/>
        <v>0</v>
      </c>
      <c r="C121" s="7">
        <f t="shared" si="77"/>
        <v>0</v>
      </c>
      <c r="D121" s="7">
        <f t="shared" si="77"/>
        <v>0</v>
      </c>
      <c r="E121" s="7">
        <f t="shared" si="77"/>
        <v>0</v>
      </c>
      <c r="F121" s="7">
        <f t="shared" si="77"/>
        <v>0</v>
      </c>
      <c r="G121" s="7">
        <f t="shared" si="77"/>
        <v>0</v>
      </c>
      <c r="H121" s="7">
        <f t="shared" si="77"/>
        <v>0</v>
      </c>
      <c r="I121" s="7">
        <f t="shared" si="77"/>
        <v>0</v>
      </c>
      <c r="J121" s="7">
        <f t="shared" si="77"/>
        <v>0</v>
      </c>
      <c r="K121" s="7">
        <f t="shared" si="77"/>
        <v>0</v>
      </c>
      <c r="L121" s="7">
        <f t="shared" si="77"/>
        <v>0</v>
      </c>
      <c r="M121" s="13" t="s">
        <v>498</v>
      </c>
      <c r="N121" s="7">
        <f t="shared" si="78"/>
        <v>0</v>
      </c>
      <c r="O121" s="7">
        <f t="shared" si="79"/>
        <v>0</v>
      </c>
      <c r="P121" s="7">
        <f t="shared" si="44"/>
        <v>0</v>
      </c>
      <c r="Q121" s="7">
        <v>0</v>
      </c>
      <c r="R121" s="7">
        <f t="shared" si="80"/>
        <v>0</v>
      </c>
      <c r="S121" s="7"/>
      <c r="T121" s="7"/>
      <c r="U121" s="7">
        <v>0</v>
      </c>
      <c r="V121" s="7">
        <f t="shared" si="45"/>
        <v>0</v>
      </c>
      <c r="W121" s="7"/>
      <c r="X121" s="159">
        <f t="shared" si="46"/>
        <v>0</v>
      </c>
      <c r="Y121" s="295">
        <f t="shared" si="43"/>
        <v>0</v>
      </c>
      <c r="Z121" s="7"/>
      <c r="AA121" s="182"/>
    </row>
    <row r="122" spans="1:27" x14ac:dyDescent="0.3">
      <c r="A122" s="7">
        <f t="shared" si="77"/>
        <v>0</v>
      </c>
      <c r="B122" s="7">
        <f t="shared" si="77"/>
        <v>0</v>
      </c>
      <c r="C122" s="7">
        <f t="shared" si="77"/>
        <v>0</v>
      </c>
      <c r="D122" s="7">
        <f t="shared" si="77"/>
        <v>0</v>
      </c>
      <c r="E122" s="7">
        <f t="shared" si="77"/>
        <v>0</v>
      </c>
      <c r="F122" s="7">
        <f t="shared" si="77"/>
        <v>0</v>
      </c>
      <c r="G122" s="7">
        <f t="shared" si="77"/>
        <v>0</v>
      </c>
      <c r="H122" s="7">
        <f t="shared" si="77"/>
        <v>0</v>
      </c>
      <c r="I122" s="7">
        <f t="shared" si="77"/>
        <v>0</v>
      </c>
      <c r="J122" s="7">
        <f t="shared" si="77"/>
        <v>0</v>
      </c>
      <c r="K122" s="7">
        <f t="shared" si="77"/>
        <v>0</v>
      </c>
      <c r="L122" s="7">
        <f t="shared" si="77"/>
        <v>0</v>
      </c>
      <c r="M122" s="13" t="s">
        <v>499</v>
      </c>
      <c r="N122" s="7">
        <f t="shared" si="78"/>
        <v>0</v>
      </c>
      <c r="O122" s="7">
        <f t="shared" si="79"/>
        <v>0</v>
      </c>
      <c r="P122" s="7">
        <f t="shared" si="44"/>
        <v>0</v>
      </c>
      <c r="Q122" s="7">
        <v>0</v>
      </c>
      <c r="R122" s="7">
        <f t="shared" si="80"/>
        <v>0</v>
      </c>
      <c r="S122" s="7"/>
      <c r="T122" s="7"/>
      <c r="U122" s="7">
        <v>0</v>
      </c>
      <c r="V122" s="7">
        <f t="shared" si="45"/>
        <v>0</v>
      </c>
      <c r="W122" s="7"/>
      <c r="X122" s="159">
        <f t="shared" si="46"/>
        <v>0</v>
      </c>
      <c r="Y122" s="295">
        <f t="shared" si="43"/>
        <v>0</v>
      </c>
      <c r="Z122" s="7"/>
      <c r="AA122" s="182"/>
    </row>
    <row r="123" spans="1:27" x14ac:dyDescent="0.3">
      <c r="A123" s="7">
        <f t="shared" si="77"/>
        <v>0</v>
      </c>
      <c r="B123" s="7">
        <f t="shared" si="77"/>
        <v>0</v>
      </c>
      <c r="C123" s="7">
        <f t="shared" si="77"/>
        <v>0</v>
      </c>
      <c r="D123" s="7">
        <f t="shared" si="77"/>
        <v>0</v>
      </c>
      <c r="E123" s="7">
        <f t="shared" si="77"/>
        <v>0</v>
      </c>
      <c r="F123" s="7">
        <f t="shared" si="77"/>
        <v>0</v>
      </c>
      <c r="G123" s="7">
        <f t="shared" si="77"/>
        <v>0</v>
      </c>
      <c r="H123" s="7">
        <f t="shared" si="77"/>
        <v>0</v>
      </c>
      <c r="I123" s="7">
        <f t="shared" si="77"/>
        <v>0</v>
      </c>
      <c r="J123" s="7">
        <f t="shared" si="77"/>
        <v>0</v>
      </c>
      <c r="K123" s="7">
        <f t="shared" si="77"/>
        <v>0</v>
      </c>
      <c r="L123" s="7">
        <f t="shared" si="77"/>
        <v>0</v>
      </c>
      <c r="M123" s="238" t="s">
        <v>500</v>
      </c>
      <c r="N123" s="7">
        <f t="shared" si="78"/>
        <v>0</v>
      </c>
      <c r="O123" s="7">
        <f t="shared" si="79"/>
        <v>0</v>
      </c>
      <c r="P123" s="7">
        <f t="shared" si="44"/>
        <v>0</v>
      </c>
      <c r="Q123" s="7">
        <v>0</v>
      </c>
      <c r="R123" s="7">
        <f t="shared" si="80"/>
        <v>0</v>
      </c>
      <c r="S123" s="7"/>
      <c r="T123" s="7"/>
      <c r="U123" s="7">
        <v>0</v>
      </c>
      <c r="V123" s="7">
        <f t="shared" si="45"/>
        <v>0</v>
      </c>
      <c r="W123" s="7"/>
      <c r="X123" s="159">
        <f t="shared" si="46"/>
        <v>0</v>
      </c>
      <c r="Y123" s="295">
        <f t="shared" si="43"/>
        <v>0</v>
      </c>
      <c r="Z123" s="7"/>
      <c r="AA123" s="182"/>
    </row>
    <row r="124" spans="1:27" x14ac:dyDescent="0.3">
      <c r="A124" s="7">
        <f t="shared" si="77"/>
        <v>0</v>
      </c>
      <c r="B124" s="7">
        <f t="shared" si="77"/>
        <v>0</v>
      </c>
      <c r="C124" s="7">
        <f t="shared" si="77"/>
        <v>0</v>
      </c>
      <c r="D124" s="7">
        <f t="shared" si="77"/>
        <v>0</v>
      </c>
      <c r="E124" s="7">
        <f t="shared" si="77"/>
        <v>0</v>
      </c>
      <c r="F124" s="7">
        <f t="shared" si="77"/>
        <v>0</v>
      </c>
      <c r="G124" s="7">
        <f t="shared" si="77"/>
        <v>0</v>
      </c>
      <c r="H124" s="7">
        <f t="shared" si="77"/>
        <v>0</v>
      </c>
      <c r="I124" s="7">
        <f t="shared" si="77"/>
        <v>0</v>
      </c>
      <c r="J124" s="7">
        <f t="shared" si="77"/>
        <v>0</v>
      </c>
      <c r="K124" s="7">
        <f t="shared" si="77"/>
        <v>0</v>
      </c>
      <c r="L124" s="7">
        <f t="shared" si="77"/>
        <v>0</v>
      </c>
      <c r="M124" s="13" t="s">
        <v>501</v>
      </c>
      <c r="N124" s="7">
        <f t="shared" si="78"/>
        <v>0</v>
      </c>
      <c r="O124" s="7">
        <f t="shared" si="79"/>
        <v>0</v>
      </c>
      <c r="P124" s="7">
        <f t="shared" si="44"/>
        <v>0</v>
      </c>
      <c r="Q124" s="7">
        <v>0</v>
      </c>
      <c r="R124" s="7">
        <f t="shared" si="80"/>
        <v>0</v>
      </c>
      <c r="S124" s="7"/>
      <c r="T124" s="7"/>
      <c r="U124" s="7">
        <v>0</v>
      </c>
      <c r="V124" s="7">
        <f t="shared" si="45"/>
        <v>0</v>
      </c>
      <c r="W124" s="7"/>
      <c r="X124" s="159">
        <f t="shared" si="46"/>
        <v>0</v>
      </c>
      <c r="Y124" s="295">
        <f t="shared" si="43"/>
        <v>0</v>
      </c>
      <c r="Z124" s="7"/>
      <c r="AA124" s="182"/>
    </row>
    <row r="125" spans="1:27" x14ac:dyDescent="0.3">
      <c r="A125" s="11">
        <f t="shared" si="77"/>
        <v>0</v>
      </c>
      <c r="B125" s="11">
        <f t="shared" si="77"/>
        <v>0</v>
      </c>
      <c r="C125" s="11">
        <f t="shared" si="77"/>
        <v>0</v>
      </c>
      <c r="D125" s="11">
        <f t="shared" si="77"/>
        <v>0</v>
      </c>
      <c r="E125" s="11">
        <f t="shared" si="77"/>
        <v>0</v>
      </c>
      <c r="F125" s="11">
        <f t="shared" si="77"/>
        <v>0</v>
      </c>
      <c r="G125" s="11">
        <f t="shared" si="77"/>
        <v>0</v>
      </c>
      <c r="H125" s="11">
        <f t="shared" si="77"/>
        <v>0</v>
      </c>
      <c r="I125" s="11">
        <f t="shared" si="77"/>
        <v>0</v>
      </c>
      <c r="J125" s="11">
        <f t="shared" si="77"/>
        <v>0</v>
      </c>
      <c r="K125" s="11">
        <f t="shared" si="77"/>
        <v>0</v>
      </c>
      <c r="L125" s="11">
        <f t="shared" si="77"/>
        <v>0</v>
      </c>
      <c r="M125" s="13" t="s">
        <v>184</v>
      </c>
      <c r="N125" s="11">
        <f t="shared" si="78"/>
        <v>0</v>
      </c>
      <c r="O125" s="11">
        <f t="shared" si="79"/>
        <v>0</v>
      </c>
      <c r="P125" s="11">
        <f t="shared" si="44"/>
        <v>0</v>
      </c>
      <c r="Q125" s="11">
        <v>0</v>
      </c>
      <c r="R125" s="11">
        <f t="shared" si="80"/>
        <v>0</v>
      </c>
      <c r="S125" s="11"/>
      <c r="T125" s="11"/>
      <c r="U125" s="11">
        <v>0</v>
      </c>
      <c r="V125" s="11">
        <f t="shared" si="45"/>
        <v>0</v>
      </c>
      <c r="W125" s="11"/>
      <c r="X125" s="160">
        <f t="shared" si="46"/>
        <v>0</v>
      </c>
      <c r="Y125" s="295">
        <f t="shared" si="43"/>
        <v>0</v>
      </c>
      <c r="Z125" s="11"/>
      <c r="AA125" s="182"/>
    </row>
    <row r="126" spans="1:27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13"/>
      <c r="N126" s="7">
        <f t="shared" si="47"/>
        <v>0</v>
      </c>
      <c r="O126" s="7">
        <f t="shared" si="48"/>
        <v>0</v>
      </c>
      <c r="P126" s="7">
        <f t="shared" si="44"/>
        <v>0</v>
      </c>
      <c r="Q126" s="7">
        <v>0</v>
      </c>
      <c r="R126" s="7"/>
      <c r="S126" s="7"/>
      <c r="T126" s="7"/>
      <c r="U126" s="7">
        <v>0</v>
      </c>
      <c r="V126" s="7">
        <f t="shared" si="45"/>
        <v>0</v>
      </c>
      <c r="W126" s="7"/>
      <c r="X126" s="159">
        <f t="shared" si="46"/>
        <v>0</v>
      </c>
      <c r="Y126" s="295">
        <f t="shared" si="43"/>
        <v>0</v>
      </c>
      <c r="Z126" s="7"/>
      <c r="AA126" s="182"/>
    </row>
    <row r="127" spans="1:27" x14ac:dyDescent="0.3">
      <c r="A127" s="4">
        <f>SUM(A114:A125)</f>
        <v>0</v>
      </c>
      <c r="B127" s="4">
        <f t="shared" ref="B127:L127" si="81">SUM(B114:B125)</f>
        <v>0</v>
      </c>
      <c r="C127" s="4">
        <f t="shared" si="81"/>
        <v>0</v>
      </c>
      <c r="D127" s="4">
        <f t="shared" si="81"/>
        <v>0</v>
      </c>
      <c r="E127" s="4">
        <f t="shared" si="81"/>
        <v>0</v>
      </c>
      <c r="F127" s="4">
        <f t="shared" si="81"/>
        <v>0</v>
      </c>
      <c r="G127" s="4">
        <f t="shared" si="81"/>
        <v>0</v>
      </c>
      <c r="H127" s="4">
        <f t="shared" si="81"/>
        <v>0</v>
      </c>
      <c r="I127" s="4">
        <f t="shared" si="81"/>
        <v>0</v>
      </c>
      <c r="J127" s="4">
        <f t="shared" si="81"/>
        <v>0</v>
      </c>
      <c r="K127" s="4">
        <f t="shared" si="81"/>
        <v>0</v>
      </c>
      <c r="L127" s="4">
        <f t="shared" si="81"/>
        <v>0</v>
      </c>
      <c r="M127" s="13" t="s">
        <v>185</v>
      </c>
      <c r="N127" s="4">
        <f t="shared" ref="N127:P127" si="82">SUM(N114:N125)</f>
        <v>0</v>
      </c>
      <c r="O127" s="4">
        <f t="shared" si="82"/>
        <v>0</v>
      </c>
      <c r="P127" s="4">
        <f t="shared" si="82"/>
        <v>0</v>
      </c>
      <c r="Q127" s="4">
        <v>0</v>
      </c>
      <c r="R127" s="4">
        <f t="shared" ref="R127:W127" si="83">SUM(R114:R125)</f>
        <v>0</v>
      </c>
      <c r="S127" s="4">
        <v>0</v>
      </c>
      <c r="T127" s="4">
        <v>0</v>
      </c>
      <c r="U127" s="4">
        <v>0</v>
      </c>
      <c r="V127" s="4">
        <f t="shared" si="45"/>
        <v>0</v>
      </c>
      <c r="W127" s="4">
        <f t="shared" si="83"/>
        <v>0</v>
      </c>
      <c r="X127" s="162">
        <f t="shared" si="46"/>
        <v>0</v>
      </c>
      <c r="Y127" s="295">
        <f t="shared" si="43"/>
        <v>0</v>
      </c>
      <c r="Z127" s="4"/>
      <c r="AA127" s="182"/>
    </row>
    <row r="128" spans="1:27" x14ac:dyDescent="0.3">
      <c r="A128" s="82"/>
      <c r="B128" s="81"/>
      <c r="C128" s="81"/>
      <c r="D128" s="82"/>
      <c r="E128" s="86"/>
      <c r="F128" s="86"/>
      <c r="G128" s="86"/>
      <c r="H128" s="86"/>
      <c r="I128" s="87"/>
      <c r="J128" s="87"/>
      <c r="K128" s="88"/>
      <c r="L128" s="88"/>
      <c r="M128" s="122"/>
      <c r="N128" s="86">
        <f t="shared" si="47"/>
        <v>0</v>
      </c>
      <c r="O128" s="86">
        <f t="shared" si="48"/>
        <v>0</v>
      </c>
      <c r="P128" s="86">
        <f t="shared" si="44"/>
        <v>0</v>
      </c>
      <c r="Q128" s="81">
        <v>0</v>
      </c>
      <c r="R128" s="81"/>
      <c r="S128" s="81"/>
      <c r="T128" s="81"/>
      <c r="U128" s="81">
        <v>0</v>
      </c>
      <c r="V128" s="81">
        <f t="shared" si="45"/>
        <v>0</v>
      </c>
      <c r="W128" s="81"/>
      <c r="X128" s="204"/>
      <c r="Y128" s="295">
        <f t="shared" si="43"/>
        <v>0</v>
      </c>
      <c r="Z128" s="81"/>
      <c r="AA128" s="182"/>
    </row>
    <row r="129" spans="1:27" x14ac:dyDescent="0.3">
      <c r="A129" s="4">
        <f>A112+A127</f>
        <v>84415.736300000004</v>
      </c>
      <c r="B129" s="4">
        <f t="shared" ref="B129:L129" si="84">B112+B127</f>
        <v>88863.338440000007</v>
      </c>
      <c r="C129" s="4">
        <f t="shared" si="84"/>
        <v>263766.10522720002</v>
      </c>
      <c r="D129" s="4">
        <f t="shared" si="84"/>
        <v>206760.14522720003</v>
      </c>
      <c r="E129" s="4">
        <f t="shared" si="84"/>
        <v>206760.14522720003</v>
      </c>
      <c r="F129" s="4">
        <f t="shared" si="84"/>
        <v>568958.18522720004</v>
      </c>
      <c r="G129" s="4">
        <f t="shared" si="84"/>
        <v>258478.90330720003</v>
      </c>
      <c r="H129" s="4">
        <f t="shared" si="84"/>
        <v>246760.56710963504</v>
      </c>
      <c r="I129" s="4">
        <f t="shared" si="84"/>
        <v>206760.14522720003</v>
      </c>
      <c r="J129" s="4">
        <f t="shared" si="84"/>
        <v>206760.14522720003</v>
      </c>
      <c r="K129" s="4">
        <f t="shared" si="84"/>
        <v>238881.34522720004</v>
      </c>
      <c r="L129" s="4">
        <f t="shared" si="84"/>
        <v>210562.05210112405</v>
      </c>
      <c r="M129" s="13" t="s">
        <v>186</v>
      </c>
      <c r="N129" s="4">
        <f t="shared" ref="N129:R129" si="85">N112+N127</f>
        <v>0</v>
      </c>
      <c r="O129" s="4">
        <f t="shared" si="85"/>
        <v>2787726.8138483595</v>
      </c>
      <c r="P129" s="4">
        <f t="shared" si="85"/>
        <v>2787726.8138483595</v>
      </c>
      <c r="Q129" s="4">
        <v>2787726.8138483595</v>
      </c>
      <c r="R129" s="4">
        <f t="shared" si="85"/>
        <v>0</v>
      </c>
      <c r="S129" s="4">
        <v>0</v>
      </c>
      <c r="T129" s="4">
        <v>-154769</v>
      </c>
      <c r="U129" s="4">
        <v>2541671.9388740752</v>
      </c>
      <c r="V129" s="4">
        <f t="shared" si="45"/>
        <v>-246054.87497428432</v>
      </c>
      <c r="W129" s="4">
        <f>W112+W127</f>
        <v>0</v>
      </c>
      <c r="X129" s="162">
        <f t="shared" si="46"/>
        <v>0</v>
      </c>
      <c r="Y129" s="295">
        <f t="shared" si="43"/>
        <v>2541671.9388740752</v>
      </c>
      <c r="Z129" s="4"/>
      <c r="AA129" s="182"/>
    </row>
    <row r="131" spans="1:27" x14ac:dyDescent="0.3">
      <c r="N131" s="167"/>
      <c r="O131" s="167"/>
      <c r="P131" s="167"/>
      <c r="Q131" s="167"/>
    </row>
    <row r="132" spans="1:27" x14ac:dyDescent="0.3">
      <c r="Q132" s="167"/>
      <c r="R132" s="353"/>
      <c r="S132" s="353"/>
    </row>
  </sheetData>
  <mergeCells count="1">
    <mergeCell ref="A3:L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AD133"/>
  <sheetViews>
    <sheetView zoomScale="70" zoomScaleNormal="70" workbookViewId="0">
      <pane xSplit="13" ySplit="6" topLeftCell="N40" activePane="bottomRight" state="frozen"/>
      <selection pane="topRight" activeCell="N1" sqref="N1"/>
      <selection pane="bottomLeft" activeCell="A7" sqref="A7"/>
      <selection pane="bottomRight" activeCell="Q42" sqref="Q42"/>
    </sheetView>
  </sheetViews>
  <sheetFormatPr defaultRowHeight="14.4" x14ac:dyDescent="0.3"/>
  <cols>
    <col min="1" max="7" width="12.5546875" bestFit="1" customWidth="1"/>
    <col min="8" max="8" width="13.5546875" bestFit="1" customWidth="1"/>
    <col min="9" max="12" width="12.5546875" bestFit="1" customWidth="1"/>
    <col min="13" max="13" width="61.33203125" bestFit="1" customWidth="1"/>
    <col min="14" max="15" width="13.6640625" customWidth="1"/>
    <col min="16" max="16" width="15.5546875" customWidth="1"/>
    <col min="17" max="17" width="16.5546875" customWidth="1"/>
    <col min="18" max="18" width="16" hidden="1" customWidth="1"/>
    <col min="19" max="19" width="14.5546875" style="167" hidden="1" customWidth="1"/>
    <col min="20" max="22" width="13.6640625" style="167" hidden="1" customWidth="1"/>
    <col min="23" max="23" width="33.6640625" hidden="1" customWidth="1"/>
    <col min="24" max="24" width="17.33203125" customWidth="1"/>
    <col min="25" max="25" width="9.109375" customWidth="1"/>
    <col min="26" max="26" width="13.6640625" style="167" bestFit="1" customWidth="1"/>
    <col min="27" max="27" width="13.33203125" style="167" customWidth="1"/>
    <col min="28" max="28" width="13.5546875" bestFit="1" customWidth="1"/>
    <col min="29" max="29" width="10.6640625" bestFit="1" customWidth="1"/>
    <col min="30" max="30" width="13" bestFit="1" customWidth="1"/>
  </cols>
  <sheetData>
    <row r="2" spans="1:27" x14ac:dyDescent="0.3">
      <c r="C2" t="s">
        <v>412</v>
      </c>
    </row>
    <row r="3" spans="1:27" x14ac:dyDescent="0.3">
      <c r="A3" s="408" t="s">
        <v>231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14" t="s">
        <v>69</v>
      </c>
      <c r="N3" s="424" t="s">
        <v>226</v>
      </c>
      <c r="O3" s="425"/>
      <c r="P3" s="425"/>
      <c r="Q3" s="425"/>
      <c r="R3" s="425"/>
      <c r="S3" s="425"/>
      <c r="T3" s="425"/>
      <c r="U3" s="425"/>
      <c r="V3" s="425"/>
      <c r="W3" s="425"/>
      <c r="X3" s="125"/>
    </row>
    <row r="4" spans="1:27" ht="62.25" customHeight="1" x14ac:dyDescent="0.3">
      <c r="A4" s="125">
        <v>44287</v>
      </c>
      <c r="B4" s="125">
        <v>44317</v>
      </c>
      <c r="C4" s="125">
        <v>44348</v>
      </c>
      <c r="D4" s="125">
        <v>44378</v>
      </c>
      <c r="E4" s="125">
        <v>44409</v>
      </c>
      <c r="F4" s="125">
        <v>44440</v>
      </c>
      <c r="G4" s="125">
        <v>44470</v>
      </c>
      <c r="H4" s="125">
        <v>44501</v>
      </c>
      <c r="I4" s="125">
        <v>44531</v>
      </c>
      <c r="J4" s="125">
        <v>44562</v>
      </c>
      <c r="K4" s="125">
        <v>44593</v>
      </c>
      <c r="L4" s="125">
        <v>44621</v>
      </c>
      <c r="M4" s="429" t="s">
        <v>260</v>
      </c>
      <c r="N4" s="243" t="s">
        <v>411</v>
      </c>
      <c r="O4" s="243" t="s">
        <v>413</v>
      </c>
      <c r="P4" s="243" t="s">
        <v>407</v>
      </c>
      <c r="Q4" s="243" t="s">
        <v>407</v>
      </c>
      <c r="R4" s="243" t="s">
        <v>228</v>
      </c>
      <c r="S4" s="243" t="s">
        <v>378</v>
      </c>
      <c r="T4" s="243" t="s">
        <v>294</v>
      </c>
      <c r="U4" s="243" t="s">
        <v>74</v>
      </c>
      <c r="V4" s="243" t="s">
        <v>295</v>
      </c>
      <c r="W4" s="243" t="s">
        <v>229</v>
      </c>
      <c r="X4" s="125" t="s">
        <v>271</v>
      </c>
    </row>
    <row r="5" spans="1:27" ht="27.6" customHeight="1" x14ac:dyDescent="0.3">
      <c r="A5" s="10" t="s">
        <v>1</v>
      </c>
      <c r="B5" s="10" t="s">
        <v>1</v>
      </c>
      <c r="C5" s="10" t="s">
        <v>1</v>
      </c>
      <c r="D5" s="10" t="s">
        <v>1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430"/>
      <c r="N5" s="201" t="s">
        <v>2</v>
      </c>
      <c r="O5" s="10" t="s">
        <v>1</v>
      </c>
      <c r="P5" s="289" t="s">
        <v>502</v>
      </c>
      <c r="Q5" s="289" t="s">
        <v>241</v>
      </c>
      <c r="R5" s="10" t="s">
        <v>399</v>
      </c>
      <c r="S5" s="289" t="s">
        <v>235</v>
      </c>
      <c r="T5" s="289" t="s">
        <v>235</v>
      </c>
      <c r="U5" s="289" t="s">
        <v>235</v>
      </c>
      <c r="V5" s="10" t="s">
        <v>399</v>
      </c>
      <c r="W5" s="10" t="s">
        <v>400</v>
      </c>
      <c r="X5" s="10" t="s">
        <v>13</v>
      </c>
    </row>
    <row r="6" spans="1:27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24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7" x14ac:dyDescent="0.3">
      <c r="A7" s="8">
        <v>0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238" t="s">
        <v>414</v>
      </c>
      <c r="N7" s="8">
        <f>SUM(0)</f>
        <v>0</v>
      </c>
      <c r="O7" s="8">
        <f>SUM(A7:L7)</f>
        <v>0</v>
      </c>
      <c r="P7" s="8">
        <f>SUM(N7:O7)</f>
        <v>0</v>
      </c>
      <c r="Q7" s="8">
        <v>0</v>
      </c>
      <c r="R7" s="8">
        <f>Q7-P7</f>
        <v>0</v>
      </c>
      <c r="S7" s="8"/>
      <c r="T7" s="8"/>
      <c r="U7" s="8">
        <v>0</v>
      </c>
      <c r="V7" s="8">
        <f>U7-P7</f>
        <v>0</v>
      </c>
      <c r="W7" s="8"/>
      <c r="X7" s="158"/>
    </row>
    <row r="8" spans="1:27" x14ac:dyDescent="0.3">
      <c r="A8" s="7">
        <f>405420.41*1.058</f>
        <v>428934.79378000001</v>
      </c>
      <c r="B8" s="7">
        <f>405420.41*1.058</f>
        <v>428934.79378000001</v>
      </c>
      <c r="C8" s="7">
        <f t="shared" ref="C8:K8" si="0">414326.67*1.058</f>
        <v>438357.61686000001</v>
      </c>
      <c r="D8" s="7">
        <f t="shared" si="0"/>
        <v>438357.61686000001</v>
      </c>
      <c r="E8" s="7">
        <f t="shared" si="0"/>
        <v>438357.61686000001</v>
      </c>
      <c r="F8" s="7">
        <f t="shared" si="0"/>
        <v>438357.61686000001</v>
      </c>
      <c r="G8" s="7">
        <f t="shared" si="0"/>
        <v>438357.61686000001</v>
      </c>
      <c r="H8" s="7">
        <f t="shared" si="0"/>
        <v>438357.61686000001</v>
      </c>
      <c r="I8" s="7">
        <f t="shared" si="0"/>
        <v>438357.61686000001</v>
      </c>
      <c r="J8" s="7">
        <f t="shared" si="0"/>
        <v>438357.61686000001</v>
      </c>
      <c r="K8" s="7">
        <f t="shared" si="0"/>
        <v>438357.61686000001</v>
      </c>
      <c r="L8" s="7">
        <f>(414326.67*1.058)+390.12</f>
        <v>438747.73686</v>
      </c>
      <c r="M8" s="13" t="s">
        <v>415</v>
      </c>
      <c r="N8" s="7">
        <f t="shared" ref="N8:N16" si="1">SUM(0)</f>
        <v>0</v>
      </c>
      <c r="O8" s="7">
        <f t="shared" ref="O8:O16" si="2">SUM(A8:L8)</f>
        <v>5241835.8761600005</v>
      </c>
      <c r="P8" s="7">
        <f>SUM(N8:O8)</f>
        <v>5241835.8761600005</v>
      </c>
      <c r="Q8" s="7">
        <v>5241835.8761600005</v>
      </c>
      <c r="R8" s="7">
        <f t="shared" ref="R8:R16" si="3">Q8-P8</f>
        <v>0</v>
      </c>
      <c r="S8" s="7"/>
      <c r="T8" s="7">
        <v>-272457</v>
      </c>
      <c r="U8" s="7">
        <v>4315695.65068</v>
      </c>
      <c r="V8" s="7">
        <f t="shared" ref="V8:V71" si="4">U8-P8</f>
        <v>-926140.22548000049</v>
      </c>
      <c r="W8" s="7" t="s">
        <v>393</v>
      </c>
      <c r="X8" s="159">
        <f>IFERROR(N8/Q8,0)</f>
        <v>0</v>
      </c>
      <c r="Z8" s="182"/>
      <c r="AA8" s="182"/>
    </row>
    <row r="9" spans="1:27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>
        <v>6568.4448000000002</v>
      </c>
      <c r="M9" s="13" t="s">
        <v>416</v>
      </c>
      <c r="N9" s="7">
        <f t="shared" si="1"/>
        <v>0</v>
      </c>
      <c r="O9" s="7">
        <f t="shared" si="2"/>
        <v>6568.4448000000002</v>
      </c>
      <c r="P9" s="7">
        <f t="shared" ref="P9:Q71" si="5">SUM(N9:O9)</f>
        <v>6568.4448000000002</v>
      </c>
      <c r="Q9" s="7">
        <v>6568.4448000000002</v>
      </c>
      <c r="R9" s="7">
        <f t="shared" si="3"/>
        <v>0</v>
      </c>
      <c r="S9" s="7"/>
      <c r="T9" s="7"/>
      <c r="U9" s="7">
        <v>7112.3679760199984</v>
      </c>
      <c r="V9" s="7">
        <f t="shared" si="4"/>
        <v>543.92317601999821</v>
      </c>
      <c r="W9" s="7"/>
      <c r="X9" s="159">
        <f t="shared" ref="X9:X72" si="6">IFERROR(N9/Q9,0)</f>
        <v>0</v>
      </c>
      <c r="Z9" s="182"/>
      <c r="AA9" s="182"/>
    </row>
    <row r="10" spans="1:27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3" t="s">
        <v>417</v>
      </c>
      <c r="N10" s="7">
        <f t="shared" si="1"/>
        <v>0</v>
      </c>
      <c r="O10" s="7">
        <f t="shared" si="2"/>
        <v>0</v>
      </c>
      <c r="P10" s="7">
        <f t="shared" si="5"/>
        <v>0</v>
      </c>
      <c r="Q10" s="7">
        <v>0</v>
      </c>
      <c r="R10" s="7">
        <f t="shared" si="3"/>
        <v>0</v>
      </c>
      <c r="S10" s="7"/>
      <c r="T10" s="7"/>
      <c r="U10" s="7">
        <v>0</v>
      </c>
      <c r="V10" s="7">
        <f t="shared" si="4"/>
        <v>0</v>
      </c>
      <c r="W10" s="7"/>
      <c r="X10" s="159">
        <f t="shared" si="6"/>
        <v>0</v>
      </c>
      <c r="Z10" s="182"/>
      <c r="AA10" s="182"/>
    </row>
    <row r="11" spans="1:27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3" t="s">
        <v>418</v>
      </c>
      <c r="N11" s="7">
        <f t="shared" si="1"/>
        <v>0</v>
      </c>
      <c r="O11" s="7">
        <f t="shared" si="2"/>
        <v>0</v>
      </c>
      <c r="P11" s="7">
        <f t="shared" si="5"/>
        <v>0</v>
      </c>
      <c r="Q11" s="7">
        <v>0</v>
      </c>
      <c r="R11" s="7">
        <f t="shared" si="3"/>
        <v>0</v>
      </c>
      <c r="S11" s="7"/>
      <c r="T11" s="7"/>
      <c r="U11" s="7">
        <v>0</v>
      </c>
      <c r="V11" s="7">
        <f t="shared" si="4"/>
        <v>0</v>
      </c>
      <c r="W11" s="7"/>
      <c r="X11" s="159">
        <f t="shared" si="6"/>
        <v>0</v>
      </c>
      <c r="Z11" s="182"/>
      <c r="AA11" s="182"/>
    </row>
    <row r="12" spans="1:27" x14ac:dyDescent="0.3">
      <c r="A12" s="7">
        <f>3251.49*1.048</f>
        <v>3407.5615199999997</v>
      </c>
      <c r="B12" s="7">
        <f t="shared" ref="B12:L12" si="7">3251.49*1.048</f>
        <v>3407.5615199999997</v>
      </c>
      <c r="C12" s="7">
        <f t="shared" si="7"/>
        <v>3407.5615199999997</v>
      </c>
      <c r="D12" s="7">
        <f t="shared" si="7"/>
        <v>3407.5615199999997</v>
      </c>
      <c r="E12" s="7">
        <f t="shared" si="7"/>
        <v>3407.5615199999997</v>
      </c>
      <c r="F12" s="7">
        <f t="shared" si="7"/>
        <v>3407.5615199999997</v>
      </c>
      <c r="G12" s="7">
        <f t="shared" si="7"/>
        <v>3407.5615199999997</v>
      </c>
      <c r="H12" s="7">
        <f t="shared" si="7"/>
        <v>3407.5615199999997</v>
      </c>
      <c r="I12" s="7">
        <f t="shared" si="7"/>
        <v>3407.5615199999997</v>
      </c>
      <c r="J12" s="7">
        <f t="shared" si="7"/>
        <v>3407.5615199999997</v>
      </c>
      <c r="K12" s="7">
        <f t="shared" si="7"/>
        <v>3407.5615199999997</v>
      </c>
      <c r="L12" s="7">
        <f t="shared" si="7"/>
        <v>3407.5615199999997</v>
      </c>
      <c r="M12" s="13" t="s">
        <v>419</v>
      </c>
      <c r="N12" s="7">
        <f t="shared" si="1"/>
        <v>0</v>
      </c>
      <c r="O12" s="7">
        <f t="shared" si="2"/>
        <v>40890.738240000006</v>
      </c>
      <c r="P12" s="7">
        <f>SUM(N12:O12)</f>
        <v>40890.738240000006</v>
      </c>
      <c r="Q12" s="7">
        <v>40890.738240000006</v>
      </c>
      <c r="R12" s="7">
        <f t="shared" si="3"/>
        <v>0</v>
      </c>
      <c r="S12" s="7"/>
      <c r="T12" s="7"/>
      <c r="U12" s="7">
        <v>39477.64</v>
      </c>
      <c r="V12" s="7">
        <f t="shared" si="4"/>
        <v>-1413.0982400000066</v>
      </c>
      <c r="W12" s="7"/>
      <c r="X12" s="159">
        <f>IFERROR(N12/Q12,0)</f>
        <v>0</v>
      </c>
      <c r="Z12" s="182"/>
      <c r="AA12" s="182"/>
    </row>
    <row r="13" spans="1:27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3" t="s">
        <v>420</v>
      </c>
      <c r="N13" s="7">
        <f t="shared" si="1"/>
        <v>0</v>
      </c>
      <c r="O13" s="7">
        <f t="shared" si="2"/>
        <v>0</v>
      </c>
      <c r="P13" s="7">
        <f t="shared" si="5"/>
        <v>0</v>
      </c>
      <c r="Q13" s="7">
        <v>0</v>
      </c>
      <c r="R13" s="7">
        <f t="shared" si="3"/>
        <v>0</v>
      </c>
      <c r="S13" s="7"/>
      <c r="T13" s="7"/>
      <c r="U13" s="7">
        <v>0</v>
      </c>
      <c r="V13" s="7">
        <f t="shared" si="4"/>
        <v>0</v>
      </c>
      <c r="W13" s="7"/>
      <c r="X13" s="159">
        <f t="shared" si="6"/>
        <v>0</v>
      </c>
      <c r="Z13" s="182"/>
      <c r="AA13" s="182"/>
    </row>
    <row r="14" spans="1:27" x14ac:dyDescent="0.3">
      <c r="A14" s="7"/>
      <c r="B14" s="7"/>
      <c r="C14" s="7"/>
      <c r="D14" s="7"/>
      <c r="E14" s="7"/>
      <c r="F14" s="7"/>
      <c r="G14" s="7"/>
      <c r="H14" s="7">
        <f>295239.99</f>
        <v>295239.99</v>
      </c>
      <c r="I14" s="7"/>
      <c r="J14" s="7"/>
      <c r="K14" s="7"/>
      <c r="L14" s="7"/>
      <c r="M14" s="13" t="s">
        <v>421</v>
      </c>
      <c r="N14" s="7">
        <f t="shared" si="1"/>
        <v>0</v>
      </c>
      <c r="O14" s="7">
        <f t="shared" si="2"/>
        <v>295239.99</v>
      </c>
      <c r="P14" s="7">
        <f t="shared" si="5"/>
        <v>295239.99</v>
      </c>
      <c r="Q14" s="7">
        <v>295239.99</v>
      </c>
      <c r="R14" s="7">
        <f t="shared" si="3"/>
        <v>0</v>
      </c>
      <c r="S14" s="7"/>
      <c r="T14" s="7">
        <v>-34609</v>
      </c>
      <c r="U14" s="7">
        <v>295239.94961252168</v>
      </c>
      <c r="V14" s="7">
        <f t="shared" si="4"/>
        <v>-4.0387478307820857E-2</v>
      </c>
      <c r="W14" s="7" t="s">
        <v>394</v>
      </c>
      <c r="X14" s="159">
        <f t="shared" si="6"/>
        <v>0</v>
      </c>
      <c r="Z14" s="182"/>
      <c r="AA14" s="182"/>
    </row>
    <row r="15" spans="1:27" x14ac:dyDescent="0.3">
      <c r="A15" s="7"/>
      <c r="B15" s="7"/>
      <c r="C15" s="7"/>
      <c r="D15" s="7"/>
      <c r="E15" s="7"/>
      <c r="F15" s="7">
        <v>0</v>
      </c>
      <c r="G15" s="7">
        <v>0</v>
      </c>
      <c r="H15" s="7">
        <v>0</v>
      </c>
      <c r="I15" s="7"/>
      <c r="J15" s="7"/>
      <c r="K15" s="7"/>
      <c r="L15" s="7"/>
      <c r="M15" s="13" t="s">
        <v>422</v>
      </c>
      <c r="N15" s="7">
        <f t="shared" si="1"/>
        <v>0</v>
      </c>
      <c r="O15" s="7">
        <f t="shared" si="2"/>
        <v>0</v>
      </c>
      <c r="P15" s="7">
        <f t="shared" si="5"/>
        <v>0</v>
      </c>
      <c r="Q15" s="7">
        <v>0</v>
      </c>
      <c r="R15" s="7">
        <f t="shared" si="3"/>
        <v>0</v>
      </c>
      <c r="S15" s="7"/>
      <c r="T15" s="7"/>
      <c r="U15" s="7">
        <v>24000</v>
      </c>
      <c r="V15" s="7">
        <f t="shared" si="4"/>
        <v>24000</v>
      </c>
      <c r="W15" s="7"/>
      <c r="X15" s="159">
        <f t="shared" si="6"/>
        <v>0</v>
      </c>
      <c r="Z15" s="182"/>
      <c r="AA15" s="182"/>
    </row>
    <row r="16" spans="1:27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3" t="s">
        <v>423</v>
      </c>
      <c r="N16" s="11">
        <f t="shared" si="1"/>
        <v>0</v>
      </c>
      <c r="O16" s="11">
        <f t="shared" si="2"/>
        <v>0</v>
      </c>
      <c r="P16" s="11">
        <f t="shared" si="5"/>
        <v>0</v>
      </c>
      <c r="Q16" s="11">
        <v>0</v>
      </c>
      <c r="R16" s="11">
        <f t="shared" si="3"/>
        <v>0</v>
      </c>
      <c r="S16" s="11"/>
      <c r="T16" s="11"/>
      <c r="U16" s="11">
        <v>0</v>
      </c>
      <c r="V16" s="11">
        <f t="shared" si="4"/>
        <v>0</v>
      </c>
      <c r="W16" s="11"/>
      <c r="X16" s="160">
        <f t="shared" si="6"/>
        <v>0</v>
      </c>
      <c r="Z16" s="182"/>
      <c r="AA16" s="182"/>
    </row>
    <row r="17" spans="1:27" x14ac:dyDescent="0.3">
      <c r="A17" s="81"/>
      <c r="B17" s="81"/>
      <c r="C17" s="81"/>
      <c r="D17" s="85"/>
      <c r="E17" s="83"/>
      <c r="F17" s="83"/>
      <c r="G17" s="83"/>
      <c r="H17" s="83"/>
      <c r="I17" s="83"/>
      <c r="J17" s="83"/>
      <c r="K17" s="84"/>
      <c r="L17" s="84"/>
      <c r="M17" s="13"/>
      <c r="N17" s="83">
        <f t="shared" ref="N17:N66" si="8">SUM(A17:J17)</f>
        <v>0</v>
      </c>
      <c r="O17" s="83">
        <f t="shared" ref="O17:O66" si="9">SUM(K17:L17)</f>
        <v>0</v>
      </c>
      <c r="P17" s="83">
        <f t="shared" si="5"/>
        <v>0</v>
      </c>
      <c r="Q17" s="81">
        <v>0</v>
      </c>
      <c r="R17" s="81"/>
      <c r="S17" s="81"/>
      <c r="T17" s="81"/>
      <c r="U17" s="81">
        <v>0</v>
      </c>
      <c r="V17" s="81">
        <f t="shared" si="4"/>
        <v>0</v>
      </c>
      <c r="W17" s="81"/>
      <c r="X17" s="204">
        <f t="shared" si="6"/>
        <v>0</v>
      </c>
      <c r="Z17" s="182"/>
      <c r="AA17" s="182"/>
    </row>
    <row r="18" spans="1:27" x14ac:dyDescent="0.3">
      <c r="A18" s="4">
        <f>SUM(A7:A16)</f>
        <v>432342.3553</v>
      </c>
      <c r="B18" s="4">
        <f t="shared" ref="B18:L18" si="10">SUM(B7:B16)</f>
        <v>432342.3553</v>
      </c>
      <c r="C18" s="4">
        <f t="shared" si="10"/>
        <v>441765.17838</v>
      </c>
      <c r="D18" s="4">
        <f t="shared" si="10"/>
        <v>441765.17838</v>
      </c>
      <c r="E18" s="4">
        <f t="shared" si="10"/>
        <v>441765.17838</v>
      </c>
      <c r="F18" s="4">
        <f t="shared" si="10"/>
        <v>441765.17838</v>
      </c>
      <c r="G18" s="4">
        <f t="shared" si="10"/>
        <v>441765.17838</v>
      </c>
      <c r="H18" s="4">
        <f t="shared" si="10"/>
        <v>737005.16837999993</v>
      </c>
      <c r="I18" s="4">
        <f t="shared" si="10"/>
        <v>441765.17838</v>
      </c>
      <c r="J18" s="4">
        <f t="shared" si="10"/>
        <v>441765.17838</v>
      </c>
      <c r="K18" s="4">
        <f t="shared" si="10"/>
        <v>441765.17838</v>
      </c>
      <c r="L18" s="4">
        <f t="shared" si="10"/>
        <v>448723.74317999999</v>
      </c>
      <c r="M18" s="13" t="s">
        <v>89</v>
      </c>
      <c r="N18" s="4">
        <f t="shared" ref="N18:O18" si="11">SUM(N7:N17)</f>
        <v>0</v>
      </c>
      <c r="O18" s="4">
        <f t="shared" si="11"/>
        <v>5584535.0492000002</v>
      </c>
      <c r="P18" s="4">
        <f t="shared" ref="P18" si="12">SUM(P7:P17)</f>
        <v>5584535.0492000002</v>
      </c>
      <c r="Q18" s="4">
        <f>SUM(Q7:Q17)</f>
        <v>5584535.0492000002</v>
      </c>
      <c r="R18" s="4">
        <f t="shared" ref="R18:W18" si="13">SUM(R8:R16)</f>
        <v>0</v>
      </c>
      <c r="S18" s="4">
        <v>0</v>
      </c>
      <c r="T18" s="4">
        <v>-307066</v>
      </c>
      <c r="U18" s="4">
        <v>4681525.6082685413</v>
      </c>
      <c r="V18" s="4">
        <f t="shared" si="4"/>
        <v>-903009.44093145896</v>
      </c>
      <c r="W18" s="4">
        <f t="shared" si="13"/>
        <v>0</v>
      </c>
      <c r="X18" s="162">
        <f t="shared" si="6"/>
        <v>0</v>
      </c>
      <c r="Z18" s="182">
        <v>5282726.6112717334</v>
      </c>
      <c r="AA18" s="182">
        <f>Q18-Z18</f>
        <v>301808.43792826682</v>
      </c>
    </row>
    <row r="19" spans="1:27" x14ac:dyDescent="0.3">
      <c r="A19" s="81"/>
      <c r="B19" s="81"/>
      <c r="C19" s="81"/>
      <c r="D19" s="82"/>
      <c r="E19" s="86"/>
      <c r="F19" s="86"/>
      <c r="G19" s="86"/>
      <c r="H19" s="87"/>
      <c r="I19" s="87"/>
      <c r="J19" s="87"/>
      <c r="K19" s="88"/>
      <c r="L19" s="88"/>
      <c r="M19" s="122"/>
      <c r="N19" s="86">
        <f t="shared" si="8"/>
        <v>0</v>
      </c>
      <c r="O19" s="86">
        <f t="shared" si="9"/>
        <v>0</v>
      </c>
      <c r="P19" s="86">
        <f t="shared" si="5"/>
        <v>0</v>
      </c>
      <c r="Q19" s="81">
        <v>0</v>
      </c>
      <c r="R19" s="81"/>
      <c r="S19" s="81"/>
      <c r="T19" s="81"/>
      <c r="U19" s="81">
        <v>0</v>
      </c>
      <c r="V19" s="81">
        <f t="shared" si="4"/>
        <v>0</v>
      </c>
      <c r="W19" s="81"/>
      <c r="X19" s="204">
        <f t="shared" si="6"/>
        <v>0</v>
      </c>
      <c r="Z19" s="182"/>
      <c r="AA19" s="182"/>
    </row>
    <row r="20" spans="1:27" x14ac:dyDescent="0.3">
      <c r="A20" s="228">
        <f>10330*1.048</f>
        <v>10825.84</v>
      </c>
      <c r="B20" s="228">
        <f t="shared" ref="B20:L20" si="14">10330*1.048</f>
        <v>10825.84</v>
      </c>
      <c r="C20" s="228">
        <f t="shared" si="14"/>
        <v>10825.84</v>
      </c>
      <c r="D20" s="228">
        <f t="shared" si="14"/>
        <v>10825.84</v>
      </c>
      <c r="E20" s="228">
        <f t="shared" si="14"/>
        <v>10825.84</v>
      </c>
      <c r="F20" s="228">
        <f t="shared" si="14"/>
        <v>10825.84</v>
      </c>
      <c r="G20" s="228">
        <f t="shared" si="14"/>
        <v>10825.84</v>
      </c>
      <c r="H20" s="228">
        <f t="shared" si="14"/>
        <v>10825.84</v>
      </c>
      <c r="I20" s="228">
        <f t="shared" si="14"/>
        <v>10825.84</v>
      </c>
      <c r="J20" s="228">
        <f t="shared" si="14"/>
        <v>10825.84</v>
      </c>
      <c r="K20" s="228">
        <f t="shared" si="14"/>
        <v>10825.84</v>
      </c>
      <c r="L20" s="228">
        <f t="shared" si="14"/>
        <v>10825.84</v>
      </c>
      <c r="M20" s="238" t="s">
        <v>424</v>
      </c>
      <c r="N20" s="8">
        <f t="shared" ref="N20:N26" si="15">SUM(0)</f>
        <v>0</v>
      </c>
      <c r="O20" s="8">
        <f t="shared" ref="O20:O26" si="16">SUM(A20:L20)</f>
        <v>129910.07999999997</v>
      </c>
      <c r="P20" s="8">
        <f t="shared" si="5"/>
        <v>129910.07999999997</v>
      </c>
      <c r="Q20" s="8">
        <v>129910.07999999997</v>
      </c>
      <c r="R20" s="8">
        <f t="shared" ref="R20:R26" si="17">Q20-P20</f>
        <v>0</v>
      </c>
      <c r="S20" s="8">
        <v>70000</v>
      </c>
      <c r="T20" s="8"/>
      <c r="U20" s="8">
        <v>187945</v>
      </c>
      <c r="V20" s="8">
        <f t="shared" si="4"/>
        <v>58034.920000000027</v>
      </c>
      <c r="W20" s="8"/>
      <c r="X20" s="158">
        <f>IFERROR(N20/Q20,0)</f>
        <v>0</v>
      </c>
      <c r="Z20" s="182"/>
      <c r="AA20" s="182"/>
    </row>
    <row r="21" spans="1:27" x14ac:dyDescent="0.3">
      <c r="A21" s="7">
        <v>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13" t="s">
        <v>425</v>
      </c>
      <c r="N21" s="7">
        <f t="shared" si="15"/>
        <v>0</v>
      </c>
      <c r="O21" s="7">
        <f t="shared" si="16"/>
        <v>0</v>
      </c>
      <c r="P21" s="7">
        <f t="shared" si="5"/>
        <v>0</v>
      </c>
      <c r="Q21" s="7">
        <v>0</v>
      </c>
      <c r="R21" s="7">
        <f t="shared" si="17"/>
        <v>0</v>
      </c>
      <c r="S21" s="7">
        <v>0</v>
      </c>
      <c r="T21" s="7">
        <v>0</v>
      </c>
      <c r="U21" s="7">
        <v>0</v>
      </c>
      <c r="V21" s="7">
        <f t="shared" si="4"/>
        <v>0</v>
      </c>
      <c r="W21" s="7"/>
      <c r="X21" s="159">
        <f t="shared" si="6"/>
        <v>0</v>
      </c>
      <c r="Z21" s="182"/>
      <c r="AA21" s="182"/>
    </row>
    <row r="22" spans="1:27" x14ac:dyDescent="0.3">
      <c r="A22" s="7">
        <v>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13" t="s">
        <v>426</v>
      </c>
      <c r="N22" s="7">
        <f t="shared" si="15"/>
        <v>0</v>
      </c>
      <c r="O22" s="7">
        <f t="shared" si="16"/>
        <v>0</v>
      </c>
      <c r="P22" s="7">
        <f t="shared" si="5"/>
        <v>0</v>
      </c>
      <c r="Q22" s="7">
        <v>0</v>
      </c>
      <c r="R22" s="7">
        <f t="shared" si="17"/>
        <v>0</v>
      </c>
      <c r="S22" s="7"/>
      <c r="T22" s="7"/>
      <c r="U22" s="7">
        <v>0</v>
      </c>
      <c r="V22" s="7">
        <f t="shared" si="4"/>
        <v>0</v>
      </c>
      <c r="W22" s="7"/>
      <c r="X22" s="159">
        <f t="shared" si="6"/>
        <v>0</v>
      </c>
      <c r="Z22" s="182"/>
      <c r="AA22" s="182"/>
    </row>
    <row r="23" spans="1:27" x14ac:dyDescent="0.3">
      <c r="A23" s="7">
        <v>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125" t="s">
        <v>427</v>
      </c>
      <c r="N23" s="7">
        <f t="shared" si="15"/>
        <v>0</v>
      </c>
      <c r="O23" s="7">
        <f t="shared" si="16"/>
        <v>0</v>
      </c>
      <c r="P23" s="7">
        <f t="shared" si="5"/>
        <v>0</v>
      </c>
      <c r="Q23" s="7">
        <v>0</v>
      </c>
      <c r="R23" s="7">
        <f t="shared" si="17"/>
        <v>0</v>
      </c>
      <c r="S23" s="7"/>
      <c r="T23" s="7"/>
      <c r="U23" s="7">
        <v>0</v>
      </c>
      <c r="V23" s="7">
        <f t="shared" si="4"/>
        <v>0</v>
      </c>
      <c r="W23" s="7"/>
      <c r="X23" s="159">
        <f t="shared" si="6"/>
        <v>0</v>
      </c>
      <c r="Z23" s="182"/>
      <c r="AA23" s="182"/>
    </row>
    <row r="24" spans="1:27" x14ac:dyDescent="0.3">
      <c r="A24" s="7">
        <v>0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125" t="s">
        <v>428</v>
      </c>
      <c r="N24" s="7">
        <f t="shared" si="15"/>
        <v>0</v>
      </c>
      <c r="O24" s="7">
        <f t="shared" si="16"/>
        <v>0</v>
      </c>
      <c r="P24" s="7">
        <f t="shared" si="5"/>
        <v>0</v>
      </c>
      <c r="Q24" s="7">
        <v>0</v>
      </c>
      <c r="R24" s="7">
        <f t="shared" si="17"/>
        <v>0</v>
      </c>
      <c r="S24" s="7"/>
      <c r="T24" s="7"/>
      <c r="U24" s="7">
        <v>0</v>
      </c>
      <c r="V24" s="7">
        <f t="shared" si="4"/>
        <v>0</v>
      </c>
      <c r="W24" s="7"/>
      <c r="X24" s="159">
        <f t="shared" si="6"/>
        <v>0</v>
      </c>
      <c r="Z24" s="182"/>
      <c r="AA24" s="182"/>
    </row>
    <row r="25" spans="1:27" x14ac:dyDescent="0.3">
      <c r="A25" s="7">
        <f>398*1.048</f>
        <v>417.10400000000004</v>
      </c>
      <c r="B25" s="7">
        <f t="shared" ref="B25:L25" si="18">398*1.048</f>
        <v>417.10400000000004</v>
      </c>
      <c r="C25" s="7">
        <f t="shared" si="18"/>
        <v>417.10400000000004</v>
      </c>
      <c r="D25" s="7">
        <f t="shared" si="18"/>
        <v>417.10400000000004</v>
      </c>
      <c r="E25" s="7">
        <f t="shared" si="18"/>
        <v>417.10400000000004</v>
      </c>
      <c r="F25" s="7">
        <f t="shared" si="18"/>
        <v>417.10400000000004</v>
      </c>
      <c r="G25" s="7">
        <f t="shared" si="18"/>
        <v>417.10400000000004</v>
      </c>
      <c r="H25" s="7">
        <f t="shared" si="18"/>
        <v>417.10400000000004</v>
      </c>
      <c r="I25" s="7">
        <f t="shared" si="18"/>
        <v>417.10400000000004</v>
      </c>
      <c r="J25" s="7">
        <f t="shared" si="18"/>
        <v>417.10400000000004</v>
      </c>
      <c r="K25" s="7">
        <f t="shared" si="18"/>
        <v>417.10400000000004</v>
      </c>
      <c r="L25" s="7">
        <f t="shared" si="18"/>
        <v>417.10400000000004</v>
      </c>
      <c r="M25" s="13" t="s">
        <v>429</v>
      </c>
      <c r="N25" s="7">
        <f t="shared" si="15"/>
        <v>0</v>
      </c>
      <c r="O25" s="7">
        <f t="shared" si="16"/>
        <v>5005.2480000000023</v>
      </c>
      <c r="P25" s="7">
        <f t="shared" si="5"/>
        <v>5005.2480000000023</v>
      </c>
      <c r="Q25" s="7">
        <v>5005.2480000000023</v>
      </c>
      <c r="R25" s="7">
        <f t="shared" si="17"/>
        <v>0</v>
      </c>
      <c r="S25" s="7"/>
      <c r="T25" s="7"/>
      <c r="U25" s="7">
        <v>4780</v>
      </c>
      <c r="V25" s="7">
        <f t="shared" si="4"/>
        <v>-225.24800000000232</v>
      </c>
      <c r="W25" s="7"/>
      <c r="X25" s="159">
        <f t="shared" si="6"/>
        <v>0</v>
      </c>
      <c r="Z25" s="182"/>
      <c r="AA25" s="182"/>
    </row>
    <row r="26" spans="1:27" x14ac:dyDescent="0.3">
      <c r="A26" s="11">
        <f t="shared" ref="A26:L26" si="19">$Q26/12</f>
        <v>0</v>
      </c>
      <c r="B26" s="11">
        <f t="shared" si="19"/>
        <v>0</v>
      </c>
      <c r="C26" s="11">
        <f t="shared" si="19"/>
        <v>0</v>
      </c>
      <c r="D26" s="11">
        <f t="shared" si="19"/>
        <v>0</v>
      </c>
      <c r="E26" s="11">
        <f t="shared" si="19"/>
        <v>0</v>
      </c>
      <c r="F26" s="11">
        <f t="shared" si="19"/>
        <v>0</v>
      </c>
      <c r="G26" s="11">
        <f t="shared" si="19"/>
        <v>0</v>
      </c>
      <c r="H26" s="11">
        <f t="shared" si="19"/>
        <v>0</v>
      </c>
      <c r="I26" s="11">
        <f t="shared" si="19"/>
        <v>0</v>
      </c>
      <c r="J26" s="11">
        <f t="shared" si="19"/>
        <v>0</v>
      </c>
      <c r="K26" s="11">
        <f t="shared" si="19"/>
        <v>0</v>
      </c>
      <c r="L26" s="11">
        <f t="shared" si="19"/>
        <v>0</v>
      </c>
      <c r="M26" s="13" t="s">
        <v>430</v>
      </c>
      <c r="N26" s="11">
        <f t="shared" si="15"/>
        <v>0</v>
      </c>
      <c r="O26" s="11">
        <f t="shared" si="16"/>
        <v>0</v>
      </c>
      <c r="P26" s="11">
        <f t="shared" si="5"/>
        <v>0</v>
      </c>
      <c r="Q26" s="11">
        <v>0</v>
      </c>
      <c r="R26" s="11">
        <f t="shared" si="17"/>
        <v>0</v>
      </c>
      <c r="S26" s="11"/>
      <c r="T26" s="11"/>
      <c r="U26" s="11">
        <v>0</v>
      </c>
      <c r="V26" s="11">
        <f t="shared" si="4"/>
        <v>0</v>
      </c>
      <c r="W26" s="11"/>
      <c r="X26" s="160">
        <f t="shared" si="6"/>
        <v>0</v>
      </c>
      <c r="Z26" s="182"/>
      <c r="AA26" s="182"/>
    </row>
    <row r="27" spans="1:27" x14ac:dyDescent="0.3">
      <c r="A27" s="81"/>
      <c r="B27" s="81"/>
      <c r="C27" s="81"/>
      <c r="D27" s="85"/>
      <c r="E27" s="83"/>
      <c r="F27" s="83"/>
      <c r="G27" s="83"/>
      <c r="H27" s="83"/>
      <c r="I27" s="83"/>
      <c r="J27" s="83"/>
      <c r="K27" s="84"/>
      <c r="L27" s="84"/>
      <c r="M27" s="13"/>
      <c r="N27" s="83">
        <f t="shared" si="8"/>
        <v>0</v>
      </c>
      <c r="O27" s="83">
        <f t="shared" si="9"/>
        <v>0</v>
      </c>
      <c r="P27" s="83">
        <f t="shared" si="5"/>
        <v>0</v>
      </c>
      <c r="Q27" s="83">
        <f t="shared" si="5"/>
        <v>0</v>
      </c>
      <c r="R27" s="81"/>
      <c r="S27" s="81"/>
      <c r="T27" s="81"/>
      <c r="U27" s="81">
        <v>0</v>
      </c>
      <c r="V27" s="81">
        <f t="shared" si="4"/>
        <v>0</v>
      </c>
      <c r="W27" s="81"/>
      <c r="X27" s="204">
        <f t="shared" si="6"/>
        <v>0</v>
      </c>
      <c r="Z27" s="182"/>
      <c r="AA27" s="182"/>
    </row>
    <row r="28" spans="1:27" x14ac:dyDescent="0.3">
      <c r="A28" s="4">
        <f>SUM(A20:A26)</f>
        <v>11242.944</v>
      </c>
      <c r="B28" s="4">
        <f t="shared" ref="B28:L28" si="20">SUM(B20:B26)</f>
        <v>11242.944</v>
      </c>
      <c r="C28" s="4">
        <f t="shared" si="20"/>
        <v>11242.944</v>
      </c>
      <c r="D28" s="4">
        <f t="shared" si="20"/>
        <v>11242.944</v>
      </c>
      <c r="E28" s="4">
        <f t="shared" si="20"/>
        <v>11242.944</v>
      </c>
      <c r="F28" s="4">
        <f t="shared" si="20"/>
        <v>11242.944</v>
      </c>
      <c r="G28" s="4">
        <f t="shared" si="20"/>
        <v>11242.944</v>
      </c>
      <c r="H28" s="4">
        <f t="shared" si="20"/>
        <v>11242.944</v>
      </c>
      <c r="I28" s="4">
        <f t="shared" si="20"/>
        <v>11242.944</v>
      </c>
      <c r="J28" s="4">
        <f t="shared" si="20"/>
        <v>11242.944</v>
      </c>
      <c r="K28" s="4">
        <f t="shared" si="20"/>
        <v>11242.944</v>
      </c>
      <c r="L28" s="4">
        <f t="shared" si="20"/>
        <v>11242.944</v>
      </c>
      <c r="M28" s="13" t="s">
        <v>97</v>
      </c>
      <c r="N28" s="4">
        <f t="shared" ref="N28:O28" si="21">SUM(N20:N26)</f>
        <v>0</v>
      </c>
      <c r="O28" s="4">
        <f t="shared" si="21"/>
        <v>134915.32799999998</v>
      </c>
      <c r="P28" s="4">
        <f t="shared" ref="P28" si="22">SUM(P20:P26)</f>
        <v>134915.32799999998</v>
      </c>
      <c r="Q28" s="4">
        <f>SUM(Q20:Q26)</f>
        <v>134915.32799999998</v>
      </c>
      <c r="R28" s="4">
        <f t="shared" ref="R28:W28" si="23">SUM(R20:R26)</f>
        <v>0</v>
      </c>
      <c r="S28" s="4">
        <v>70000</v>
      </c>
      <c r="T28" s="4">
        <v>0</v>
      </c>
      <c r="U28" s="4">
        <v>192725</v>
      </c>
      <c r="V28" s="4">
        <f t="shared" si="4"/>
        <v>57809.67200000002</v>
      </c>
      <c r="W28" s="4">
        <f t="shared" si="23"/>
        <v>0</v>
      </c>
      <c r="X28" s="162">
        <f t="shared" si="6"/>
        <v>0</v>
      </c>
      <c r="Z28" s="182"/>
      <c r="AA28" s="182"/>
    </row>
    <row r="29" spans="1:27" x14ac:dyDescent="0.3">
      <c r="A29" s="81"/>
      <c r="B29" s="81"/>
      <c r="C29" s="81"/>
      <c r="D29" s="82"/>
      <c r="E29" s="86"/>
      <c r="F29" s="86"/>
      <c r="G29" s="86"/>
      <c r="H29" s="87"/>
      <c r="I29" s="87"/>
      <c r="J29" s="87"/>
      <c r="K29" s="84"/>
      <c r="L29" s="84"/>
      <c r="M29" s="80"/>
      <c r="N29" s="86">
        <f t="shared" si="8"/>
        <v>0</v>
      </c>
      <c r="O29" s="86">
        <f t="shared" si="9"/>
        <v>0</v>
      </c>
      <c r="P29" s="86">
        <f t="shared" si="5"/>
        <v>0</v>
      </c>
      <c r="Q29" s="81">
        <v>0</v>
      </c>
      <c r="R29" s="81"/>
      <c r="S29" s="81"/>
      <c r="T29" s="81"/>
      <c r="U29" s="81">
        <v>0</v>
      </c>
      <c r="V29" s="81">
        <f t="shared" si="4"/>
        <v>0</v>
      </c>
      <c r="W29" s="81"/>
      <c r="X29" s="204">
        <f t="shared" si="6"/>
        <v>0</v>
      </c>
      <c r="Z29" s="182"/>
      <c r="AA29" s="182"/>
    </row>
    <row r="30" spans="1:27" x14ac:dyDescent="0.3">
      <c r="A30" s="8">
        <v>0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238" t="s">
        <v>431</v>
      </c>
      <c r="N30" s="8">
        <f t="shared" ref="N30:N44" si="24">SUM(0)</f>
        <v>0</v>
      </c>
      <c r="O30" s="8">
        <f t="shared" ref="O30:O44" si="25">SUM(A30:L30)</f>
        <v>0</v>
      </c>
      <c r="P30" s="8">
        <f t="shared" si="5"/>
        <v>0</v>
      </c>
      <c r="Q30" s="8">
        <v>0</v>
      </c>
      <c r="R30" s="8">
        <f t="shared" ref="R30:R44" si="26">Q30-P30</f>
        <v>0</v>
      </c>
      <c r="S30" s="8"/>
      <c r="T30" s="8"/>
      <c r="U30" s="8">
        <v>0</v>
      </c>
      <c r="V30" s="8">
        <f t="shared" si="4"/>
        <v>0</v>
      </c>
      <c r="W30" s="8"/>
      <c r="X30" s="158">
        <f t="shared" si="6"/>
        <v>0</v>
      </c>
      <c r="Z30" s="182"/>
      <c r="AA30" s="182"/>
    </row>
    <row r="31" spans="1:27" x14ac:dyDescent="0.3">
      <c r="A31" s="7">
        <v>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13" t="s">
        <v>432</v>
      </c>
      <c r="N31" s="7">
        <f t="shared" si="24"/>
        <v>0</v>
      </c>
      <c r="O31" s="7">
        <f t="shared" si="25"/>
        <v>0</v>
      </c>
      <c r="P31" s="7">
        <f t="shared" si="5"/>
        <v>0</v>
      </c>
      <c r="Q31" s="7">
        <v>0</v>
      </c>
      <c r="R31" s="7">
        <f t="shared" si="26"/>
        <v>0</v>
      </c>
      <c r="S31" s="7"/>
      <c r="T31" s="7"/>
      <c r="U31" s="7">
        <v>0</v>
      </c>
      <c r="V31" s="7">
        <f t="shared" si="4"/>
        <v>0</v>
      </c>
      <c r="W31" s="7"/>
      <c r="X31" s="159">
        <f t="shared" si="6"/>
        <v>0</v>
      </c>
      <c r="Z31" s="182"/>
      <c r="AA31" s="182"/>
    </row>
    <row r="32" spans="1:27" x14ac:dyDescent="0.3">
      <c r="A32" s="7">
        <f>71121*1.048</f>
        <v>74534.808000000005</v>
      </c>
      <c r="B32" s="7">
        <f t="shared" ref="B32:K32" si="27">71121*1.048</f>
        <v>74534.808000000005</v>
      </c>
      <c r="C32" s="7">
        <f t="shared" si="27"/>
        <v>74534.808000000005</v>
      </c>
      <c r="D32" s="7">
        <f t="shared" si="27"/>
        <v>74534.808000000005</v>
      </c>
      <c r="E32" s="7">
        <f t="shared" si="27"/>
        <v>74534.808000000005</v>
      </c>
      <c r="F32" s="7">
        <f t="shared" si="27"/>
        <v>74534.808000000005</v>
      </c>
      <c r="G32" s="7">
        <f t="shared" si="27"/>
        <v>74534.808000000005</v>
      </c>
      <c r="H32" s="7">
        <f t="shared" si="27"/>
        <v>74534.808000000005</v>
      </c>
      <c r="I32" s="7">
        <f t="shared" si="27"/>
        <v>74534.808000000005</v>
      </c>
      <c r="J32" s="7">
        <f t="shared" si="27"/>
        <v>74534.808000000005</v>
      </c>
      <c r="K32" s="7">
        <f t="shared" si="27"/>
        <v>74534.808000000005</v>
      </c>
      <c r="L32" s="7">
        <f>(71121*1.048)--1.11431744007859</f>
        <v>74535.922317440083</v>
      </c>
      <c r="M32" s="13" t="s">
        <v>433</v>
      </c>
      <c r="N32" s="7">
        <f t="shared" si="24"/>
        <v>0</v>
      </c>
      <c r="O32" s="7">
        <f t="shared" si="25"/>
        <v>894418.81031743996</v>
      </c>
      <c r="P32" s="7">
        <f t="shared" si="5"/>
        <v>894418.81031743996</v>
      </c>
      <c r="Q32" s="7">
        <v>894418.81031743996</v>
      </c>
      <c r="R32" s="7">
        <f t="shared" si="26"/>
        <v>0</v>
      </c>
      <c r="S32" s="7"/>
      <c r="T32" s="7"/>
      <c r="U32" s="7">
        <v>1420936</v>
      </c>
      <c r="V32" s="7">
        <f t="shared" si="4"/>
        <v>526517.18968256004</v>
      </c>
      <c r="W32" s="7"/>
      <c r="X32" s="159">
        <f>IFERROR(N32/Q32,0)</f>
        <v>0</v>
      </c>
      <c r="Z32" s="182"/>
      <c r="AA32" s="182"/>
    </row>
    <row r="33" spans="1:27" x14ac:dyDescent="0.3">
      <c r="A33" s="7">
        <f>4177*1.048</f>
        <v>4377.4960000000001</v>
      </c>
      <c r="B33" s="7">
        <f t="shared" ref="B33:K33" si="28">4177*1.048</f>
        <v>4377.4960000000001</v>
      </c>
      <c r="C33" s="7">
        <f t="shared" si="28"/>
        <v>4377.4960000000001</v>
      </c>
      <c r="D33" s="7">
        <f t="shared" si="28"/>
        <v>4377.4960000000001</v>
      </c>
      <c r="E33" s="7">
        <f t="shared" si="28"/>
        <v>4377.4960000000001</v>
      </c>
      <c r="F33" s="7">
        <f t="shared" si="28"/>
        <v>4377.4960000000001</v>
      </c>
      <c r="G33" s="7">
        <f t="shared" si="28"/>
        <v>4377.4960000000001</v>
      </c>
      <c r="H33" s="7">
        <f t="shared" si="28"/>
        <v>4377.4960000000001</v>
      </c>
      <c r="I33" s="7">
        <f t="shared" si="28"/>
        <v>4377.4960000000001</v>
      </c>
      <c r="J33" s="7">
        <f t="shared" si="28"/>
        <v>4377.4960000000001</v>
      </c>
      <c r="K33" s="7">
        <f t="shared" si="28"/>
        <v>4377.4960000000001</v>
      </c>
      <c r="L33" s="7">
        <f>(4177*1.048)--1.0480000000025</f>
        <v>4378.5440000000026</v>
      </c>
      <c r="M33" s="13" t="s">
        <v>434</v>
      </c>
      <c r="N33" s="7">
        <f t="shared" si="24"/>
        <v>0</v>
      </c>
      <c r="O33" s="7">
        <f t="shared" si="25"/>
        <v>52531</v>
      </c>
      <c r="P33" s="7">
        <f t="shared" si="5"/>
        <v>52531</v>
      </c>
      <c r="Q33" s="7">
        <v>52531</v>
      </c>
      <c r="R33" s="7">
        <f t="shared" si="26"/>
        <v>0</v>
      </c>
      <c r="S33" s="7"/>
      <c r="T33" s="7"/>
      <c r="U33" s="7">
        <v>50125</v>
      </c>
      <c r="V33" s="7">
        <f t="shared" si="4"/>
        <v>-2406</v>
      </c>
      <c r="W33" s="7"/>
      <c r="X33" s="159">
        <f t="shared" si="6"/>
        <v>0</v>
      </c>
      <c r="Z33" s="182"/>
      <c r="AA33" s="182"/>
    </row>
    <row r="34" spans="1:27" x14ac:dyDescent="0.3">
      <c r="A34" s="7">
        <f>22099*1.048</f>
        <v>23159.752</v>
      </c>
      <c r="B34" s="7">
        <f t="shared" ref="B34:K34" si="29">22099*1.048</f>
        <v>23159.752</v>
      </c>
      <c r="C34" s="7">
        <f t="shared" si="29"/>
        <v>23159.752</v>
      </c>
      <c r="D34" s="7">
        <f t="shared" si="29"/>
        <v>23159.752</v>
      </c>
      <c r="E34" s="7">
        <f t="shared" si="29"/>
        <v>23159.752</v>
      </c>
      <c r="F34" s="7">
        <f t="shared" si="29"/>
        <v>23159.752</v>
      </c>
      <c r="G34" s="7">
        <f t="shared" si="29"/>
        <v>23159.752</v>
      </c>
      <c r="H34" s="7">
        <f t="shared" si="29"/>
        <v>23159.752</v>
      </c>
      <c r="I34" s="7">
        <f t="shared" si="29"/>
        <v>23159.752</v>
      </c>
      <c r="J34" s="7">
        <f t="shared" si="29"/>
        <v>23159.752</v>
      </c>
      <c r="K34" s="7">
        <f t="shared" si="29"/>
        <v>23159.752</v>
      </c>
      <c r="L34" s="7">
        <f>((22099*1.048)-6)--0.664572264009621</f>
        <v>23154.41657226401</v>
      </c>
      <c r="M34" s="13" t="s">
        <v>435</v>
      </c>
      <c r="N34" s="7">
        <f t="shared" si="24"/>
        <v>0</v>
      </c>
      <c r="O34" s="7">
        <f t="shared" si="25"/>
        <v>277911.68857226404</v>
      </c>
      <c r="P34" s="7">
        <f t="shared" si="5"/>
        <v>277911.68857226404</v>
      </c>
      <c r="Q34" s="7">
        <v>277911.68857226404</v>
      </c>
      <c r="R34" s="7">
        <f t="shared" si="26"/>
        <v>0</v>
      </c>
      <c r="S34" s="7"/>
      <c r="T34" s="7">
        <v>15218</v>
      </c>
      <c r="U34" s="7">
        <v>265182</v>
      </c>
      <c r="V34" s="7">
        <f t="shared" si="4"/>
        <v>-12729.688572264044</v>
      </c>
      <c r="W34" s="7"/>
      <c r="X34" s="159">
        <f t="shared" si="6"/>
        <v>0</v>
      </c>
      <c r="Z34" s="182"/>
      <c r="AA34" s="182"/>
    </row>
    <row r="35" spans="1:27" x14ac:dyDescent="0.3">
      <c r="A35" s="7">
        <v>0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13" t="s">
        <v>436</v>
      </c>
      <c r="N35" s="7">
        <f t="shared" si="24"/>
        <v>0</v>
      </c>
      <c r="O35" s="7">
        <f t="shared" si="25"/>
        <v>0</v>
      </c>
      <c r="P35" s="7">
        <f t="shared" si="5"/>
        <v>0</v>
      </c>
      <c r="Q35" s="7">
        <v>0</v>
      </c>
      <c r="R35" s="7">
        <f t="shared" si="26"/>
        <v>0</v>
      </c>
      <c r="S35" s="7"/>
      <c r="T35" s="7"/>
      <c r="U35" s="7">
        <v>0</v>
      </c>
      <c r="V35" s="7">
        <f t="shared" si="4"/>
        <v>0</v>
      </c>
      <c r="W35" s="7"/>
      <c r="X35" s="159">
        <f t="shared" si="6"/>
        <v>0</v>
      </c>
      <c r="Z35" s="182"/>
      <c r="AA35" s="182"/>
    </row>
    <row r="36" spans="1:27" x14ac:dyDescent="0.3">
      <c r="A36" s="7">
        <v>0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13" t="s">
        <v>437</v>
      </c>
      <c r="N36" s="7">
        <f t="shared" si="24"/>
        <v>0</v>
      </c>
      <c r="O36" s="7">
        <f t="shared" si="25"/>
        <v>0</v>
      </c>
      <c r="P36" s="7">
        <f t="shared" si="5"/>
        <v>0</v>
      </c>
      <c r="Q36" s="7">
        <v>0</v>
      </c>
      <c r="R36" s="7">
        <f t="shared" si="26"/>
        <v>0</v>
      </c>
      <c r="S36" s="7"/>
      <c r="T36" s="7"/>
      <c r="U36" s="7">
        <v>0</v>
      </c>
      <c r="V36" s="7">
        <f t="shared" si="4"/>
        <v>0</v>
      </c>
      <c r="W36" s="7"/>
      <c r="X36" s="159">
        <f t="shared" si="6"/>
        <v>0</v>
      </c>
      <c r="Z36" s="182"/>
      <c r="AA36" s="182"/>
    </row>
    <row r="37" spans="1:27" x14ac:dyDescent="0.3">
      <c r="A37" s="7">
        <v>0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238" t="s">
        <v>438</v>
      </c>
      <c r="N37" s="7">
        <f t="shared" si="24"/>
        <v>0</v>
      </c>
      <c r="O37" s="7">
        <f t="shared" si="25"/>
        <v>0</v>
      </c>
      <c r="P37" s="7">
        <f t="shared" si="5"/>
        <v>0</v>
      </c>
      <c r="Q37" s="7">
        <v>0</v>
      </c>
      <c r="R37" s="7">
        <f t="shared" si="26"/>
        <v>0</v>
      </c>
      <c r="S37" s="7"/>
      <c r="T37" s="7"/>
      <c r="U37" s="7">
        <v>0</v>
      </c>
      <c r="V37" s="7">
        <f t="shared" si="4"/>
        <v>0</v>
      </c>
      <c r="W37" s="7"/>
      <c r="X37" s="159">
        <f t="shared" si="6"/>
        <v>0</v>
      </c>
      <c r="Z37" s="182"/>
      <c r="AA37" s="182"/>
    </row>
    <row r="38" spans="1:27" x14ac:dyDescent="0.3">
      <c r="A38" s="7">
        <v>0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13" t="s">
        <v>439</v>
      </c>
      <c r="N38" s="7">
        <f t="shared" si="24"/>
        <v>0</v>
      </c>
      <c r="O38" s="7">
        <f t="shared" si="25"/>
        <v>0</v>
      </c>
      <c r="P38" s="7">
        <f t="shared" si="5"/>
        <v>0</v>
      </c>
      <c r="Q38" s="7">
        <v>0</v>
      </c>
      <c r="R38" s="7">
        <f t="shared" si="26"/>
        <v>0</v>
      </c>
      <c r="S38" s="7"/>
      <c r="T38" s="7"/>
      <c r="U38" s="7">
        <v>0</v>
      </c>
      <c r="V38" s="7">
        <f t="shared" si="4"/>
        <v>0</v>
      </c>
      <c r="W38" s="7"/>
      <c r="X38" s="159">
        <f t="shared" si="6"/>
        <v>0</v>
      </c>
      <c r="Z38" s="182"/>
      <c r="AA38" s="182"/>
    </row>
    <row r="39" spans="1:27" x14ac:dyDescent="0.3">
      <c r="A39" s="7">
        <v>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13" t="s">
        <v>440</v>
      </c>
      <c r="N39" s="7">
        <f t="shared" si="24"/>
        <v>0</v>
      </c>
      <c r="O39" s="7">
        <f t="shared" si="25"/>
        <v>0</v>
      </c>
      <c r="P39" s="7">
        <f t="shared" si="5"/>
        <v>0</v>
      </c>
      <c r="Q39" s="7">
        <v>0</v>
      </c>
      <c r="R39" s="7">
        <f t="shared" si="26"/>
        <v>0</v>
      </c>
      <c r="S39" s="7"/>
      <c r="T39" s="7"/>
      <c r="U39" s="7">
        <v>0</v>
      </c>
      <c r="V39" s="7">
        <f t="shared" si="4"/>
        <v>0</v>
      </c>
      <c r="W39" s="7"/>
      <c r="X39" s="159">
        <f t="shared" si="6"/>
        <v>0</v>
      </c>
      <c r="Z39" s="182"/>
      <c r="AA39" s="182"/>
    </row>
    <row r="40" spans="1:27" x14ac:dyDescent="0.3">
      <c r="A40" s="7">
        <v>0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13" t="s">
        <v>441</v>
      </c>
      <c r="N40" s="7">
        <f t="shared" si="24"/>
        <v>0</v>
      </c>
      <c r="O40" s="7">
        <f t="shared" si="25"/>
        <v>0</v>
      </c>
      <c r="P40" s="7">
        <f t="shared" si="5"/>
        <v>0</v>
      </c>
      <c r="Q40" s="7">
        <v>0</v>
      </c>
      <c r="R40" s="7">
        <f t="shared" si="26"/>
        <v>0</v>
      </c>
      <c r="S40" s="7"/>
      <c r="T40" s="7"/>
      <c r="U40" s="7">
        <v>0</v>
      </c>
      <c r="V40" s="7">
        <f t="shared" si="4"/>
        <v>0</v>
      </c>
      <c r="W40" s="7"/>
      <c r="X40" s="159">
        <f t="shared" si="6"/>
        <v>0</v>
      </c>
      <c r="Z40" s="182"/>
      <c r="AA40" s="182"/>
    </row>
    <row r="41" spans="1:27" x14ac:dyDescent="0.3">
      <c r="A41" s="7">
        <v>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13" t="s">
        <v>442</v>
      </c>
      <c r="N41" s="7">
        <f t="shared" si="24"/>
        <v>0</v>
      </c>
      <c r="O41" s="7">
        <f t="shared" si="25"/>
        <v>0</v>
      </c>
      <c r="P41" s="7">
        <f t="shared" si="5"/>
        <v>0</v>
      </c>
      <c r="Q41" s="7">
        <v>0</v>
      </c>
      <c r="R41" s="7">
        <f t="shared" si="26"/>
        <v>0</v>
      </c>
      <c r="S41" s="7"/>
      <c r="T41" s="7"/>
      <c r="U41" s="7">
        <v>0</v>
      </c>
      <c r="V41" s="7">
        <f t="shared" si="4"/>
        <v>0</v>
      </c>
      <c r="W41" s="7"/>
      <c r="X41" s="159">
        <f t="shared" si="6"/>
        <v>0</v>
      </c>
      <c r="Z41" s="182"/>
      <c r="AA41" s="182"/>
    </row>
    <row r="42" spans="1:27" x14ac:dyDescent="0.3">
      <c r="A42" s="7">
        <f>12897*1.048</f>
        <v>13516.056</v>
      </c>
      <c r="B42" s="7">
        <f t="shared" ref="B42:K42" si="30">12897*1.048</f>
        <v>13516.056</v>
      </c>
      <c r="C42" s="7">
        <f t="shared" si="30"/>
        <v>13516.056</v>
      </c>
      <c r="D42" s="7">
        <f t="shared" si="30"/>
        <v>13516.056</v>
      </c>
      <c r="E42" s="7">
        <f t="shared" si="30"/>
        <v>13516.056</v>
      </c>
      <c r="F42" s="7">
        <f t="shared" si="30"/>
        <v>13516.056</v>
      </c>
      <c r="G42" s="7">
        <f t="shared" si="30"/>
        <v>13516.056</v>
      </c>
      <c r="H42" s="7">
        <f t="shared" si="30"/>
        <v>13516.056</v>
      </c>
      <c r="I42" s="7">
        <f t="shared" si="30"/>
        <v>13516.056</v>
      </c>
      <c r="J42" s="7">
        <f t="shared" si="30"/>
        <v>13516.056</v>
      </c>
      <c r="K42" s="7">
        <f t="shared" si="30"/>
        <v>13516.056</v>
      </c>
      <c r="L42" s="7">
        <f>(12897*1.048)--1.99772903998382</f>
        <v>13518.053729039984</v>
      </c>
      <c r="M42" s="13" t="s">
        <v>443</v>
      </c>
      <c r="N42" s="7">
        <f t="shared" si="24"/>
        <v>0</v>
      </c>
      <c r="O42" s="7">
        <f t="shared" si="25"/>
        <v>162194.66972904</v>
      </c>
      <c r="P42" s="7">
        <f t="shared" si="5"/>
        <v>162194.66972904</v>
      </c>
      <c r="Q42" s="7">
        <v>162194.66972904</v>
      </c>
      <c r="R42" s="7">
        <f t="shared" si="26"/>
        <v>0</v>
      </c>
      <c r="S42" s="7"/>
      <c r="T42" s="7"/>
      <c r="U42" s="7">
        <v>154765.90622999996</v>
      </c>
      <c r="V42" s="7">
        <f t="shared" si="4"/>
        <v>-7428.7634990400402</v>
      </c>
      <c r="W42" s="7"/>
      <c r="X42" s="159">
        <f>IFERROR(N42/Q42,0)</f>
        <v>0</v>
      </c>
      <c r="Z42" s="182"/>
      <c r="AA42" s="182"/>
    </row>
    <row r="43" spans="1:27" x14ac:dyDescent="0.3">
      <c r="A43" s="7">
        <f>12263*1.048</f>
        <v>12851.624</v>
      </c>
      <c r="B43" s="7">
        <f t="shared" ref="B43:K43" si="31">12263*1.048</f>
        <v>12851.624</v>
      </c>
      <c r="C43" s="7">
        <f t="shared" si="31"/>
        <v>12851.624</v>
      </c>
      <c r="D43" s="7">
        <f t="shared" si="31"/>
        <v>12851.624</v>
      </c>
      <c r="E43" s="7">
        <f t="shared" si="31"/>
        <v>12851.624</v>
      </c>
      <c r="F43" s="7">
        <f t="shared" si="31"/>
        <v>12851.624</v>
      </c>
      <c r="G43" s="7">
        <f t="shared" si="31"/>
        <v>12851.624</v>
      </c>
      <c r="H43" s="7">
        <f t="shared" si="31"/>
        <v>12851.624</v>
      </c>
      <c r="I43" s="7">
        <f t="shared" si="31"/>
        <v>12851.624</v>
      </c>
      <c r="J43" s="7">
        <f t="shared" si="31"/>
        <v>12851.624</v>
      </c>
      <c r="K43" s="7">
        <f t="shared" si="31"/>
        <v>12851.624</v>
      </c>
      <c r="L43" s="7">
        <f>(12263*1.048)--1.65984336001566</f>
        <v>12853.283843360015</v>
      </c>
      <c r="M43" s="13" t="s">
        <v>444</v>
      </c>
      <c r="N43" s="7">
        <f t="shared" si="24"/>
        <v>0</v>
      </c>
      <c r="O43" s="7">
        <f t="shared" si="25"/>
        <v>154221.14784336</v>
      </c>
      <c r="P43" s="7">
        <f t="shared" si="5"/>
        <v>154221.14784336</v>
      </c>
      <c r="Q43" s="7">
        <v>154221.14784336</v>
      </c>
      <c r="R43" s="7">
        <f t="shared" si="26"/>
        <v>0</v>
      </c>
      <c r="S43" s="7"/>
      <c r="T43" s="7">
        <v>8135</v>
      </c>
      <c r="U43" s="7">
        <v>147157.58382</v>
      </c>
      <c r="V43" s="7">
        <f t="shared" si="4"/>
        <v>-7063.5640233599988</v>
      </c>
      <c r="W43" s="341"/>
      <c r="X43" s="159">
        <f t="shared" si="6"/>
        <v>0</v>
      </c>
      <c r="Z43" s="182"/>
      <c r="AA43" s="182"/>
    </row>
    <row r="44" spans="1:27" x14ac:dyDescent="0.3">
      <c r="A44" s="11">
        <f t="shared" ref="A44:L44" si="32">$Q44/12</f>
        <v>0</v>
      </c>
      <c r="B44" s="11">
        <f t="shared" si="32"/>
        <v>0</v>
      </c>
      <c r="C44" s="11">
        <f t="shared" si="32"/>
        <v>0</v>
      </c>
      <c r="D44" s="11">
        <f t="shared" si="32"/>
        <v>0</v>
      </c>
      <c r="E44" s="11">
        <f t="shared" si="32"/>
        <v>0</v>
      </c>
      <c r="F44" s="11">
        <f t="shared" si="32"/>
        <v>0</v>
      </c>
      <c r="G44" s="11">
        <f t="shared" si="32"/>
        <v>0</v>
      </c>
      <c r="H44" s="11">
        <f t="shared" si="32"/>
        <v>0</v>
      </c>
      <c r="I44" s="11">
        <f t="shared" si="32"/>
        <v>0</v>
      </c>
      <c r="J44" s="11">
        <f t="shared" si="32"/>
        <v>0</v>
      </c>
      <c r="K44" s="11">
        <f t="shared" si="32"/>
        <v>0</v>
      </c>
      <c r="L44" s="11">
        <f t="shared" si="32"/>
        <v>0</v>
      </c>
      <c r="M44" s="238" t="s">
        <v>113</v>
      </c>
      <c r="N44" s="11">
        <f t="shared" si="24"/>
        <v>0</v>
      </c>
      <c r="O44" s="11">
        <f t="shared" si="25"/>
        <v>0</v>
      </c>
      <c r="P44" s="11">
        <f t="shared" si="5"/>
        <v>0</v>
      </c>
      <c r="Q44" s="11">
        <v>0</v>
      </c>
      <c r="R44" s="11">
        <f t="shared" si="26"/>
        <v>0</v>
      </c>
      <c r="S44" s="11"/>
      <c r="T44" s="11"/>
      <c r="U44" s="11">
        <v>0</v>
      </c>
      <c r="V44" s="11">
        <f t="shared" si="4"/>
        <v>0</v>
      </c>
      <c r="W44" s="11"/>
      <c r="X44" s="160">
        <f t="shared" si="6"/>
        <v>0</v>
      </c>
      <c r="Z44" s="182"/>
      <c r="AA44" s="182"/>
    </row>
    <row r="45" spans="1:27" x14ac:dyDescent="0.3">
      <c r="A45" s="8"/>
      <c r="B45" s="86"/>
      <c r="C45" s="86"/>
      <c r="D45" s="85"/>
      <c r="E45" s="83"/>
      <c r="F45" s="83"/>
      <c r="G45" s="83"/>
      <c r="H45" s="83"/>
      <c r="I45" s="83"/>
      <c r="J45" s="83"/>
      <c r="K45" s="84"/>
      <c r="L45" s="84"/>
      <c r="M45" s="13"/>
      <c r="N45" s="83">
        <f t="shared" si="8"/>
        <v>0</v>
      </c>
      <c r="O45" s="83">
        <f t="shared" si="9"/>
        <v>0</v>
      </c>
      <c r="P45" s="83">
        <f t="shared" si="5"/>
        <v>0</v>
      </c>
      <c r="Q45" s="86">
        <v>0</v>
      </c>
      <c r="R45" s="86"/>
      <c r="S45" s="86"/>
      <c r="T45" s="86"/>
      <c r="U45" s="86">
        <v>0</v>
      </c>
      <c r="V45" s="86">
        <f t="shared" si="4"/>
        <v>0</v>
      </c>
      <c r="W45" s="86"/>
      <c r="X45" s="205">
        <f t="shared" si="6"/>
        <v>0</v>
      </c>
      <c r="Z45" s="182"/>
      <c r="AA45" s="182"/>
    </row>
    <row r="46" spans="1:27" x14ac:dyDescent="0.3">
      <c r="A46" s="4">
        <f>SUM(A30:A44)</f>
        <v>128439.736</v>
      </c>
      <c r="B46" s="4">
        <f t="shared" ref="B46:L46" si="33">SUM(B30:B44)</f>
        <v>128439.736</v>
      </c>
      <c r="C46" s="4">
        <f t="shared" si="33"/>
        <v>128439.736</v>
      </c>
      <c r="D46" s="4">
        <f t="shared" si="33"/>
        <v>128439.736</v>
      </c>
      <c r="E46" s="4">
        <f t="shared" si="33"/>
        <v>128439.736</v>
      </c>
      <c r="F46" s="4">
        <f t="shared" si="33"/>
        <v>128439.736</v>
      </c>
      <c r="G46" s="4">
        <f t="shared" si="33"/>
        <v>128439.736</v>
      </c>
      <c r="H46" s="4">
        <f t="shared" si="33"/>
        <v>128439.736</v>
      </c>
      <c r="I46" s="4">
        <f t="shared" si="33"/>
        <v>128439.736</v>
      </c>
      <c r="J46" s="4">
        <f t="shared" si="33"/>
        <v>128439.736</v>
      </c>
      <c r="K46" s="4">
        <f t="shared" si="33"/>
        <v>128439.736</v>
      </c>
      <c r="L46" s="4">
        <f t="shared" si="33"/>
        <v>128440.2204621041</v>
      </c>
      <c r="M46" s="13" t="s">
        <v>114</v>
      </c>
      <c r="N46" s="4">
        <f t="shared" ref="N46:O46" si="34">SUM(N30:N44)</f>
        <v>0</v>
      </c>
      <c r="O46" s="4">
        <f t="shared" si="34"/>
        <v>1541277.316462104</v>
      </c>
      <c r="P46" s="4">
        <f t="shared" ref="P46:Q46" si="35">SUM(P30:P44)</f>
        <v>1541277.316462104</v>
      </c>
      <c r="Q46" s="4">
        <f t="shared" si="35"/>
        <v>1541277.316462104</v>
      </c>
      <c r="R46" s="4">
        <f t="shared" ref="R46:W46" si="36">SUM(R30:R44)</f>
        <v>0</v>
      </c>
      <c r="S46" s="4">
        <v>0</v>
      </c>
      <c r="T46" s="4">
        <v>23353</v>
      </c>
      <c r="U46" s="4">
        <v>1664230.4900499999</v>
      </c>
      <c r="V46" s="4">
        <f t="shared" si="4"/>
        <v>122953.17358789593</v>
      </c>
      <c r="W46" s="4">
        <f t="shared" si="36"/>
        <v>0</v>
      </c>
      <c r="X46" s="162">
        <f t="shared" si="6"/>
        <v>0</v>
      </c>
      <c r="Z46" s="182"/>
      <c r="AA46" s="182"/>
    </row>
    <row r="47" spans="1:27" x14ac:dyDescent="0.3">
      <c r="A47" s="81"/>
      <c r="B47" s="81"/>
      <c r="C47" s="81"/>
      <c r="D47" s="82"/>
      <c r="E47" s="86"/>
      <c r="F47" s="86"/>
      <c r="G47" s="86"/>
      <c r="H47" s="87"/>
      <c r="I47" s="87"/>
      <c r="J47" s="87"/>
      <c r="K47" s="84"/>
      <c r="L47" s="84"/>
      <c r="M47" s="80"/>
      <c r="N47" s="86">
        <f t="shared" si="8"/>
        <v>0</v>
      </c>
      <c r="O47" s="86">
        <f t="shared" si="9"/>
        <v>0</v>
      </c>
      <c r="P47" s="86">
        <f t="shared" si="5"/>
        <v>0</v>
      </c>
      <c r="Q47" s="81">
        <v>0</v>
      </c>
      <c r="R47" s="81"/>
      <c r="S47" s="81"/>
      <c r="T47" s="81"/>
      <c r="U47" s="81">
        <v>0</v>
      </c>
      <c r="V47" s="81">
        <f t="shared" si="4"/>
        <v>0</v>
      </c>
      <c r="W47" s="81"/>
      <c r="X47" s="204">
        <f t="shared" si="6"/>
        <v>0</v>
      </c>
      <c r="Z47" s="182"/>
      <c r="AA47" s="182"/>
    </row>
    <row r="48" spans="1:27" x14ac:dyDescent="0.3">
      <c r="A48" s="8">
        <v>0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238" t="s">
        <v>445</v>
      </c>
      <c r="N48" s="8">
        <f t="shared" ref="N48:N63" si="37">SUM(0)</f>
        <v>0</v>
      </c>
      <c r="O48" s="8">
        <f t="shared" ref="O48:O63" si="38">SUM(A48:L48)</f>
        <v>0</v>
      </c>
      <c r="P48" s="8">
        <f t="shared" si="5"/>
        <v>0</v>
      </c>
      <c r="Q48" s="8">
        <v>0</v>
      </c>
      <c r="R48" s="8">
        <f t="shared" ref="R48:R63" si="39">Q48-P48</f>
        <v>0</v>
      </c>
      <c r="S48" s="8"/>
      <c r="T48" s="8"/>
      <c r="U48" s="8">
        <v>0</v>
      </c>
      <c r="V48" s="8">
        <f t="shared" si="4"/>
        <v>0</v>
      </c>
      <c r="W48" s="8"/>
      <c r="X48" s="158">
        <f t="shared" si="6"/>
        <v>0</v>
      </c>
      <c r="Z48" s="182"/>
      <c r="AA48" s="182"/>
    </row>
    <row r="49" spans="1:27" x14ac:dyDescent="0.3">
      <c r="A49" s="7">
        <f>1259*1.048</f>
        <v>1319.432</v>
      </c>
      <c r="B49" s="7">
        <f t="shared" ref="B49:K49" si="40">1259*1.048</f>
        <v>1319.432</v>
      </c>
      <c r="C49" s="7">
        <f t="shared" si="40"/>
        <v>1319.432</v>
      </c>
      <c r="D49" s="7">
        <f t="shared" si="40"/>
        <v>1319.432</v>
      </c>
      <c r="E49" s="7">
        <f t="shared" si="40"/>
        <v>1319.432</v>
      </c>
      <c r="F49" s="7">
        <f t="shared" si="40"/>
        <v>1319.432</v>
      </c>
      <c r="G49" s="7">
        <f t="shared" si="40"/>
        <v>1319.432</v>
      </c>
      <c r="H49" s="7">
        <f t="shared" si="40"/>
        <v>1319.432</v>
      </c>
      <c r="I49" s="7">
        <f t="shared" si="40"/>
        <v>1319.432</v>
      </c>
      <c r="J49" s="7">
        <f t="shared" si="40"/>
        <v>1319.432</v>
      </c>
      <c r="K49" s="7">
        <f t="shared" si="40"/>
        <v>1319.432</v>
      </c>
      <c r="L49" s="7">
        <f>(1259*1.048)-23.1251992018806</f>
        <v>1296.3068007981194</v>
      </c>
      <c r="M49" s="13" t="s">
        <v>446</v>
      </c>
      <c r="N49" s="7">
        <f t="shared" si="37"/>
        <v>0</v>
      </c>
      <c r="O49" s="7">
        <f t="shared" si="38"/>
        <v>15810.058800798122</v>
      </c>
      <c r="P49" s="7">
        <f t="shared" si="5"/>
        <v>15810.058800798122</v>
      </c>
      <c r="Q49" s="7">
        <v>15810.058800798122</v>
      </c>
      <c r="R49" s="7">
        <f t="shared" si="39"/>
        <v>0</v>
      </c>
      <c r="S49" s="7"/>
      <c r="T49" s="7">
        <v>4594</v>
      </c>
      <c r="U49" s="7">
        <v>30110.77061</v>
      </c>
      <c r="V49" s="7">
        <f t="shared" si="4"/>
        <v>14300.711809201877</v>
      </c>
      <c r="W49" s="7"/>
      <c r="X49" s="159">
        <f t="shared" si="6"/>
        <v>0</v>
      </c>
      <c r="Z49" s="182"/>
      <c r="AA49" s="182"/>
    </row>
    <row r="50" spans="1:27" x14ac:dyDescent="0.3">
      <c r="A50" s="7">
        <f>643*1.048</f>
        <v>673.86400000000003</v>
      </c>
      <c r="B50" s="7">
        <f t="shared" ref="B50:L50" si="41">643*1.048</f>
        <v>673.86400000000003</v>
      </c>
      <c r="C50" s="7">
        <f t="shared" si="41"/>
        <v>673.86400000000003</v>
      </c>
      <c r="D50" s="7">
        <f t="shared" si="41"/>
        <v>673.86400000000003</v>
      </c>
      <c r="E50" s="7">
        <f t="shared" si="41"/>
        <v>673.86400000000003</v>
      </c>
      <c r="F50" s="7">
        <f t="shared" si="41"/>
        <v>673.86400000000003</v>
      </c>
      <c r="G50" s="7">
        <f t="shared" si="41"/>
        <v>673.86400000000003</v>
      </c>
      <c r="H50" s="7">
        <f t="shared" si="41"/>
        <v>673.86400000000003</v>
      </c>
      <c r="I50" s="7">
        <f t="shared" si="41"/>
        <v>673.86400000000003</v>
      </c>
      <c r="J50" s="7">
        <f t="shared" si="41"/>
        <v>673.86400000000003</v>
      </c>
      <c r="K50" s="7">
        <f t="shared" si="41"/>
        <v>673.86400000000003</v>
      </c>
      <c r="L50" s="7">
        <f t="shared" si="41"/>
        <v>673.86400000000003</v>
      </c>
      <c r="M50" s="13" t="s">
        <v>447</v>
      </c>
      <c r="N50" s="7">
        <f t="shared" si="37"/>
        <v>0</v>
      </c>
      <c r="O50" s="7">
        <f t="shared" si="38"/>
        <v>8086.3679999999986</v>
      </c>
      <c r="P50" s="7">
        <f t="shared" si="5"/>
        <v>8086.3679999999986</v>
      </c>
      <c r="Q50" s="7">
        <v>8086.3679999999986</v>
      </c>
      <c r="R50" s="7">
        <f t="shared" si="39"/>
        <v>0</v>
      </c>
      <c r="S50" s="7"/>
      <c r="T50" s="7">
        <v>2032</v>
      </c>
      <c r="U50" s="7">
        <v>7711.4438130545459</v>
      </c>
      <c r="V50" s="7">
        <f t="shared" si="4"/>
        <v>-374.92418694545267</v>
      </c>
      <c r="W50" s="7"/>
      <c r="X50" s="159">
        <f t="shared" si="6"/>
        <v>0</v>
      </c>
      <c r="Z50" s="182"/>
      <c r="AA50" s="182"/>
    </row>
    <row r="51" spans="1:27" x14ac:dyDescent="0.3">
      <c r="A51" s="7">
        <v>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13" t="s">
        <v>448</v>
      </c>
      <c r="N51" s="7">
        <f t="shared" si="37"/>
        <v>0</v>
      </c>
      <c r="O51" s="7">
        <f t="shared" si="38"/>
        <v>0</v>
      </c>
      <c r="P51" s="7">
        <f t="shared" si="5"/>
        <v>0</v>
      </c>
      <c r="Q51" s="7">
        <v>0</v>
      </c>
      <c r="R51" s="7">
        <f t="shared" si="39"/>
        <v>0</v>
      </c>
      <c r="S51" s="7"/>
      <c r="T51" s="7">
        <v>-2000</v>
      </c>
      <c r="U51" s="7">
        <v>0</v>
      </c>
      <c r="V51" s="7">
        <f t="shared" si="4"/>
        <v>0</v>
      </c>
      <c r="W51" s="7"/>
      <c r="X51" s="159">
        <f t="shared" si="6"/>
        <v>0</v>
      </c>
      <c r="Z51" s="182"/>
      <c r="AA51" s="182"/>
    </row>
    <row r="52" spans="1:27" x14ac:dyDescent="0.3">
      <c r="A52" s="7">
        <f>858*1.048</f>
        <v>899.18400000000008</v>
      </c>
      <c r="B52" s="7">
        <f t="shared" ref="B52:K52" si="42">858*1.048</f>
        <v>899.18400000000008</v>
      </c>
      <c r="C52" s="7">
        <f t="shared" si="42"/>
        <v>899.18400000000008</v>
      </c>
      <c r="D52" s="7">
        <f t="shared" si="42"/>
        <v>899.18400000000008</v>
      </c>
      <c r="E52" s="7">
        <f t="shared" si="42"/>
        <v>899.18400000000008</v>
      </c>
      <c r="F52" s="7">
        <f t="shared" si="42"/>
        <v>899.18400000000008</v>
      </c>
      <c r="G52" s="7">
        <f t="shared" si="42"/>
        <v>899.18400000000008</v>
      </c>
      <c r="H52" s="7">
        <f t="shared" si="42"/>
        <v>899.18400000000008</v>
      </c>
      <c r="I52" s="7">
        <f t="shared" si="42"/>
        <v>899.18400000000008</v>
      </c>
      <c r="J52" s="7">
        <f t="shared" si="42"/>
        <v>899.18400000000008</v>
      </c>
      <c r="K52" s="7">
        <f t="shared" si="42"/>
        <v>899.18400000000008</v>
      </c>
      <c r="L52" s="7">
        <f>(858*1.048)-228.782310793016</f>
        <v>670.40168920698386</v>
      </c>
      <c r="M52" s="13" t="s">
        <v>449</v>
      </c>
      <c r="N52" s="7">
        <f t="shared" si="37"/>
        <v>0</v>
      </c>
      <c r="O52" s="7">
        <f t="shared" si="38"/>
        <v>10561.425689206982</v>
      </c>
      <c r="P52" s="7">
        <f t="shared" si="5"/>
        <v>10561.425689206982</v>
      </c>
      <c r="Q52" s="7">
        <v>10561.425689206982</v>
      </c>
      <c r="R52" s="7">
        <f t="shared" si="39"/>
        <v>0</v>
      </c>
      <c r="S52" s="7"/>
      <c r="T52" s="7"/>
      <c r="U52" s="7">
        <v>10298.005016109091</v>
      </c>
      <c r="V52" s="7">
        <f t="shared" si="4"/>
        <v>-263.42067309789127</v>
      </c>
      <c r="W52" s="7"/>
      <c r="X52" s="159">
        <f t="shared" si="6"/>
        <v>0</v>
      </c>
      <c r="Z52" s="182"/>
      <c r="AA52" s="182"/>
    </row>
    <row r="53" spans="1:27" x14ac:dyDescent="0.3">
      <c r="A53" s="7">
        <f>459*1.048</f>
        <v>481.03200000000004</v>
      </c>
      <c r="B53" s="7">
        <f t="shared" ref="B53:L53" si="43">459*1.048</f>
        <v>481.03200000000004</v>
      </c>
      <c r="C53" s="7">
        <f t="shared" si="43"/>
        <v>481.03200000000004</v>
      </c>
      <c r="D53" s="7">
        <f t="shared" si="43"/>
        <v>481.03200000000004</v>
      </c>
      <c r="E53" s="7">
        <f t="shared" si="43"/>
        <v>481.03200000000004</v>
      </c>
      <c r="F53" s="7">
        <f t="shared" si="43"/>
        <v>481.03200000000004</v>
      </c>
      <c r="G53" s="7">
        <f t="shared" si="43"/>
        <v>481.03200000000004</v>
      </c>
      <c r="H53" s="7">
        <f t="shared" si="43"/>
        <v>481.03200000000004</v>
      </c>
      <c r="I53" s="7">
        <f t="shared" si="43"/>
        <v>481.03200000000004</v>
      </c>
      <c r="J53" s="7">
        <f t="shared" si="43"/>
        <v>481.03200000000004</v>
      </c>
      <c r="K53" s="7">
        <f t="shared" si="43"/>
        <v>481.03200000000004</v>
      </c>
      <c r="L53" s="7">
        <f t="shared" si="43"/>
        <v>481.03200000000004</v>
      </c>
      <c r="M53" s="13" t="s">
        <v>450</v>
      </c>
      <c r="N53" s="7">
        <f t="shared" si="37"/>
        <v>0</v>
      </c>
      <c r="O53" s="7">
        <f t="shared" si="38"/>
        <v>5772.3840000000009</v>
      </c>
      <c r="P53" s="7">
        <f t="shared" si="5"/>
        <v>5772.3840000000009</v>
      </c>
      <c r="Q53" s="7">
        <v>5772.3840000000009</v>
      </c>
      <c r="R53" s="7">
        <f t="shared" si="39"/>
        <v>0</v>
      </c>
      <c r="S53" s="7"/>
      <c r="T53" s="7">
        <v>513</v>
      </c>
      <c r="U53" s="7">
        <v>5513</v>
      </c>
      <c r="V53" s="7">
        <f t="shared" si="4"/>
        <v>-259.38400000000092</v>
      </c>
      <c r="W53" s="7"/>
      <c r="X53" s="159">
        <f t="shared" si="6"/>
        <v>0</v>
      </c>
      <c r="Z53" s="182"/>
      <c r="AA53" s="182"/>
    </row>
    <row r="54" spans="1:27" x14ac:dyDescent="0.3">
      <c r="A54" s="7">
        <v>0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13" t="s">
        <v>451</v>
      </c>
      <c r="N54" s="7">
        <f t="shared" si="37"/>
        <v>0</v>
      </c>
      <c r="O54" s="7">
        <f t="shared" si="38"/>
        <v>0</v>
      </c>
      <c r="P54" s="7">
        <f t="shared" si="5"/>
        <v>0</v>
      </c>
      <c r="Q54" s="7">
        <v>0</v>
      </c>
      <c r="R54" s="7">
        <f t="shared" si="39"/>
        <v>0</v>
      </c>
      <c r="S54" s="7"/>
      <c r="T54" s="7"/>
      <c r="U54" s="7">
        <v>0</v>
      </c>
      <c r="V54" s="7">
        <f t="shared" si="4"/>
        <v>0</v>
      </c>
      <c r="W54" s="7"/>
      <c r="X54" s="159">
        <f t="shared" si="6"/>
        <v>0</v>
      </c>
      <c r="Z54" s="182"/>
      <c r="AA54" s="182"/>
    </row>
    <row r="55" spans="1:27" x14ac:dyDescent="0.3">
      <c r="A55" s="7">
        <v>0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238" t="s">
        <v>452</v>
      </c>
      <c r="N55" s="7">
        <f t="shared" si="37"/>
        <v>0</v>
      </c>
      <c r="O55" s="7">
        <f t="shared" si="38"/>
        <v>0</v>
      </c>
      <c r="P55" s="7">
        <f t="shared" si="5"/>
        <v>0</v>
      </c>
      <c r="Q55" s="7">
        <v>0.254718000000139</v>
      </c>
      <c r="R55" s="7">
        <f t="shared" si="39"/>
        <v>0.254718000000139</v>
      </c>
      <c r="S55" s="7"/>
      <c r="T55" s="7">
        <v>-5373</v>
      </c>
      <c r="U55" s="7">
        <v>0.254718000000139</v>
      </c>
      <c r="V55" s="7">
        <f t="shared" si="4"/>
        <v>0.254718000000139</v>
      </c>
      <c r="W55" s="7"/>
      <c r="X55" s="159">
        <f t="shared" si="6"/>
        <v>0</v>
      </c>
      <c r="Z55" s="182"/>
      <c r="AA55" s="182"/>
    </row>
    <row r="56" spans="1:27" x14ac:dyDescent="0.3">
      <c r="A56" s="7">
        <v>0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13" t="s">
        <v>453</v>
      </c>
      <c r="N56" s="7">
        <f t="shared" si="37"/>
        <v>0</v>
      </c>
      <c r="O56" s="7">
        <f t="shared" si="38"/>
        <v>0</v>
      </c>
      <c r="P56" s="7">
        <f t="shared" si="5"/>
        <v>0</v>
      </c>
      <c r="Q56" s="7">
        <v>0</v>
      </c>
      <c r="R56" s="7">
        <f t="shared" si="39"/>
        <v>0</v>
      </c>
      <c r="S56" s="7"/>
      <c r="T56" s="7"/>
      <c r="U56" s="7">
        <v>0</v>
      </c>
      <c r="V56" s="7">
        <f t="shared" si="4"/>
        <v>0</v>
      </c>
      <c r="W56" s="7"/>
      <c r="X56" s="159">
        <f t="shared" si="6"/>
        <v>0</v>
      </c>
      <c r="Z56" s="182"/>
      <c r="AA56" s="182"/>
    </row>
    <row r="57" spans="1:27" x14ac:dyDescent="0.3">
      <c r="A57" s="7">
        <f>8267*1.048</f>
        <v>8663.8160000000007</v>
      </c>
      <c r="B57" s="7">
        <f t="shared" ref="B57:K57" si="44">8267*1.048</f>
        <v>8663.8160000000007</v>
      </c>
      <c r="C57" s="7">
        <f t="shared" si="44"/>
        <v>8663.8160000000007</v>
      </c>
      <c r="D57" s="7">
        <f t="shared" si="44"/>
        <v>8663.8160000000007</v>
      </c>
      <c r="E57" s="7">
        <f t="shared" si="44"/>
        <v>8663.8160000000007</v>
      </c>
      <c r="F57" s="7">
        <f t="shared" si="44"/>
        <v>8663.8160000000007</v>
      </c>
      <c r="G57" s="7">
        <f t="shared" si="44"/>
        <v>8663.8160000000007</v>
      </c>
      <c r="H57" s="7">
        <f t="shared" si="44"/>
        <v>8663.8160000000007</v>
      </c>
      <c r="I57" s="7">
        <f t="shared" si="44"/>
        <v>8663.8160000000007</v>
      </c>
      <c r="J57" s="7">
        <f t="shared" si="44"/>
        <v>8663.8160000000007</v>
      </c>
      <c r="K57" s="7">
        <f t="shared" si="44"/>
        <v>8663.8160000000007</v>
      </c>
      <c r="L57" s="7">
        <f>(8267*1.048)-4</f>
        <v>8659.8160000000007</v>
      </c>
      <c r="M57" s="13" t="s">
        <v>454</v>
      </c>
      <c r="N57" s="7">
        <f t="shared" si="37"/>
        <v>0</v>
      </c>
      <c r="O57" s="7">
        <f t="shared" si="38"/>
        <v>103961.79200000003</v>
      </c>
      <c r="P57" s="7">
        <f t="shared" si="5"/>
        <v>103961.79200000003</v>
      </c>
      <c r="Q57" s="7">
        <v>103961.79200000003</v>
      </c>
      <c r="R57" s="7">
        <f t="shared" si="39"/>
        <v>0</v>
      </c>
      <c r="S57" s="7"/>
      <c r="T57" s="7">
        <v>129200</v>
      </c>
      <c r="U57" s="7">
        <v>219200</v>
      </c>
      <c r="V57" s="7">
        <f t="shared" si="4"/>
        <v>115238.20799999997</v>
      </c>
      <c r="W57" s="7"/>
      <c r="X57" s="159">
        <f t="shared" si="6"/>
        <v>0</v>
      </c>
      <c r="Z57" s="182"/>
      <c r="AA57" s="182"/>
    </row>
    <row r="58" spans="1:27" x14ac:dyDescent="0.3">
      <c r="A58" s="7">
        <f>1250*1.048</f>
        <v>1310</v>
      </c>
      <c r="B58" s="7">
        <f t="shared" ref="B58:L58" si="45">1250*1.048</f>
        <v>1310</v>
      </c>
      <c r="C58" s="7">
        <f t="shared" si="45"/>
        <v>1310</v>
      </c>
      <c r="D58" s="7">
        <f t="shared" si="45"/>
        <v>1310</v>
      </c>
      <c r="E58" s="7">
        <f t="shared" si="45"/>
        <v>1310</v>
      </c>
      <c r="F58" s="7">
        <f t="shared" si="45"/>
        <v>1310</v>
      </c>
      <c r="G58" s="7">
        <f t="shared" si="45"/>
        <v>1310</v>
      </c>
      <c r="H58" s="7">
        <f t="shared" si="45"/>
        <v>1310</v>
      </c>
      <c r="I58" s="7">
        <f t="shared" si="45"/>
        <v>1310</v>
      </c>
      <c r="J58" s="7">
        <f t="shared" si="45"/>
        <v>1310</v>
      </c>
      <c r="K58" s="7">
        <f t="shared" si="45"/>
        <v>1310</v>
      </c>
      <c r="L58" s="7">
        <f t="shared" si="45"/>
        <v>1310</v>
      </c>
      <c r="M58" s="13" t="s">
        <v>455</v>
      </c>
      <c r="N58" s="7">
        <f t="shared" si="37"/>
        <v>0</v>
      </c>
      <c r="O58" s="7">
        <f t="shared" si="38"/>
        <v>15720</v>
      </c>
      <c r="P58" s="7">
        <f t="shared" si="5"/>
        <v>15720</v>
      </c>
      <c r="Q58" s="7">
        <v>15720</v>
      </c>
      <c r="R58" s="7">
        <f t="shared" si="39"/>
        <v>0</v>
      </c>
      <c r="S58" s="7"/>
      <c r="T58" s="7"/>
      <c r="U58" s="7">
        <v>15000</v>
      </c>
      <c r="V58" s="7">
        <f t="shared" si="4"/>
        <v>-720</v>
      </c>
      <c r="W58" s="7"/>
      <c r="X58" s="159">
        <f t="shared" si="6"/>
        <v>0</v>
      </c>
      <c r="Z58" s="182"/>
      <c r="AA58" s="182"/>
    </row>
    <row r="59" spans="1:27" x14ac:dyDescent="0.3">
      <c r="A59" s="7">
        <v>0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13" t="s">
        <v>456</v>
      </c>
      <c r="N59" s="7">
        <f t="shared" si="37"/>
        <v>0</v>
      </c>
      <c r="O59" s="7">
        <f t="shared" si="38"/>
        <v>0</v>
      </c>
      <c r="P59" s="7">
        <f t="shared" si="5"/>
        <v>0</v>
      </c>
      <c r="Q59" s="7">
        <v>0</v>
      </c>
      <c r="R59" s="7">
        <f t="shared" si="39"/>
        <v>0</v>
      </c>
      <c r="S59" s="7"/>
      <c r="T59" s="7"/>
      <c r="U59" s="7">
        <v>0</v>
      </c>
      <c r="V59" s="7">
        <f t="shared" si="4"/>
        <v>0</v>
      </c>
      <c r="W59" s="7"/>
      <c r="X59" s="159">
        <f t="shared" si="6"/>
        <v>0</v>
      </c>
      <c r="Z59" s="182"/>
      <c r="AA59" s="182"/>
    </row>
    <row r="60" spans="1:27" x14ac:dyDescent="0.3">
      <c r="A60" s="7">
        <v>0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13" t="s">
        <v>457</v>
      </c>
      <c r="N60" s="7">
        <f t="shared" si="37"/>
        <v>0</v>
      </c>
      <c r="O60" s="7">
        <f t="shared" si="38"/>
        <v>0</v>
      </c>
      <c r="P60" s="7">
        <f t="shared" si="5"/>
        <v>0</v>
      </c>
      <c r="Q60" s="7">
        <v>0</v>
      </c>
      <c r="R60" s="7">
        <f t="shared" si="39"/>
        <v>0</v>
      </c>
      <c r="S60" s="7"/>
      <c r="T60" s="7"/>
      <c r="U60" s="7">
        <v>0</v>
      </c>
      <c r="V60" s="7">
        <f t="shared" si="4"/>
        <v>0</v>
      </c>
      <c r="W60" s="7"/>
      <c r="X60" s="159">
        <f t="shared" si="6"/>
        <v>0</v>
      </c>
      <c r="Z60" s="182"/>
      <c r="AA60" s="182"/>
    </row>
    <row r="61" spans="1:27" x14ac:dyDescent="0.3">
      <c r="A61" s="7">
        <v>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13" t="s">
        <v>458</v>
      </c>
      <c r="N61" s="7">
        <f t="shared" si="37"/>
        <v>0</v>
      </c>
      <c r="O61" s="7">
        <f t="shared" si="38"/>
        <v>0</v>
      </c>
      <c r="P61" s="7">
        <f t="shared" si="5"/>
        <v>0</v>
      </c>
      <c r="Q61" s="7">
        <v>0</v>
      </c>
      <c r="R61" s="7">
        <f t="shared" si="39"/>
        <v>0</v>
      </c>
      <c r="S61" s="7"/>
      <c r="T61" s="7"/>
      <c r="U61" s="7">
        <v>0</v>
      </c>
      <c r="V61" s="7">
        <f t="shared" si="4"/>
        <v>0</v>
      </c>
      <c r="W61" s="7"/>
      <c r="X61" s="159">
        <f t="shared" si="6"/>
        <v>0</v>
      </c>
      <c r="Z61" s="182"/>
      <c r="AA61" s="182"/>
    </row>
    <row r="62" spans="1:27" x14ac:dyDescent="0.3">
      <c r="A62" s="7">
        <f>5091.05*1.048</f>
        <v>5335.4204</v>
      </c>
      <c r="B62" s="7">
        <f t="shared" ref="B62:L62" si="46">5091.05*1.048</f>
        <v>5335.4204</v>
      </c>
      <c r="C62" s="7">
        <f t="shared" si="46"/>
        <v>5335.4204</v>
      </c>
      <c r="D62" s="7">
        <f t="shared" si="46"/>
        <v>5335.4204</v>
      </c>
      <c r="E62" s="7">
        <f t="shared" si="46"/>
        <v>5335.4204</v>
      </c>
      <c r="F62" s="7">
        <f t="shared" si="46"/>
        <v>5335.4204</v>
      </c>
      <c r="G62" s="7">
        <f t="shared" si="46"/>
        <v>5335.4204</v>
      </c>
      <c r="H62" s="7">
        <f t="shared" si="46"/>
        <v>5335.4204</v>
      </c>
      <c r="I62" s="7">
        <f>48291.725091*1.048</f>
        <v>50609.727895368</v>
      </c>
      <c r="J62" s="7">
        <f t="shared" si="46"/>
        <v>5335.4204</v>
      </c>
      <c r="K62" s="7">
        <f t="shared" si="46"/>
        <v>5335.4204</v>
      </c>
      <c r="L62" s="7">
        <f t="shared" si="46"/>
        <v>5335.4204</v>
      </c>
      <c r="M62" s="238" t="s">
        <v>459</v>
      </c>
      <c r="N62" s="7">
        <f t="shared" si="37"/>
        <v>0</v>
      </c>
      <c r="O62" s="7">
        <f t="shared" si="38"/>
        <v>109299.35229536801</v>
      </c>
      <c r="P62" s="7">
        <f t="shared" si="5"/>
        <v>109299.35229536801</v>
      </c>
      <c r="Q62" s="7">
        <v>109299.35229536801</v>
      </c>
      <c r="R62" s="7">
        <f t="shared" si="39"/>
        <v>0</v>
      </c>
      <c r="S62" s="7"/>
      <c r="T62" s="7">
        <v>73200.989999999991</v>
      </c>
      <c r="U62" s="7">
        <v>73200.989999999991</v>
      </c>
      <c r="V62" s="7">
        <f t="shared" si="4"/>
        <v>-36098.362295368017</v>
      </c>
      <c r="W62" s="7"/>
      <c r="X62" s="159">
        <f t="shared" si="6"/>
        <v>0</v>
      </c>
      <c r="Z62" s="182"/>
      <c r="AA62" s="182"/>
    </row>
    <row r="63" spans="1:27" x14ac:dyDescent="0.3">
      <c r="A63" s="11">
        <v>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238" t="s">
        <v>460</v>
      </c>
      <c r="N63" s="11">
        <f t="shared" si="37"/>
        <v>0</v>
      </c>
      <c r="O63" s="11">
        <f t="shared" si="38"/>
        <v>0</v>
      </c>
      <c r="P63" s="11">
        <f t="shared" si="5"/>
        <v>0</v>
      </c>
      <c r="Q63" s="11">
        <v>0</v>
      </c>
      <c r="R63" s="11">
        <f t="shared" si="39"/>
        <v>0</v>
      </c>
      <c r="S63" s="11"/>
      <c r="T63" s="11"/>
      <c r="U63" s="11">
        <v>0</v>
      </c>
      <c r="V63" s="11">
        <f t="shared" si="4"/>
        <v>0</v>
      </c>
      <c r="W63" s="11"/>
      <c r="X63" s="160">
        <f t="shared" si="6"/>
        <v>0</v>
      </c>
      <c r="Z63" s="182"/>
      <c r="AA63" s="182"/>
    </row>
    <row r="64" spans="1:27" ht="15" thickBot="1" x14ac:dyDescent="0.35">
      <c r="A64" s="89"/>
      <c r="B64" s="89"/>
      <c r="C64" s="89"/>
      <c r="D64" s="90"/>
      <c r="E64" s="91"/>
      <c r="F64" s="91"/>
      <c r="G64" s="91"/>
      <c r="H64" s="91"/>
      <c r="I64" s="91"/>
      <c r="J64" s="91"/>
      <c r="K64" s="92"/>
      <c r="L64" s="92"/>
      <c r="M64" s="13"/>
      <c r="N64" s="91">
        <f t="shared" si="8"/>
        <v>0</v>
      </c>
      <c r="O64" s="91">
        <f t="shared" si="9"/>
        <v>0</v>
      </c>
      <c r="P64" s="91">
        <f t="shared" si="5"/>
        <v>0</v>
      </c>
      <c r="Q64" s="89">
        <v>0</v>
      </c>
      <c r="R64" s="89"/>
      <c r="S64" s="89"/>
      <c r="T64" s="89"/>
      <c r="U64" s="89">
        <v>0</v>
      </c>
      <c r="V64" s="89">
        <f t="shared" si="4"/>
        <v>0</v>
      </c>
      <c r="W64" s="89"/>
      <c r="X64" s="207">
        <f t="shared" si="6"/>
        <v>0</v>
      </c>
      <c r="Z64" s="182"/>
      <c r="AA64" s="182"/>
    </row>
    <row r="65" spans="1:30" x14ac:dyDescent="0.3">
      <c r="A65" s="4">
        <f>SUM(A48:A63)</f>
        <v>18682.7484</v>
      </c>
      <c r="B65" s="4">
        <f t="shared" ref="B65:L65" si="47">SUM(B48:B63)</f>
        <v>18682.7484</v>
      </c>
      <c r="C65" s="4">
        <f t="shared" si="47"/>
        <v>18682.7484</v>
      </c>
      <c r="D65" s="4">
        <f t="shared" si="47"/>
        <v>18682.7484</v>
      </c>
      <c r="E65" s="4">
        <f t="shared" si="47"/>
        <v>18682.7484</v>
      </c>
      <c r="F65" s="4">
        <f t="shared" si="47"/>
        <v>18682.7484</v>
      </c>
      <c r="G65" s="4">
        <f t="shared" si="47"/>
        <v>18682.7484</v>
      </c>
      <c r="H65" s="4">
        <f t="shared" si="47"/>
        <v>18682.7484</v>
      </c>
      <c r="I65" s="4">
        <f t="shared" si="47"/>
        <v>63957.055895368001</v>
      </c>
      <c r="J65" s="4">
        <f t="shared" si="47"/>
        <v>18682.7484</v>
      </c>
      <c r="K65" s="4">
        <f t="shared" si="47"/>
        <v>18682.7484</v>
      </c>
      <c r="L65" s="4">
        <f t="shared" si="47"/>
        <v>18426.840890005104</v>
      </c>
      <c r="M65" s="13" t="s">
        <v>132</v>
      </c>
      <c r="N65" s="4">
        <f t="shared" ref="N65:O65" si="48">SUM(N48:N63)</f>
        <v>0</v>
      </c>
      <c r="O65" s="4">
        <f t="shared" si="48"/>
        <v>269211.38078537316</v>
      </c>
      <c r="P65" s="4">
        <f t="shared" ref="P65:Q65" si="49">SUM(P48:P63)</f>
        <v>269211.38078537316</v>
      </c>
      <c r="Q65" s="4">
        <f t="shared" si="49"/>
        <v>269211.63550337311</v>
      </c>
      <c r="R65" s="4">
        <f t="shared" ref="R65:W65" si="50">SUM(R48:R63)</f>
        <v>0.254718000000139</v>
      </c>
      <c r="S65" s="4">
        <v>0</v>
      </c>
      <c r="T65" s="4">
        <v>202166.99</v>
      </c>
      <c r="U65" s="4">
        <v>361034.46415716363</v>
      </c>
      <c r="V65" s="4">
        <f t="shared" si="4"/>
        <v>91823.083371790475</v>
      </c>
      <c r="W65" s="4">
        <f t="shared" si="50"/>
        <v>0</v>
      </c>
      <c r="X65" s="162">
        <f t="shared" si="6"/>
        <v>0</v>
      </c>
      <c r="Z65" s="182"/>
      <c r="AA65" s="182"/>
    </row>
    <row r="66" spans="1:30" x14ac:dyDescent="0.3">
      <c r="A66" s="81"/>
      <c r="B66" s="81"/>
      <c r="C66" s="81"/>
      <c r="D66" s="82"/>
      <c r="E66" s="86"/>
      <c r="F66" s="86"/>
      <c r="G66" s="86"/>
      <c r="H66" s="87"/>
      <c r="I66" s="87"/>
      <c r="J66" s="87"/>
      <c r="K66" s="84"/>
      <c r="L66" s="84"/>
      <c r="M66" s="80"/>
      <c r="N66" s="86">
        <f t="shared" si="8"/>
        <v>0</v>
      </c>
      <c r="O66" s="86">
        <f t="shared" si="9"/>
        <v>0</v>
      </c>
      <c r="P66" s="86">
        <f t="shared" si="5"/>
        <v>0</v>
      </c>
      <c r="Q66" s="81"/>
      <c r="R66" s="81"/>
      <c r="S66" s="81"/>
      <c r="T66" s="81"/>
      <c r="U66" s="81">
        <v>0</v>
      </c>
      <c r="V66" s="81">
        <f t="shared" si="4"/>
        <v>0</v>
      </c>
      <c r="W66" s="81"/>
      <c r="X66" s="204">
        <f t="shared" si="6"/>
        <v>0</v>
      </c>
      <c r="Z66" s="182"/>
      <c r="AA66" s="182"/>
    </row>
    <row r="67" spans="1:30" x14ac:dyDescent="0.3">
      <c r="A67" s="8">
        <v>0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238" t="s">
        <v>461</v>
      </c>
      <c r="N67" s="8">
        <f t="shared" ref="N67:N89" si="51">SUM(0)</f>
        <v>0</v>
      </c>
      <c r="O67" s="8">
        <f t="shared" ref="O67:O89" si="52">SUM(A67:L67)</f>
        <v>0</v>
      </c>
      <c r="P67" s="8">
        <f t="shared" si="5"/>
        <v>0</v>
      </c>
      <c r="Q67" s="8">
        <v>0</v>
      </c>
      <c r="R67" s="8">
        <f t="shared" ref="R67:R89" si="53">Q67-P67</f>
        <v>0</v>
      </c>
      <c r="S67" s="8"/>
      <c r="T67" s="8"/>
      <c r="U67" s="8">
        <v>0</v>
      </c>
      <c r="V67" s="8">
        <f t="shared" si="4"/>
        <v>0</v>
      </c>
      <c r="W67" s="8"/>
      <c r="X67" s="158">
        <f t="shared" si="6"/>
        <v>0</v>
      </c>
      <c r="Z67" s="182"/>
      <c r="AA67" s="182"/>
    </row>
    <row r="68" spans="1:30" x14ac:dyDescent="0.3">
      <c r="A68" s="7">
        <v>0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13" t="s">
        <v>462</v>
      </c>
      <c r="N68" s="7">
        <f t="shared" si="51"/>
        <v>0</v>
      </c>
      <c r="O68" s="7">
        <f t="shared" si="52"/>
        <v>0</v>
      </c>
      <c r="P68" s="7">
        <f t="shared" si="5"/>
        <v>0</v>
      </c>
      <c r="Q68" s="7">
        <v>0</v>
      </c>
      <c r="R68" s="7">
        <f t="shared" si="53"/>
        <v>0</v>
      </c>
      <c r="S68" s="7"/>
      <c r="T68" s="7"/>
      <c r="U68" s="7">
        <v>0</v>
      </c>
      <c r="V68" s="7">
        <f t="shared" si="4"/>
        <v>0</v>
      </c>
      <c r="W68" s="7"/>
      <c r="X68" s="159">
        <f t="shared" si="6"/>
        <v>0</v>
      </c>
      <c r="Z68" s="182"/>
      <c r="AA68" s="182"/>
    </row>
    <row r="69" spans="1:30" x14ac:dyDescent="0.3">
      <c r="A69" s="7">
        <v>0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13" t="s">
        <v>463</v>
      </c>
      <c r="N69" s="7">
        <f t="shared" si="51"/>
        <v>0</v>
      </c>
      <c r="O69" s="7">
        <f t="shared" si="52"/>
        <v>0</v>
      </c>
      <c r="P69" s="7">
        <f t="shared" si="5"/>
        <v>0</v>
      </c>
      <c r="Q69" s="7">
        <v>0</v>
      </c>
      <c r="R69" s="7">
        <f t="shared" si="53"/>
        <v>0</v>
      </c>
      <c r="S69" s="7"/>
      <c r="T69" s="7"/>
      <c r="U69" s="7">
        <v>0</v>
      </c>
      <c r="V69" s="7">
        <f t="shared" si="4"/>
        <v>0</v>
      </c>
      <c r="W69" s="7"/>
      <c r="X69" s="159">
        <f t="shared" si="6"/>
        <v>0</v>
      </c>
      <c r="Z69" s="182"/>
      <c r="AA69" s="182"/>
    </row>
    <row r="70" spans="1:30" x14ac:dyDescent="0.3">
      <c r="A70" s="7">
        <v>0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13" t="s">
        <v>464</v>
      </c>
      <c r="N70" s="7">
        <f t="shared" si="51"/>
        <v>0</v>
      </c>
      <c r="O70" s="7">
        <f t="shared" si="52"/>
        <v>0</v>
      </c>
      <c r="P70" s="7">
        <f t="shared" si="5"/>
        <v>0</v>
      </c>
      <c r="Q70" s="7">
        <v>0</v>
      </c>
      <c r="R70" s="7">
        <f t="shared" si="53"/>
        <v>0</v>
      </c>
      <c r="S70" s="7"/>
      <c r="T70" s="7"/>
      <c r="U70" s="7">
        <v>0</v>
      </c>
      <c r="V70" s="7">
        <f t="shared" si="4"/>
        <v>0</v>
      </c>
      <c r="W70" s="7"/>
      <c r="X70" s="159">
        <f t="shared" si="6"/>
        <v>0</v>
      </c>
      <c r="Z70" s="182"/>
      <c r="AA70" s="182"/>
    </row>
    <row r="71" spans="1:30" x14ac:dyDescent="0.3">
      <c r="A71" s="7">
        <f>103521*1.048</f>
        <v>108490.008</v>
      </c>
      <c r="B71" s="7">
        <f t="shared" ref="B71:K71" si="54">103521*1.048</f>
        <v>108490.008</v>
      </c>
      <c r="C71" s="7">
        <f t="shared" si="54"/>
        <v>108490.008</v>
      </c>
      <c r="D71" s="7">
        <f t="shared" si="54"/>
        <v>108490.008</v>
      </c>
      <c r="E71" s="7">
        <f t="shared" si="54"/>
        <v>108490.008</v>
      </c>
      <c r="F71" s="7">
        <f t="shared" si="54"/>
        <v>108490.008</v>
      </c>
      <c r="G71" s="7">
        <f t="shared" si="54"/>
        <v>108490.008</v>
      </c>
      <c r="H71" s="7">
        <f t="shared" si="54"/>
        <v>108490.008</v>
      </c>
      <c r="I71" s="7">
        <f t="shared" si="54"/>
        <v>108490.008</v>
      </c>
      <c r="J71" s="7">
        <f t="shared" si="54"/>
        <v>108490.008</v>
      </c>
      <c r="K71" s="7">
        <f t="shared" si="54"/>
        <v>108490.008</v>
      </c>
      <c r="L71" s="7">
        <f>103521*1.048+29</f>
        <v>108519.008</v>
      </c>
      <c r="M71" s="13" t="s">
        <v>465</v>
      </c>
      <c r="N71" s="7">
        <f t="shared" si="51"/>
        <v>0</v>
      </c>
      <c r="O71" s="7">
        <f t="shared" si="52"/>
        <v>1301909.0959999999</v>
      </c>
      <c r="P71" s="7">
        <f t="shared" si="5"/>
        <v>1301909.0959999999</v>
      </c>
      <c r="Q71" s="7">
        <v>1301909.0959999999</v>
      </c>
      <c r="R71" s="7">
        <f t="shared" si="53"/>
        <v>0</v>
      </c>
      <c r="S71" s="7"/>
      <c r="T71" s="7">
        <v>169523</v>
      </c>
      <c r="U71" s="7">
        <v>1288226.9448630002</v>
      </c>
      <c r="V71" s="7">
        <f t="shared" si="4"/>
        <v>-13682.151136999717</v>
      </c>
      <c r="W71" s="7"/>
      <c r="X71" s="159">
        <f t="shared" si="6"/>
        <v>0</v>
      </c>
      <c r="Z71" s="182"/>
      <c r="AA71" s="182"/>
    </row>
    <row r="72" spans="1:30" x14ac:dyDescent="0.3">
      <c r="A72" s="7">
        <v>0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13" t="s">
        <v>466</v>
      </c>
      <c r="N72" s="7">
        <f t="shared" si="51"/>
        <v>0</v>
      </c>
      <c r="O72" s="7">
        <f t="shared" si="52"/>
        <v>0</v>
      </c>
      <c r="P72" s="7">
        <f t="shared" ref="P72:P128" si="55">SUM(N72:O72)</f>
        <v>0</v>
      </c>
      <c r="Q72" s="7">
        <v>0</v>
      </c>
      <c r="R72" s="7">
        <f t="shared" si="53"/>
        <v>0</v>
      </c>
      <c r="S72" s="7"/>
      <c r="T72" s="7"/>
      <c r="U72" s="7">
        <v>0</v>
      </c>
      <c r="V72" s="7">
        <f t="shared" ref="V72:V129" si="56">U72-P72</f>
        <v>0</v>
      </c>
      <c r="W72" s="7"/>
      <c r="X72" s="159">
        <f t="shared" si="6"/>
        <v>0</v>
      </c>
      <c r="Z72" s="182"/>
      <c r="AA72" s="182"/>
    </row>
    <row r="73" spans="1:30" x14ac:dyDescent="0.3">
      <c r="A73" s="7">
        <v>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13" t="s">
        <v>453</v>
      </c>
      <c r="N73" s="7">
        <f t="shared" si="51"/>
        <v>0</v>
      </c>
      <c r="O73" s="7">
        <f t="shared" si="52"/>
        <v>0</v>
      </c>
      <c r="P73" s="7">
        <f t="shared" si="55"/>
        <v>0</v>
      </c>
      <c r="Q73" s="7">
        <v>0</v>
      </c>
      <c r="R73" s="7">
        <f t="shared" si="53"/>
        <v>0</v>
      </c>
      <c r="S73" s="7"/>
      <c r="T73" s="7"/>
      <c r="U73" s="7">
        <v>0</v>
      </c>
      <c r="V73" s="7">
        <f t="shared" si="56"/>
        <v>0</v>
      </c>
      <c r="W73" s="7"/>
      <c r="X73" s="159">
        <f t="shared" ref="X73:X129" si="57">IFERROR(N73/Q73,0)</f>
        <v>0</v>
      </c>
      <c r="Z73" s="182"/>
      <c r="AA73" s="182"/>
    </row>
    <row r="74" spans="1:30" x14ac:dyDescent="0.3">
      <c r="A74" s="7">
        <v>0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238" t="s">
        <v>467</v>
      </c>
      <c r="N74" s="7">
        <f t="shared" si="51"/>
        <v>0</v>
      </c>
      <c r="O74" s="7">
        <f t="shared" si="52"/>
        <v>0</v>
      </c>
      <c r="P74" s="7">
        <f t="shared" si="55"/>
        <v>0</v>
      </c>
      <c r="Q74" s="7">
        <v>0</v>
      </c>
      <c r="R74" s="7">
        <f t="shared" si="53"/>
        <v>0</v>
      </c>
      <c r="S74" s="7"/>
      <c r="T74" s="7"/>
      <c r="U74" s="7">
        <v>0</v>
      </c>
      <c r="V74" s="7">
        <f t="shared" si="56"/>
        <v>0</v>
      </c>
      <c r="W74" s="7"/>
      <c r="X74" s="159">
        <f t="shared" si="57"/>
        <v>0</v>
      </c>
      <c r="Z74" s="182"/>
      <c r="AA74" s="182"/>
    </row>
    <row r="75" spans="1:30" x14ac:dyDescent="0.3">
      <c r="A75" s="7">
        <v>0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13" t="s">
        <v>468</v>
      </c>
      <c r="N75" s="7">
        <f t="shared" si="51"/>
        <v>0</v>
      </c>
      <c r="O75" s="7">
        <f t="shared" si="52"/>
        <v>0</v>
      </c>
      <c r="P75" s="7">
        <f t="shared" si="55"/>
        <v>0</v>
      </c>
      <c r="Q75" s="7">
        <v>0</v>
      </c>
      <c r="R75" s="7">
        <f t="shared" si="53"/>
        <v>0</v>
      </c>
      <c r="S75" s="7"/>
      <c r="T75" s="7"/>
      <c r="U75" s="7">
        <v>0</v>
      </c>
      <c r="V75" s="7">
        <f t="shared" si="56"/>
        <v>0</v>
      </c>
      <c r="W75" s="7"/>
      <c r="X75" s="159">
        <f t="shared" si="57"/>
        <v>0</v>
      </c>
      <c r="Z75" s="182"/>
      <c r="AA75" s="182"/>
    </row>
    <row r="76" spans="1:30" x14ac:dyDescent="0.3">
      <c r="A76" s="7">
        <v>0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13" t="s">
        <v>469</v>
      </c>
      <c r="N76" s="7">
        <f t="shared" si="51"/>
        <v>0</v>
      </c>
      <c r="O76" s="7">
        <f t="shared" si="52"/>
        <v>0</v>
      </c>
      <c r="P76" s="7">
        <f t="shared" si="55"/>
        <v>0</v>
      </c>
      <c r="Q76" s="7">
        <v>0</v>
      </c>
      <c r="R76" s="7">
        <f t="shared" si="53"/>
        <v>0</v>
      </c>
      <c r="S76" s="7"/>
      <c r="T76" s="7"/>
      <c r="U76" s="7">
        <v>0</v>
      </c>
      <c r="V76" s="7">
        <f t="shared" si="56"/>
        <v>0</v>
      </c>
      <c r="W76" s="7"/>
      <c r="X76" s="159">
        <f t="shared" si="57"/>
        <v>0</v>
      </c>
      <c r="Z76" s="182"/>
      <c r="AA76" s="182"/>
    </row>
    <row r="77" spans="1:30" x14ac:dyDescent="0.3">
      <c r="A77" s="7">
        <v>0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13" t="s">
        <v>470</v>
      </c>
      <c r="N77" s="7">
        <f t="shared" si="51"/>
        <v>0</v>
      </c>
      <c r="O77" s="7">
        <f t="shared" si="52"/>
        <v>0</v>
      </c>
      <c r="P77" s="7">
        <f t="shared" si="55"/>
        <v>0</v>
      </c>
      <c r="Q77" s="7">
        <v>0</v>
      </c>
      <c r="R77" s="7">
        <f t="shared" si="53"/>
        <v>0</v>
      </c>
      <c r="S77" s="7"/>
      <c r="T77" s="7"/>
      <c r="U77" s="7">
        <v>0</v>
      </c>
      <c r="V77" s="7">
        <f t="shared" si="56"/>
        <v>0</v>
      </c>
      <c r="W77" s="7"/>
      <c r="X77" s="159">
        <f t="shared" si="57"/>
        <v>0</v>
      </c>
      <c r="Z77" s="182"/>
      <c r="AA77" s="182"/>
    </row>
    <row r="78" spans="1:30" x14ac:dyDescent="0.3">
      <c r="A78" s="7">
        <v>0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13" t="s">
        <v>471</v>
      </c>
      <c r="N78" s="7">
        <f t="shared" si="51"/>
        <v>0</v>
      </c>
      <c r="O78" s="7">
        <f t="shared" si="52"/>
        <v>0</v>
      </c>
      <c r="P78" s="7">
        <f t="shared" si="55"/>
        <v>0</v>
      </c>
      <c r="Q78" s="7">
        <v>0</v>
      </c>
      <c r="R78" s="7">
        <f t="shared" si="53"/>
        <v>0</v>
      </c>
      <c r="S78" s="7"/>
      <c r="T78" s="7"/>
      <c r="U78" s="7">
        <v>0</v>
      </c>
      <c r="V78" s="7">
        <f t="shared" si="56"/>
        <v>0</v>
      </c>
      <c r="W78" s="7"/>
      <c r="X78" s="159">
        <f t="shared" si="57"/>
        <v>0</v>
      </c>
      <c r="Z78" s="182"/>
      <c r="AA78" s="182"/>
    </row>
    <row r="79" spans="1:30" x14ac:dyDescent="0.3">
      <c r="A79" s="7">
        <v>0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13" t="s">
        <v>472</v>
      </c>
      <c r="N79" s="7">
        <f t="shared" si="51"/>
        <v>0</v>
      </c>
      <c r="O79" s="7">
        <f t="shared" si="52"/>
        <v>0</v>
      </c>
      <c r="P79" s="7">
        <f t="shared" si="55"/>
        <v>0</v>
      </c>
      <c r="Q79" s="7">
        <v>0</v>
      </c>
      <c r="R79" s="7">
        <f t="shared" si="53"/>
        <v>0</v>
      </c>
      <c r="S79" s="7"/>
      <c r="T79" s="7"/>
      <c r="U79" s="7">
        <v>0</v>
      </c>
      <c r="V79" s="7">
        <f t="shared" si="56"/>
        <v>0</v>
      </c>
      <c r="W79" s="7"/>
      <c r="X79" s="159">
        <f t="shared" si="57"/>
        <v>0</v>
      </c>
      <c r="Z79" s="182"/>
      <c r="AA79" s="182"/>
      <c r="AB79" s="296"/>
      <c r="AD79" s="296"/>
    </row>
    <row r="80" spans="1:30" x14ac:dyDescent="0.3">
      <c r="A80" s="7">
        <v>0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13" t="s">
        <v>145</v>
      </c>
      <c r="N80" s="7">
        <f t="shared" si="51"/>
        <v>0</v>
      </c>
      <c r="O80" s="7">
        <f t="shared" si="52"/>
        <v>0</v>
      </c>
      <c r="P80" s="7">
        <f t="shared" si="55"/>
        <v>0</v>
      </c>
      <c r="Q80" s="7">
        <v>0</v>
      </c>
      <c r="R80" s="7">
        <f t="shared" si="53"/>
        <v>0</v>
      </c>
      <c r="S80" s="7"/>
      <c r="T80" s="7"/>
      <c r="U80" s="7">
        <v>0</v>
      </c>
      <c r="V80" s="7">
        <f t="shared" si="56"/>
        <v>0</v>
      </c>
      <c r="W80" s="7"/>
      <c r="X80" s="159">
        <f t="shared" si="57"/>
        <v>0</v>
      </c>
      <c r="Z80" s="182"/>
      <c r="AA80" s="182"/>
    </row>
    <row r="81" spans="1:30" x14ac:dyDescent="0.3">
      <c r="A81" s="7">
        <v>0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f>7525*1.048</f>
        <v>7886.2000000000007</v>
      </c>
      <c r="M81" s="238" t="s">
        <v>473</v>
      </c>
      <c r="N81" s="7">
        <f t="shared" si="51"/>
        <v>0</v>
      </c>
      <c r="O81" s="7">
        <f t="shared" si="52"/>
        <v>7886.2000000000007</v>
      </c>
      <c r="P81" s="7">
        <f t="shared" si="55"/>
        <v>7886.2000000000007</v>
      </c>
      <c r="Q81" s="7">
        <v>7886.2000000000007</v>
      </c>
      <c r="R81" s="258">
        <f t="shared" si="53"/>
        <v>0</v>
      </c>
      <c r="S81" s="7"/>
      <c r="T81" s="7">
        <v>-52474.99</v>
      </c>
      <c r="U81" s="7">
        <v>7525.010000000002</v>
      </c>
      <c r="V81" s="7">
        <f t="shared" si="56"/>
        <v>-361.18999999999869</v>
      </c>
      <c r="W81" s="7"/>
      <c r="X81" s="159">
        <f t="shared" si="57"/>
        <v>0</v>
      </c>
      <c r="Z81" s="182"/>
      <c r="AA81" s="182"/>
      <c r="AD81" s="383"/>
    </row>
    <row r="82" spans="1:30" x14ac:dyDescent="0.3">
      <c r="A82" s="7">
        <f>120507*1.048</f>
        <v>126291.33600000001</v>
      </c>
      <c r="B82" s="7">
        <f t="shared" ref="B82:L82" si="58">120507*1.048</f>
        <v>126291.33600000001</v>
      </c>
      <c r="C82" s="7">
        <f t="shared" si="58"/>
        <v>126291.33600000001</v>
      </c>
      <c r="D82" s="7">
        <f t="shared" si="58"/>
        <v>126291.33600000001</v>
      </c>
      <c r="E82" s="7">
        <f t="shared" si="58"/>
        <v>126291.33600000001</v>
      </c>
      <c r="F82" s="7">
        <f t="shared" si="58"/>
        <v>126291.33600000001</v>
      </c>
      <c r="G82" s="7">
        <f t="shared" si="58"/>
        <v>126291.33600000001</v>
      </c>
      <c r="H82" s="7">
        <f t="shared" si="58"/>
        <v>126291.33600000001</v>
      </c>
      <c r="I82" s="7">
        <f t="shared" si="58"/>
        <v>126291.33600000001</v>
      </c>
      <c r="J82" s="7">
        <f t="shared" si="58"/>
        <v>126291.33600000001</v>
      </c>
      <c r="K82" s="7">
        <f t="shared" si="58"/>
        <v>126291.33600000001</v>
      </c>
      <c r="L82" s="7">
        <f t="shared" si="58"/>
        <v>126291.33600000001</v>
      </c>
      <c r="M82" s="238" t="s">
        <v>474</v>
      </c>
      <c r="N82" s="7">
        <f t="shared" si="51"/>
        <v>0</v>
      </c>
      <c r="O82" s="7">
        <f t="shared" si="52"/>
        <v>1515496.0320000006</v>
      </c>
      <c r="P82" s="7">
        <f t="shared" si="55"/>
        <v>1515496.0320000006</v>
      </c>
      <c r="Q82" s="7">
        <v>1515496.0320000006</v>
      </c>
      <c r="R82" s="7">
        <f t="shared" si="53"/>
        <v>0</v>
      </c>
      <c r="S82" s="7">
        <v>125962.8</v>
      </c>
      <c r="T82" s="7">
        <v>281269</v>
      </c>
      <c r="U82" s="7">
        <v>588918.82386200002</v>
      </c>
      <c r="V82" s="7">
        <f t="shared" si="56"/>
        <v>-926577.20813800057</v>
      </c>
      <c r="W82" s="7"/>
      <c r="X82" s="159">
        <f>IFERROR(N82/Q82,0)</f>
        <v>0</v>
      </c>
      <c r="Z82" s="182"/>
      <c r="AA82" s="182"/>
    </row>
    <row r="83" spans="1:30" x14ac:dyDescent="0.3">
      <c r="A83" s="7">
        <v>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238" t="s">
        <v>148</v>
      </c>
      <c r="N83" s="7">
        <f t="shared" si="51"/>
        <v>0</v>
      </c>
      <c r="O83" s="7">
        <f t="shared" si="52"/>
        <v>0</v>
      </c>
      <c r="P83" s="7">
        <f t="shared" si="55"/>
        <v>0</v>
      </c>
      <c r="Q83" s="7">
        <v>0</v>
      </c>
      <c r="R83" s="7">
        <f t="shared" si="53"/>
        <v>0</v>
      </c>
      <c r="S83" s="7"/>
      <c r="T83" s="7"/>
      <c r="U83" s="7">
        <v>0</v>
      </c>
      <c r="V83" s="7">
        <f t="shared" si="56"/>
        <v>0</v>
      </c>
      <c r="W83" s="7"/>
      <c r="X83" s="159">
        <f t="shared" si="57"/>
        <v>0</v>
      </c>
      <c r="Z83" s="182"/>
      <c r="AA83" s="182"/>
    </row>
    <row r="84" spans="1:30" x14ac:dyDescent="0.3">
      <c r="A84" s="7">
        <v>0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13" t="s">
        <v>475</v>
      </c>
      <c r="N84" s="7">
        <f t="shared" si="51"/>
        <v>0</v>
      </c>
      <c r="O84" s="7">
        <f t="shared" si="52"/>
        <v>0</v>
      </c>
      <c r="P84" s="7">
        <f t="shared" si="55"/>
        <v>0</v>
      </c>
      <c r="Q84" s="7">
        <v>0</v>
      </c>
      <c r="R84" s="7">
        <f t="shared" si="53"/>
        <v>0</v>
      </c>
      <c r="S84" s="7"/>
      <c r="T84" s="7"/>
      <c r="U84" s="7">
        <v>0</v>
      </c>
      <c r="V84" s="7">
        <f t="shared" si="56"/>
        <v>0</v>
      </c>
      <c r="W84" s="7"/>
      <c r="X84" s="159">
        <f t="shared" si="57"/>
        <v>0</v>
      </c>
      <c r="Z84" s="182"/>
      <c r="AA84" s="182"/>
    </row>
    <row r="85" spans="1:30" x14ac:dyDescent="0.3">
      <c r="A85" s="7">
        <v>0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13" t="s">
        <v>476</v>
      </c>
      <c r="N85" s="7">
        <f t="shared" si="51"/>
        <v>0</v>
      </c>
      <c r="O85" s="7">
        <f t="shared" si="52"/>
        <v>0</v>
      </c>
      <c r="P85" s="7">
        <f t="shared" si="55"/>
        <v>0</v>
      </c>
      <c r="Q85" s="7">
        <v>0</v>
      </c>
      <c r="R85" s="7">
        <f t="shared" si="53"/>
        <v>0</v>
      </c>
      <c r="S85" s="7"/>
      <c r="T85" s="7"/>
      <c r="U85" s="7">
        <v>0</v>
      </c>
      <c r="V85" s="7">
        <f t="shared" si="56"/>
        <v>0</v>
      </c>
      <c r="W85" s="7"/>
      <c r="X85" s="159">
        <f t="shared" si="57"/>
        <v>0</v>
      </c>
      <c r="Z85" s="182"/>
      <c r="AA85" s="182"/>
    </row>
    <row r="86" spans="1:30" x14ac:dyDescent="0.3">
      <c r="A86" s="7">
        <v>0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13" t="s">
        <v>151</v>
      </c>
      <c r="N86" s="7">
        <f t="shared" si="51"/>
        <v>0</v>
      </c>
      <c r="O86" s="7">
        <f t="shared" si="52"/>
        <v>0</v>
      </c>
      <c r="P86" s="7">
        <f t="shared" si="55"/>
        <v>0</v>
      </c>
      <c r="Q86" s="7">
        <v>0</v>
      </c>
      <c r="R86" s="7">
        <f t="shared" si="53"/>
        <v>0</v>
      </c>
      <c r="S86" s="7"/>
      <c r="T86" s="7"/>
      <c r="U86" s="7">
        <v>0</v>
      </c>
      <c r="V86" s="7">
        <f t="shared" si="56"/>
        <v>0</v>
      </c>
      <c r="W86" s="7"/>
      <c r="X86" s="159">
        <f t="shared" si="57"/>
        <v>0</v>
      </c>
      <c r="Z86" s="182"/>
      <c r="AA86" s="182"/>
    </row>
    <row r="87" spans="1:30" x14ac:dyDescent="0.3">
      <c r="A87" s="7">
        <v>0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13" t="s">
        <v>477</v>
      </c>
      <c r="N87" s="7">
        <f t="shared" si="51"/>
        <v>0</v>
      </c>
      <c r="O87" s="7">
        <f t="shared" si="52"/>
        <v>0</v>
      </c>
      <c r="P87" s="7">
        <f t="shared" si="55"/>
        <v>0</v>
      </c>
      <c r="Q87" s="7">
        <v>0</v>
      </c>
      <c r="R87" s="7">
        <f t="shared" si="53"/>
        <v>0</v>
      </c>
      <c r="S87" s="7"/>
      <c r="T87" s="7"/>
      <c r="U87" s="7">
        <v>0</v>
      </c>
      <c r="V87" s="7">
        <f t="shared" si="56"/>
        <v>0</v>
      </c>
      <c r="W87" s="7"/>
      <c r="X87" s="159">
        <f t="shared" si="57"/>
        <v>0</v>
      </c>
      <c r="Z87" s="182"/>
      <c r="AA87" s="182"/>
    </row>
    <row r="88" spans="1:30" x14ac:dyDescent="0.3">
      <c r="A88" s="7">
        <v>0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13" t="s">
        <v>478</v>
      </c>
      <c r="N88" s="7">
        <f t="shared" si="51"/>
        <v>0</v>
      </c>
      <c r="O88" s="7">
        <f t="shared" si="52"/>
        <v>0</v>
      </c>
      <c r="P88" s="7">
        <f t="shared" si="55"/>
        <v>0</v>
      </c>
      <c r="Q88" s="7">
        <v>0</v>
      </c>
      <c r="R88" s="7">
        <f t="shared" si="53"/>
        <v>0</v>
      </c>
      <c r="S88" s="7"/>
      <c r="T88" s="7"/>
      <c r="U88" s="7">
        <v>0</v>
      </c>
      <c r="V88" s="7">
        <f t="shared" si="56"/>
        <v>0</v>
      </c>
      <c r="W88" s="7"/>
      <c r="X88" s="159">
        <f t="shared" si="57"/>
        <v>0</v>
      </c>
      <c r="Z88" s="182"/>
      <c r="AA88" s="182"/>
    </row>
    <row r="89" spans="1:30" x14ac:dyDescent="0.3">
      <c r="A89" s="11">
        <v>0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238" t="s">
        <v>479</v>
      </c>
      <c r="N89" s="11">
        <f t="shared" si="51"/>
        <v>0</v>
      </c>
      <c r="O89" s="11">
        <f t="shared" si="52"/>
        <v>0</v>
      </c>
      <c r="P89" s="11">
        <f t="shared" si="55"/>
        <v>0</v>
      </c>
      <c r="Q89" s="11">
        <v>0</v>
      </c>
      <c r="R89" s="11">
        <f t="shared" si="53"/>
        <v>0</v>
      </c>
      <c r="S89" s="11"/>
      <c r="T89" s="11"/>
      <c r="U89" s="11">
        <v>0</v>
      </c>
      <c r="V89" s="11">
        <f t="shared" si="56"/>
        <v>0</v>
      </c>
      <c r="W89" s="11"/>
      <c r="X89" s="160">
        <f t="shared" si="57"/>
        <v>0</v>
      </c>
      <c r="Z89" s="182"/>
      <c r="AA89" s="182"/>
    </row>
    <row r="90" spans="1:30" ht="15" thickBot="1" x14ac:dyDescent="0.35">
      <c r="A90" s="93"/>
      <c r="B90" s="93"/>
      <c r="C90" s="93"/>
      <c r="D90" s="94"/>
      <c r="E90" s="91"/>
      <c r="F90" s="91"/>
      <c r="G90" s="91"/>
      <c r="H90" s="91"/>
      <c r="I90" s="91"/>
      <c r="J90" s="91"/>
      <c r="K90" s="92"/>
      <c r="L90" s="92"/>
      <c r="M90" s="13"/>
      <c r="N90" s="91">
        <f t="shared" ref="N90:N128" si="59">SUM(A90:J90)</f>
        <v>0</v>
      </c>
      <c r="O90" s="91">
        <f t="shared" ref="O90:O128" si="60">SUM(K90:L90)</f>
        <v>0</v>
      </c>
      <c r="P90" s="91">
        <f t="shared" si="55"/>
        <v>0</v>
      </c>
      <c r="Q90" s="93">
        <v>0</v>
      </c>
      <c r="R90" s="93"/>
      <c r="S90" s="93"/>
      <c r="T90" s="93"/>
      <c r="U90" s="93">
        <v>0</v>
      </c>
      <c r="V90" s="93">
        <f t="shared" si="56"/>
        <v>0</v>
      </c>
      <c r="W90" s="93"/>
      <c r="X90" s="208">
        <f t="shared" si="57"/>
        <v>0</v>
      </c>
      <c r="Z90" s="182"/>
      <c r="AA90" s="182"/>
    </row>
    <row r="91" spans="1:30" x14ac:dyDescent="0.3">
      <c r="A91" s="4">
        <f>SUM(A67:A89)</f>
        <v>234781.34400000001</v>
      </c>
      <c r="B91" s="4">
        <f t="shared" ref="B91:L91" si="61">SUM(B67:B89)</f>
        <v>234781.34400000001</v>
      </c>
      <c r="C91" s="4">
        <f t="shared" si="61"/>
        <v>234781.34400000001</v>
      </c>
      <c r="D91" s="4">
        <f t="shared" si="61"/>
        <v>234781.34400000001</v>
      </c>
      <c r="E91" s="4">
        <f t="shared" si="61"/>
        <v>234781.34400000001</v>
      </c>
      <c r="F91" s="4">
        <f t="shared" si="61"/>
        <v>234781.34400000001</v>
      </c>
      <c r="G91" s="4">
        <f t="shared" si="61"/>
        <v>234781.34400000001</v>
      </c>
      <c r="H91" s="4">
        <f t="shared" si="61"/>
        <v>234781.34400000001</v>
      </c>
      <c r="I91" s="4">
        <f t="shared" si="61"/>
        <v>234781.34400000001</v>
      </c>
      <c r="J91" s="4">
        <f t="shared" si="61"/>
        <v>234781.34400000001</v>
      </c>
      <c r="K91" s="4">
        <f t="shared" si="61"/>
        <v>234781.34400000001</v>
      </c>
      <c r="L91" s="4">
        <f t="shared" si="61"/>
        <v>242696.54399999999</v>
      </c>
      <c r="M91" s="13" t="s">
        <v>155</v>
      </c>
      <c r="N91" s="4">
        <f t="shared" ref="N91:O91" si="62">SUM(N67:N89)</f>
        <v>0</v>
      </c>
      <c r="O91" s="4">
        <f t="shared" si="62"/>
        <v>2825291.3280000007</v>
      </c>
      <c r="P91" s="4">
        <f t="shared" ref="P91:Q91" si="63">SUM(P67:P89)</f>
        <v>2825291.3280000007</v>
      </c>
      <c r="Q91" s="4">
        <f t="shared" si="63"/>
        <v>2825291.3280000007</v>
      </c>
      <c r="R91" s="4">
        <f t="shared" ref="R91:W91" si="64">SUM(R67:R89)</f>
        <v>0</v>
      </c>
      <c r="S91" s="4">
        <v>0</v>
      </c>
      <c r="T91" s="4">
        <v>398317.01</v>
      </c>
      <c r="U91" s="4">
        <v>1884670.7787250003</v>
      </c>
      <c r="V91" s="4">
        <f t="shared" si="56"/>
        <v>-940620.54927500035</v>
      </c>
      <c r="W91" s="4">
        <f t="shared" si="64"/>
        <v>0</v>
      </c>
      <c r="X91" s="162">
        <f t="shared" si="57"/>
        <v>0</v>
      </c>
      <c r="Z91" s="182"/>
      <c r="AA91" s="182"/>
    </row>
    <row r="92" spans="1:30" x14ac:dyDescent="0.3">
      <c r="A92" s="81"/>
      <c r="B92" s="81"/>
      <c r="C92" s="81"/>
      <c r="D92" s="82"/>
      <c r="E92" s="86"/>
      <c r="F92" s="86"/>
      <c r="G92" s="86"/>
      <c r="H92" s="87"/>
      <c r="I92" s="87"/>
      <c r="J92" s="87"/>
      <c r="K92" s="84"/>
      <c r="L92" s="84"/>
      <c r="M92" s="80"/>
      <c r="N92" s="86">
        <f t="shared" si="59"/>
        <v>0</v>
      </c>
      <c r="O92" s="86">
        <f t="shared" si="60"/>
        <v>0</v>
      </c>
      <c r="P92" s="86">
        <f t="shared" si="55"/>
        <v>0</v>
      </c>
      <c r="Q92" s="81">
        <v>0</v>
      </c>
      <c r="R92" s="81"/>
      <c r="S92" s="81"/>
      <c r="T92" s="81"/>
      <c r="U92" s="81">
        <v>0</v>
      </c>
      <c r="V92" s="81">
        <f t="shared" si="56"/>
        <v>0</v>
      </c>
      <c r="W92" s="81"/>
      <c r="X92" s="204">
        <f t="shared" si="57"/>
        <v>0</v>
      </c>
      <c r="Z92" s="182"/>
      <c r="AA92" s="182"/>
    </row>
    <row r="93" spans="1:30" x14ac:dyDescent="0.3">
      <c r="A93" s="8">
        <f>226*1.048</f>
        <v>236.84800000000001</v>
      </c>
      <c r="B93" s="8">
        <f t="shared" ref="B93:L93" si="65">226*1.048</f>
        <v>236.84800000000001</v>
      </c>
      <c r="C93" s="8">
        <f t="shared" si="65"/>
        <v>236.84800000000001</v>
      </c>
      <c r="D93" s="8">
        <f t="shared" si="65"/>
        <v>236.84800000000001</v>
      </c>
      <c r="E93" s="8">
        <f t="shared" si="65"/>
        <v>236.84800000000001</v>
      </c>
      <c r="F93" s="8">
        <f t="shared" si="65"/>
        <v>236.84800000000001</v>
      </c>
      <c r="G93" s="8">
        <f t="shared" si="65"/>
        <v>236.84800000000001</v>
      </c>
      <c r="H93" s="8">
        <f t="shared" si="65"/>
        <v>236.84800000000001</v>
      </c>
      <c r="I93" s="8">
        <f t="shared" si="65"/>
        <v>236.84800000000001</v>
      </c>
      <c r="J93" s="8">
        <f t="shared" si="65"/>
        <v>236.84800000000001</v>
      </c>
      <c r="K93" s="8">
        <f t="shared" si="65"/>
        <v>236.84800000000001</v>
      </c>
      <c r="L93" s="8">
        <f t="shared" si="65"/>
        <v>236.84800000000001</v>
      </c>
      <c r="M93" s="238" t="s">
        <v>480</v>
      </c>
      <c r="N93" s="8">
        <f t="shared" ref="N93:N100" si="66">SUM(0)</f>
        <v>0</v>
      </c>
      <c r="O93" s="8">
        <f t="shared" ref="O93:O100" si="67">SUM(A93:L93)</f>
        <v>2842.1759999999999</v>
      </c>
      <c r="P93" s="8">
        <f t="shared" si="55"/>
        <v>2842.1759999999999</v>
      </c>
      <c r="Q93" s="8">
        <v>2842.1759999999999</v>
      </c>
      <c r="R93" s="8">
        <f t="shared" ref="R93:R100" si="68">Q93-P93</f>
        <v>0</v>
      </c>
      <c r="S93" s="8"/>
      <c r="T93" s="8">
        <v>-1488</v>
      </c>
      <c r="U93" s="8">
        <v>1221</v>
      </c>
      <c r="V93" s="8">
        <f t="shared" si="56"/>
        <v>-1621.1759999999999</v>
      </c>
      <c r="W93" s="8"/>
      <c r="X93" s="158">
        <f t="shared" si="57"/>
        <v>0</v>
      </c>
      <c r="Z93" s="182"/>
      <c r="AA93" s="182"/>
    </row>
    <row r="94" spans="1:30" x14ac:dyDescent="0.3">
      <c r="A94" s="7">
        <f t="shared" ref="A94:L100" si="69">$Q94/12</f>
        <v>0</v>
      </c>
      <c r="B94" s="7">
        <f t="shared" si="69"/>
        <v>0</v>
      </c>
      <c r="C94" s="7">
        <f t="shared" si="69"/>
        <v>0</v>
      </c>
      <c r="D94" s="7">
        <f t="shared" si="69"/>
        <v>0</v>
      </c>
      <c r="E94" s="7">
        <f t="shared" si="69"/>
        <v>0</v>
      </c>
      <c r="F94" s="7">
        <f t="shared" si="69"/>
        <v>0</v>
      </c>
      <c r="G94" s="7">
        <f t="shared" si="69"/>
        <v>0</v>
      </c>
      <c r="H94" s="7">
        <f t="shared" si="69"/>
        <v>0</v>
      </c>
      <c r="I94" s="7">
        <f t="shared" si="69"/>
        <v>0</v>
      </c>
      <c r="J94" s="7">
        <f t="shared" si="69"/>
        <v>0</v>
      </c>
      <c r="K94" s="7">
        <f t="shared" si="69"/>
        <v>0</v>
      </c>
      <c r="L94" s="7">
        <f t="shared" si="69"/>
        <v>0</v>
      </c>
      <c r="M94" s="13" t="s">
        <v>481</v>
      </c>
      <c r="N94" s="7">
        <f t="shared" si="66"/>
        <v>0</v>
      </c>
      <c r="O94" s="7">
        <f t="shared" si="67"/>
        <v>0</v>
      </c>
      <c r="P94" s="7">
        <f t="shared" si="55"/>
        <v>0</v>
      </c>
      <c r="Q94" s="7">
        <v>0</v>
      </c>
      <c r="R94" s="7">
        <f t="shared" si="68"/>
        <v>0</v>
      </c>
      <c r="S94" s="7"/>
      <c r="T94" s="7"/>
      <c r="U94" s="7">
        <v>0</v>
      </c>
      <c r="V94" s="7">
        <f t="shared" si="56"/>
        <v>0</v>
      </c>
      <c r="W94" s="7"/>
      <c r="X94" s="159">
        <f t="shared" si="57"/>
        <v>0</v>
      </c>
      <c r="Z94" s="182"/>
      <c r="AA94" s="182"/>
    </row>
    <row r="95" spans="1:30" x14ac:dyDescent="0.3">
      <c r="A95" s="7">
        <f t="shared" si="69"/>
        <v>0</v>
      </c>
      <c r="B95" s="7">
        <f t="shared" si="69"/>
        <v>0</v>
      </c>
      <c r="C95" s="7">
        <f t="shared" si="69"/>
        <v>0</v>
      </c>
      <c r="D95" s="7">
        <f t="shared" si="69"/>
        <v>0</v>
      </c>
      <c r="E95" s="7">
        <f t="shared" si="69"/>
        <v>0</v>
      </c>
      <c r="F95" s="7">
        <f t="shared" si="69"/>
        <v>0</v>
      </c>
      <c r="G95" s="7">
        <f t="shared" si="69"/>
        <v>0</v>
      </c>
      <c r="H95" s="7">
        <f t="shared" si="69"/>
        <v>0</v>
      </c>
      <c r="I95" s="7">
        <f t="shared" si="69"/>
        <v>0</v>
      </c>
      <c r="J95" s="7">
        <f t="shared" si="69"/>
        <v>0</v>
      </c>
      <c r="K95" s="7">
        <f t="shared" si="69"/>
        <v>0</v>
      </c>
      <c r="L95" s="7">
        <f t="shared" si="69"/>
        <v>0</v>
      </c>
      <c r="M95" s="13" t="s">
        <v>482</v>
      </c>
      <c r="N95" s="7">
        <f t="shared" si="66"/>
        <v>0</v>
      </c>
      <c r="O95" s="7">
        <f t="shared" si="67"/>
        <v>0</v>
      </c>
      <c r="P95" s="7">
        <f t="shared" si="55"/>
        <v>0</v>
      </c>
      <c r="Q95" s="7">
        <v>0</v>
      </c>
      <c r="R95" s="7">
        <f t="shared" si="68"/>
        <v>0</v>
      </c>
      <c r="S95" s="7"/>
      <c r="T95" s="7"/>
      <c r="U95" s="7">
        <v>0</v>
      </c>
      <c r="V95" s="7">
        <f t="shared" si="56"/>
        <v>0</v>
      </c>
      <c r="W95" s="7"/>
      <c r="X95" s="159">
        <f t="shared" si="57"/>
        <v>0</v>
      </c>
      <c r="Z95" s="182"/>
      <c r="AA95" s="182"/>
    </row>
    <row r="96" spans="1:30" x14ac:dyDescent="0.3">
      <c r="A96" s="7">
        <f>39*1.048</f>
        <v>40.872</v>
      </c>
      <c r="B96" s="7">
        <f t="shared" ref="B96:L96" si="70">39*1.048</f>
        <v>40.872</v>
      </c>
      <c r="C96" s="7">
        <f t="shared" si="70"/>
        <v>40.872</v>
      </c>
      <c r="D96" s="7">
        <f t="shared" si="70"/>
        <v>40.872</v>
      </c>
      <c r="E96" s="7">
        <f t="shared" si="70"/>
        <v>40.872</v>
      </c>
      <c r="F96" s="7">
        <f t="shared" si="70"/>
        <v>40.872</v>
      </c>
      <c r="G96" s="7">
        <f t="shared" si="70"/>
        <v>40.872</v>
      </c>
      <c r="H96" s="7">
        <f t="shared" si="70"/>
        <v>40.872</v>
      </c>
      <c r="I96" s="7">
        <f t="shared" si="70"/>
        <v>40.872</v>
      </c>
      <c r="J96" s="7">
        <f t="shared" si="70"/>
        <v>40.872</v>
      </c>
      <c r="K96" s="7">
        <f t="shared" si="70"/>
        <v>40.872</v>
      </c>
      <c r="L96" s="7">
        <f t="shared" si="70"/>
        <v>40.872</v>
      </c>
      <c r="M96" s="13" t="s">
        <v>483</v>
      </c>
      <c r="N96" s="7">
        <f t="shared" si="66"/>
        <v>0</v>
      </c>
      <c r="O96" s="7">
        <f t="shared" si="67"/>
        <v>490.46400000000011</v>
      </c>
      <c r="P96" s="7">
        <f t="shared" si="55"/>
        <v>490.46400000000011</v>
      </c>
      <c r="Q96" s="7">
        <v>490.46400000000011</v>
      </c>
      <c r="R96" s="7">
        <f t="shared" si="68"/>
        <v>0</v>
      </c>
      <c r="S96" s="7"/>
      <c r="T96" s="7">
        <v>1488</v>
      </c>
      <c r="U96" s="7">
        <v>1953.127</v>
      </c>
      <c r="V96" s="7">
        <f t="shared" si="56"/>
        <v>1462.6629999999998</v>
      </c>
      <c r="W96" s="7"/>
      <c r="X96" s="159">
        <f t="shared" si="57"/>
        <v>0</v>
      </c>
      <c r="Z96" s="182"/>
      <c r="AA96" s="182"/>
    </row>
    <row r="97" spans="1:27" x14ac:dyDescent="0.3">
      <c r="A97" s="7">
        <f t="shared" si="69"/>
        <v>0</v>
      </c>
      <c r="B97" s="7">
        <f t="shared" si="69"/>
        <v>0</v>
      </c>
      <c r="C97" s="7">
        <f t="shared" si="69"/>
        <v>0</v>
      </c>
      <c r="D97" s="7">
        <f t="shared" si="69"/>
        <v>0</v>
      </c>
      <c r="E97" s="7">
        <f t="shared" si="69"/>
        <v>0</v>
      </c>
      <c r="F97" s="7">
        <f t="shared" si="69"/>
        <v>0</v>
      </c>
      <c r="G97" s="7">
        <f t="shared" si="69"/>
        <v>0</v>
      </c>
      <c r="H97" s="7">
        <f t="shared" si="69"/>
        <v>0</v>
      </c>
      <c r="I97" s="7">
        <f t="shared" si="69"/>
        <v>0</v>
      </c>
      <c r="J97" s="7">
        <f t="shared" si="69"/>
        <v>0</v>
      </c>
      <c r="K97" s="7">
        <f t="shared" si="69"/>
        <v>0</v>
      </c>
      <c r="L97" s="7">
        <f t="shared" si="69"/>
        <v>0</v>
      </c>
      <c r="M97" s="13" t="s">
        <v>484</v>
      </c>
      <c r="N97" s="7">
        <f t="shared" si="66"/>
        <v>0</v>
      </c>
      <c r="O97" s="7">
        <f t="shared" si="67"/>
        <v>0</v>
      </c>
      <c r="P97" s="7">
        <f t="shared" si="55"/>
        <v>0</v>
      </c>
      <c r="Q97" s="7">
        <v>0</v>
      </c>
      <c r="R97" s="7">
        <f t="shared" si="68"/>
        <v>0</v>
      </c>
      <c r="S97" s="7"/>
      <c r="T97" s="7"/>
      <c r="U97" s="7">
        <v>0</v>
      </c>
      <c r="V97" s="7">
        <f t="shared" si="56"/>
        <v>0</v>
      </c>
      <c r="W97" s="7"/>
      <c r="X97" s="159">
        <f t="shared" si="57"/>
        <v>0</v>
      </c>
      <c r="Z97" s="182"/>
      <c r="AA97" s="182"/>
    </row>
    <row r="98" spans="1:27" x14ac:dyDescent="0.3">
      <c r="A98" s="7">
        <f t="shared" si="69"/>
        <v>0</v>
      </c>
      <c r="B98" s="7">
        <f t="shared" si="69"/>
        <v>0</v>
      </c>
      <c r="C98" s="7">
        <f t="shared" si="69"/>
        <v>0</v>
      </c>
      <c r="D98" s="7">
        <f t="shared" si="69"/>
        <v>0</v>
      </c>
      <c r="E98" s="7">
        <f t="shared" si="69"/>
        <v>0</v>
      </c>
      <c r="F98" s="7">
        <f t="shared" si="69"/>
        <v>0</v>
      </c>
      <c r="G98" s="7">
        <f t="shared" si="69"/>
        <v>0</v>
      </c>
      <c r="H98" s="7">
        <f t="shared" si="69"/>
        <v>0</v>
      </c>
      <c r="I98" s="7">
        <f t="shared" si="69"/>
        <v>0</v>
      </c>
      <c r="J98" s="7">
        <f t="shared" si="69"/>
        <v>0</v>
      </c>
      <c r="K98" s="7">
        <f t="shared" si="69"/>
        <v>0</v>
      </c>
      <c r="L98" s="7">
        <f t="shared" si="69"/>
        <v>0</v>
      </c>
      <c r="M98" s="13" t="s">
        <v>485</v>
      </c>
      <c r="N98" s="7">
        <f t="shared" si="66"/>
        <v>0</v>
      </c>
      <c r="O98" s="7">
        <f t="shared" si="67"/>
        <v>0</v>
      </c>
      <c r="P98" s="7">
        <f t="shared" si="55"/>
        <v>0</v>
      </c>
      <c r="Q98" s="7">
        <v>0</v>
      </c>
      <c r="R98" s="7">
        <f t="shared" si="68"/>
        <v>0</v>
      </c>
      <c r="S98" s="7"/>
      <c r="T98" s="7"/>
      <c r="U98" s="7">
        <v>0</v>
      </c>
      <c r="V98" s="7">
        <f t="shared" si="56"/>
        <v>0</v>
      </c>
      <c r="W98" s="7"/>
      <c r="X98" s="159">
        <f t="shared" si="57"/>
        <v>0</v>
      </c>
      <c r="Z98" s="182"/>
      <c r="AA98" s="182"/>
    </row>
    <row r="99" spans="1:27" x14ac:dyDescent="0.3">
      <c r="A99" s="7">
        <f t="shared" si="69"/>
        <v>0</v>
      </c>
      <c r="B99" s="7">
        <f t="shared" si="69"/>
        <v>0</v>
      </c>
      <c r="C99" s="7">
        <f t="shared" si="69"/>
        <v>0</v>
      </c>
      <c r="D99" s="7">
        <f t="shared" si="69"/>
        <v>0</v>
      </c>
      <c r="E99" s="7">
        <f t="shared" si="69"/>
        <v>0</v>
      </c>
      <c r="F99" s="7">
        <f t="shared" si="69"/>
        <v>0</v>
      </c>
      <c r="G99" s="7">
        <f t="shared" si="69"/>
        <v>0</v>
      </c>
      <c r="H99" s="7">
        <f t="shared" si="69"/>
        <v>0</v>
      </c>
      <c r="I99" s="7">
        <f t="shared" si="69"/>
        <v>0</v>
      </c>
      <c r="J99" s="7">
        <f t="shared" si="69"/>
        <v>0</v>
      </c>
      <c r="K99" s="7">
        <f t="shared" si="69"/>
        <v>0</v>
      </c>
      <c r="L99" s="7">
        <f t="shared" si="69"/>
        <v>0</v>
      </c>
      <c r="M99" s="13" t="s">
        <v>486</v>
      </c>
      <c r="N99" s="7">
        <f t="shared" si="66"/>
        <v>0</v>
      </c>
      <c r="O99" s="7">
        <f t="shared" si="67"/>
        <v>0</v>
      </c>
      <c r="P99" s="7">
        <f t="shared" si="55"/>
        <v>0</v>
      </c>
      <c r="Q99" s="7">
        <v>0</v>
      </c>
      <c r="R99" s="7">
        <f t="shared" si="68"/>
        <v>0</v>
      </c>
      <c r="S99" s="7"/>
      <c r="T99" s="7"/>
      <c r="U99" s="7">
        <v>0</v>
      </c>
      <c r="V99" s="7">
        <f t="shared" si="56"/>
        <v>0</v>
      </c>
      <c r="W99" s="7"/>
      <c r="X99" s="159">
        <f t="shared" si="57"/>
        <v>0</v>
      </c>
      <c r="Z99" s="182"/>
      <c r="AA99" s="182"/>
    </row>
    <row r="100" spans="1:27" x14ac:dyDescent="0.3">
      <c r="A100" s="11">
        <f t="shared" si="69"/>
        <v>0</v>
      </c>
      <c r="B100" s="11">
        <f t="shared" si="69"/>
        <v>0</v>
      </c>
      <c r="C100" s="11">
        <f t="shared" si="69"/>
        <v>0</v>
      </c>
      <c r="D100" s="11">
        <f t="shared" si="69"/>
        <v>0</v>
      </c>
      <c r="E100" s="11">
        <f t="shared" si="69"/>
        <v>0</v>
      </c>
      <c r="F100" s="11">
        <f t="shared" si="69"/>
        <v>0</v>
      </c>
      <c r="G100" s="11">
        <f t="shared" si="69"/>
        <v>0</v>
      </c>
      <c r="H100" s="11">
        <f t="shared" si="69"/>
        <v>0</v>
      </c>
      <c r="I100" s="11">
        <f t="shared" si="69"/>
        <v>0</v>
      </c>
      <c r="J100" s="11">
        <f t="shared" si="69"/>
        <v>0</v>
      </c>
      <c r="K100" s="11">
        <f t="shared" si="69"/>
        <v>0</v>
      </c>
      <c r="L100" s="11">
        <f t="shared" si="69"/>
        <v>0</v>
      </c>
      <c r="M100" s="238" t="s">
        <v>487</v>
      </c>
      <c r="N100" s="11">
        <f t="shared" si="66"/>
        <v>0</v>
      </c>
      <c r="O100" s="11">
        <f t="shared" si="67"/>
        <v>0</v>
      </c>
      <c r="P100" s="11">
        <f t="shared" si="55"/>
        <v>0</v>
      </c>
      <c r="Q100" s="11">
        <v>0</v>
      </c>
      <c r="R100" s="11">
        <f t="shared" si="68"/>
        <v>0</v>
      </c>
      <c r="S100" s="11"/>
      <c r="T100" s="11"/>
      <c r="U100" s="11">
        <v>0</v>
      </c>
      <c r="V100" s="11">
        <f t="shared" si="56"/>
        <v>0</v>
      </c>
      <c r="W100" s="11"/>
      <c r="X100" s="160">
        <f t="shared" si="57"/>
        <v>0</v>
      </c>
      <c r="Z100" s="182"/>
      <c r="AA100" s="182"/>
    </row>
    <row r="101" spans="1:27" ht="15" thickBot="1" x14ac:dyDescent="0.35">
      <c r="A101" s="89"/>
      <c r="B101" s="89"/>
      <c r="C101" s="89"/>
      <c r="D101" s="90"/>
      <c r="E101" s="91"/>
      <c r="F101" s="91"/>
      <c r="G101" s="91"/>
      <c r="H101" s="91"/>
      <c r="I101" s="91"/>
      <c r="J101" s="91"/>
      <c r="K101" s="92"/>
      <c r="L101" s="92"/>
      <c r="M101" s="13"/>
      <c r="N101" s="91">
        <f t="shared" si="59"/>
        <v>0</v>
      </c>
      <c r="O101" s="91">
        <f t="shared" si="60"/>
        <v>0</v>
      </c>
      <c r="P101" s="91">
        <f t="shared" si="55"/>
        <v>0</v>
      </c>
      <c r="Q101" s="89">
        <v>0</v>
      </c>
      <c r="R101" s="89"/>
      <c r="S101" s="89"/>
      <c r="T101" s="89"/>
      <c r="U101" s="89">
        <v>0</v>
      </c>
      <c r="V101" s="89">
        <f t="shared" si="56"/>
        <v>0</v>
      </c>
      <c r="W101" s="89"/>
      <c r="X101" s="207">
        <f t="shared" si="57"/>
        <v>0</v>
      </c>
      <c r="Z101" s="182"/>
      <c r="AA101" s="182"/>
    </row>
    <row r="102" spans="1:27" x14ac:dyDescent="0.3">
      <c r="A102" s="4">
        <f>SUM(A93:A100)</f>
        <v>277.72000000000003</v>
      </c>
      <c r="B102" s="4">
        <f t="shared" ref="B102:L102" si="71">SUM(B93:B100)</f>
        <v>277.72000000000003</v>
      </c>
      <c r="C102" s="4">
        <f t="shared" si="71"/>
        <v>277.72000000000003</v>
      </c>
      <c r="D102" s="4">
        <f t="shared" si="71"/>
        <v>277.72000000000003</v>
      </c>
      <c r="E102" s="4">
        <f t="shared" si="71"/>
        <v>277.72000000000003</v>
      </c>
      <c r="F102" s="4">
        <f t="shared" si="71"/>
        <v>277.72000000000003</v>
      </c>
      <c r="G102" s="4">
        <f t="shared" si="71"/>
        <v>277.72000000000003</v>
      </c>
      <c r="H102" s="4">
        <f t="shared" si="71"/>
        <v>277.72000000000003</v>
      </c>
      <c r="I102" s="4">
        <f t="shared" si="71"/>
        <v>277.72000000000003</v>
      </c>
      <c r="J102" s="4">
        <f t="shared" si="71"/>
        <v>277.72000000000003</v>
      </c>
      <c r="K102" s="4">
        <f t="shared" si="71"/>
        <v>277.72000000000003</v>
      </c>
      <c r="L102" s="4">
        <f t="shared" si="71"/>
        <v>277.72000000000003</v>
      </c>
      <c r="M102" s="13" t="s">
        <v>166</v>
      </c>
      <c r="N102" s="4">
        <f t="shared" ref="N102:O102" si="72">SUM(N93:N100)</f>
        <v>0</v>
      </c>
      <c r="O102" s="4">
        <f t="shared" si="72"/>
        <v>3332.64</v>
      </c>
      <c r="P102" s="4">
        <f t="shared" ref="P102:Q102" si="73">SUM(P93:P100)</f>
        <v>3332.64</v>
      </c>
      <c r="Q102" s="4">
        <f t="shared" si="73"/>
        <v>3332.64</v>
      </c>
      <c r="R102" s="4">
        <f t="shared" ref="R102:W102" si="74">SUM(R93:R100)</f>
        <v>0</v>
      </c>
      <c r="S102" s="4">
        <v>0</v>
      </c>
      <c r="T102" s="4">
        <v>0</v>
      </c>
      <c r="U102" s="4">
        <v>3174.127</v>
      </c>
      <c r="V102" s="4">
        <f t="shared" si="56"/>
        <v>-158.51299999999992</v>
      </c>
      <c r="W102" s="4">
        <f t="shared" si="74"/>
        <v>0</v>
      </c>
      <c r="X102" s="162">
        <f t="shared" si="57"/>
        <v>0</v>
      </c>
      <c r="Z102" s="182"/>
      <c r="AA102" s="182"/>
    </row>
    <row r="103" spans="1:27" x14ac:dyDescent="0.3">
      <c r="A103" s="81"/>
      <c r="B103" s="81"/>
      <c r="C103" s="81"/>
      <c r="D103" s="82"/>
      <c r="E103" s="86"/>
      <c r="F103" s="86"/>
      <c r="G103" s="86"/>
      <c r="H103" s="87"/>
      <c r="I103" s="87"/>
      <c r="J103" s="87"/>
      <c r="K103" s="84"/>
      <c r="L103" s="84"/>
      <c r="M103" s="80"/>
      <c r="N103" s="86">
        <f t="shared" si="59"/>
        <v>0</v>
      </c>
      <c r="O103" s="86">
        <f t="shared" si="60"/>
        <v>0</v>
      </c>
      <c r="P103" s="86">
        <f t="shared" si="55"/>
        <v>0</v>
      </c>
      <c r="Q103" s="81">
        <v>0</v>
      </c>
      <c r="R103" s="81"/>
      <c r="S103" s="81"/>
      <c r="T103" s="81"/>
      <c r="U103" s="81">
        <v>0</v>
      </c>
      <c r="V103" s="81">
        <f t="shared" si="56"/>
        <v>0</v>
      </c>
      <c r="W103" s="81"/>
      <c r="X103" s="204"/>
      <c r="Z103" s="182"/>
      <c r="AA103" s="182"/>
    </row>
    <row r="104" spans="1:27" x14ac:dyDescent="0.3">
      <c r="A104" s="8">
        <f>167*1.048</f>
        <v>175.01600000000002</v>
      </c>
      <c r="B104" s="8">
        <f t="shared" ref="B104:L104" si="75">167*1.048</f>
        <v>175.01600000000002</v>
      </c>
      <c r="C104" s="8">
        <f t="shared" si="75"/>
        <v>175.01600000000002</v>
      </c>
      <c r="D104" s="8">
        <f t="shared" si="75"/>
        <v>175.01600000000002</v>
      </c>
      <c r="E104" s="8">
        <f t="shared" si="75"/>
        <v>175.01600000000002</v>
      </c>
      <c r="F104" s="8">
        <f t="shared" si="75"/>
        <v>175.01600000000002</v>
      </c>
      <c r="G104" s="8">
        <f t="shared" si="75"/>
        <v>175.01600000000002</v>
      </c>
      <c r="H104" s="8">
        <f t="shared" si="75"/>
        <v>175.01600000000002</v>
      </c>
      <c r="I104" s="8">
        <f t="shared" si="75"/>
        <v>175.01600000000002</v>
      </c>
      <c r="J104" s="8">
        <f t="shared" si="75"/>
        <v>175.01600000000002</v>
      </c>
      <c r="K104" s="8">
        <f t="shared" si="75"/>
        <v>175.01600000000002</v>
      </c>
      <c r="L104" s="8">
        <f t="shared" si="75"/>
        <v>175.01600000000002</v>
      </c>
      <c r="M104" s="238" t="s">
        <v>488</v>
      </c>
      <c r="N104" s="8">
        <f t="shared" ref="N104:N106" si="76">SUM(0)</f>
        <v>0</v>
      </c>
      <c r="O104" s="8">
        <f t="shared" ref="O104:O106" si="77">SUM(A104:L104)</f>
        <v>2100.1920000000005</v>
      </c>
      <c r="P104" s="8">
        <f t="shared" si="55"/>
        <v>2100.1920000000005</v>
      </c>
      <c r="Q104" s="8">
        <v>2100.1920000000005</v>
      </c>
      <c r="R104" s="8">
        <f t="shared" ref="R104:R106" si="78">Q104-P104</f>
        <v>0</v>
      </c>
      <c r="S104" s="8"/>
      <c r="T104" s="8"/>
      <c r="U104" s="8">
        <v>2000</v>
      </c>
      <c r="V104" s="8">
        <f t="shared" si="56"/>
        <v>-100.19200000000046</v>
      </c>
      <c r="W104" s="8"/>
      <c r="X104" s="158">
        <f t="shared" si="57"/>
        <v>0</v>
      </c>
      <c r="Z104" s="182"/>
      <c r="AA104" s="182"/>
    </row>
    <row r="105" spans="1:27" x14ac:dyDescent="0.3">
      <c r="A105" s="7">
        <f>155*1.048</f>
        <v>162.44</v>
      </c>
      <c r="B105" s="7">
        <f t="shared" ref="B105:K105" si="79">155*1.048</f>
        <v>162.44</v>
      </c>
      <c r="C105" s="7">
        <f t="shared" si="79"/>
        <v>162.44</v>
      </c>
      <c r="D105" s="7">
        <f t="shared" si="79"/>
        <v>162.44</v>
      </c>
      <c r="E105" s="7">
        <f t="shared" si="79"/>
        <v>162.44</v>
      </c>
      <c r="F105" s="7">
        <f t="shared" si="79"/>
        <v>162.44</v>
      </c>
      <c r="G105" s="7">
        <f t="shared" si="79"/>
        <v>162.44</v>
      </c>
      <c r="H105" s="7">
        <f t="shared" si="79"/>
        <v>162.44</v>
      </c>
      <c r="I105" s="7">
        <f t="shared" si="79"/>
        <v>162.44</v>
      </c>
      <c r="J105" s="7">
        <f t="shared" si="79"/>
        <v>162.44</v>
      </c>
      <c r="K105" s="7">
        <f t="shared" si="79"/>
        <v>162.44</v>
      </c>
      <c r="L105" s="7">
        <f>(155*1.048)-4.19200000000023</f>
        <v>158.24799999999976</v>
      </c>
      <c r="M105" s="13" t="s">
        <v>489</v>
      </c>
      <c r="N105" s="7">
        <f t="shared" si="76"/>
        <v>0</v>
      </c>
      <c r="O105" s="7">
        <f t="shared" si="77"/>
        <v>1945.0880000000002</v>
      </c>
      <c r="P105" s="7">
        <f t="shared" si="55"/>
        <v>1945.0880000000002</v>
      </c>
      <c r="Q105" s="7">
        <v>1945.0880000000002</v>
      </c>
      <c r="R105" s="7">
        <f t="shared" si="78"/>
        <v>0</v>
      </c>
      <c r="S105" s="7"/>
      <c r="T105" s="7"/>
      <c r="U105" s="7">
        <v>1856</v>
      </c>
      <c r="V105" s="7">
        <f t="shared" si="56"/>
        <v>-89.088000000000193</v>
      </c>
      <c r="W105" s="7"/>
      <c r="X105" s="159">
        <f t="shared" si="57"/>
        <v>0</v>
      </c>
      <c r="Z105" s="182"/>
      <c r="AA105" s="182"/>
    </row>
    <row r="106" spans="1:27" x14ac:dyDescent="0.3">
      <c r="A106" s="11">
        <f t="shared" ref="A106:L106" si="80">$Q106/12</f>
        <v>0</v>
      </c>
      <c r="B106" s="11">
        <f t="shared" si="80"/>
        <v>0</v>
      </c>
      <c r="C106" s="11">
        <f t="shared" si="80"/>
        <v>0</v>
      </c>
      <c r="D106" s="11">
        <f t="shared" si="80"/>
        <v>0</v>
      </c>
      <c r="E106" s="11">
        <f t="shared" si="80"/>
        <v>0</v>
      </c>
      <c r="F106" s="11">
        <f t="shared" si="80"/>
        <v>0</v>
      </c>
      <c r="G106" s="11">
        <f t="shared" si="80"/>
        <v>0</v>
      </c>
      <c r="H106" s="11">
        <f t="shared" si="80"/>
        <v>0</v>
      </c>
      <c r="I106" s="11">
        <f t="shared" si="80"/>
        <v>0</v>
      </c>
      <c r="J106" s="11">
        <f t="shared" si="80"/>
        <v>0</v>
      </c>
      <c r="K106" s="11">
        <f t="shared" si="80"/>
        <v>0</v>
      </c>
      <c r="L106" s="11">
        <f t="shared" si="80"/>
        <v>0</v>
      </c>
      <c r="M106" s="13" t="s">
        <v>490</v>
      </c>
      <c r="N106" s="11">
        <f t="shared" si="76"/>
        <v>0</v>
      </c>
      <c r="O106" s="11">
        <f t="shared" si="77"/>
        <v>0</v>
      </c>
      <c r="P106" s="11">
        <f t="shared" si="55"/>
        <v>0</v>
      </c>
      <c r="Q106" s="11">
        <v>0</v>
      </c>
      <c r="R106" s="11">
        <f t="shared" si="78"/>
        <v>0</v>
      </c>
      <c r="S106" s="11"/>
      <c r="T106" s="11"/>
      <c r="U106" s="11">
        <v>0</v>
      </c>
      <c r="V106" s="11">
        <f t="shared" si="56"/>
        <v>0</v>
      </c>
      <c r="W106" s="11"/>
      <c r="X106" s="160">
        <f t="shared" si="57"/>
        <v>0</v>
      </c>
      <c r="Z106" s="182"/>
      <c r="AA106" s="182"/>
    </row>
    <row r="107" spans="1:27" ht="15" thickBot="1" x14ac:dyDescent="0.35">
      <c r="A107" s="89"/>
      <c r="B107" s="89"/>
      <c r="C107" s="89"/>
      <c r="D107" s="90"/>
      <c r="E107" s="91"/>
      <c r="F107" s="91"/>
      <c r="G107" s="91"/>
      <c r="H107" s="91"/>
      <c r="I107" s="91"/>
      <c r="J107" s="91"/>
      <c r="K107" s="92"/>
      <c r="L107" s="92"/>
      <c r="M107" s="13"/>
      <c r="N107" s="91">
        <f t="shared" si="59"/>
        <v>0</v>
      </c>
      <c r="O107" s="91">
        <f t="shared" si="60"/>
        <v>0</v>
      </c>
      <c r="P107" s="91">
        <f t="shared" si="55"/>
        <v>0</v>
      </c>
      <c r="Q107" s="89">
        <v>0</v>
      </c>
      <c r="R107" s="89"/>
      <c r="S107" s="89"/>
      <c r="T107" s="89"/>
      <c r="U107" s="89">
        <v>0</v>
      </c>
      <c r="V107" s="89">
        <f t="shared" si="56"/>
        <v>0</v>
      </c>
      <c r="W107" s="89"/>
      <c r="X107" s="207">
        <f t="shared" si="57"/>
        <v>0</v>
      </c>
      <c r="Z107" s="182"/>
      <c r="AA107" s="182"/>
    </row>
    <row r="108" spans="1:27" x14ac:dyDescent="0.3">
      <c r="A108" s="4">
        <f>SUM(A104:A106)</f>
        <v>337.45600000000002</v>
      </c>
      <c r="B108" s="4">
        <f t="shared" ref="B108:L108" si="81">SUM(B104:B106)</f>
        <v>337.45600000000002</v>
      </c>
      <c r="C108" s="4">
        <f t="shared" si="81"/>
        <v>337.45600000000002</v>
      </c>
      <c r="D108" s="4">
        <f t="shared" si="81"/>
        <v>337.45600000000002</v>
      </c>
      <c r="E108" s="4">
        <f t="shared" si="81"/>
        <v>337.45600000000002</v>
      </c>
      <c r="F108" s="4">
        <f t="shared" si="81"/>
        <v>337.45600000000002</v>
      </c>
      <c r="G108" s="4">
        <f t="shared" si="81"/>
        <v>337.45600000000002</v>
      </c>
      <c r="H108" s="4">
        <f t="shared" si="81"/>
        <v>337.45600000000002</v>
      </c>
      <c r="I108" s="4">
        <f t="shared" si="81"/>
        <v>337.45600000000002</v>
      </c>
      <c r="J108" s="4">
        <f t="shared" si="81"/>
        <v>337.45600000000002</v>
      </c>
      <c r="K108" s="4">
        <f t="shared" si="81"/>
        <v>337.45600000000002</v>
      </c>
      <c r="L108" s="4">
        <f t="shared" si="81"/>
        <v>333.26399999999978</v>
      </c>
      <c r="M108" s="13" t="s">
        <v>170</v>
      </c>
      <c r="N108" s="4">
        <f t="shared" ref="N108:O108" si="82">SUM(N104:N106)</f>
        <v>0</v>
      </c>
      <c r="O108" s="4">
        <f t="shared" si="82"/>
        <v>4045.2800000000007</v>
      </c>
      <c r="P108" s="4">
        <f t="shared" ref="P108:Q108" si="83">SUM(P104:P106)</f>
        <v>4045.2800000000007</v>
      </c>
      <c r="Q108" s="4">
        <f t="shared" si="83"/>
        <v>4045.2800000000007</v>
      </c>
      <c r="R108" s="4">
        <f t="shared" ref="R108:W108" si="84">SUM(R104:R106)</f>
        <v>0</v>
      </c>
      <c r="S108" s="4">
        <v>0</v>
      </c>
      <c r="T108" s="4">
        <v>0</v>
      </c>
      <c r="U108" s="4">
        <v>3856</v>
      </c>
      <c r="V108" s="4">
        <f t="shared" si="56"/>
        <v>-189.28000000000065</v>
      </c>
      <c r="W108" s="4">
        <f t="shared" si="84"/>
        <v>0</v>
      </c>
      <c r="X108" s="162">
        <f t="shared" si="57"/>
        <v>0</v>
      </c>
      <c r="Z108" s="182"/>
      <c r="AA108" s="182"/>
    </row>
    <row r="109" spans="1:27" x14ac:dyDescent="0.3">
      <c r="A109" s="81"/>
      <c r="B109" s="81"/>
      <c r="C109" s="81"/>
      <c r="D109" s="82"/>
      <c r="E109" s="81"/>
      <c r="F109" s="81"/>
      <c r="G109" s="81"/>
      <c r="H109" s="87"/>
      <c r="I109" s="87"/>
      <c r="J109" s="87"/>
      <c r="K109" s="88"/>
      <c r="L109" s="88"/>
      <c r="M109" s="80"/>
      <c r="N109" s="81">
        <f t="shared" si="59"/>
        <v>0</v>
      </c>
      <c r="O109" s="81">
        <f t="shared" si="60"/>
        <v>0</v>
      </c>
      <c r="P109" s="81">
        <f t="shared" si="55"/>
        <v>0</v>
      </c>
      <c r="Q109" s="81">
        <v>0</v>
      </c>
      <c r="R109" s="81"/>
      <c r="S109" s="81"/>
      <c r="T109" s="81"/>
      <c r="U109" s="81">
        <v>0</v>
      </c>
      <c r="V109" s="81">
        <f t="shared" si="56"/>
        <v>0</v>
      </c>
      <c r="W109" s="81"/>
      <c r="X109" s="204">
        <f t="shared" si="57"/>
        <v>0</v>
      </c>
      <c r="Z109" s="182"/>
      <c r="AA109" s="182"/>
    </row>
    <row r="110" spans="1:27" x14ac:dyDescent="0.3">
      <c r="A110" s="4">
        <f>A28+A46+A65+A91+A102+A108</f>
        <v>393761.94839999999</v>
      </c>
      <c r="B110" s="4">
        <f t="shared" ref="B110:L110" si="85">B28+B46+B65+B91+B102+B108</f>
        <v>393761.94839999999</v>
      </c>
      <c r="C110" s="4">
        <f t="shared" si="85"/>
        <v>393761.94839999999</v>
      </c>
      <c r="D110" s="4">
        <f t="shared" si="85"/>
        <v>393761.94839999999</v>
      </c>
      <c r="E110" s="4">
        <f t="shared" si="85"/>
        <v>393761.94839999999</v>
      </c>
      <c r="F110" s="4">
        <f t="shared" si="85"/>
        <v>393761.94839999999</v>
      </c>
      <c r="G110" s="4">
        <f t="shared" si="85"/>
        <v>393761.94839999999</v>
      </c>
      <c r="H110" s="4">
        <f t="shared" si="85"/>
        <v>393761.94839999999</v>
      </c>
      <c r="I110" s="4">
        <f t="shared" si="85"/>
        <v>439036.25589536794</v>
      </c>
      <c r="J110" s="4">
        <f t="shared" si="85"/>
        <v>393761.94839999999</v>
      </c>
      <c r="K110" s="4">
        <f t="shared" si="85"/>
        <v>393761.94839999999</v>
      </c>
      <c r="L110" s="4">
        <f t="shared" si="85"/>
        <v>401417.5333521092</v>
      </c>
      <c r="M110" s="238" t="s">
        <v>171</v>
      </c>
      <c r="N110" s="4">
        <f t="shared" ref="N110:O110" si="86">N28+N46+N65+N91+N102+N108</f>
        <v>0</v>
      </c>
      <c r="O110" s="4">
        <f t="shared" si="86"/>
        <v>4778073.2732474776</v>
      </c>
      <c r="P110" s="4">
        <f t="shared" ref="P110:Q110" si="87">P28+P46+P65+P91+P102+P108</f>
        <v>4778073.2732474776</v>
      </c>
      <c r="Q110" s="4">
        <f t="shared" si="87"/>
        <v>4778073.5279654777</v>
      </c>
      <c r="R110" s="4">
        <f t="shared" ref="R110:W110" si="88">R28+R46+R65+R91+R102+R108</f>
        <v>0.254718000000139</v>
      </c>
      <c r="S110" s="4">
        <v>70000</v>
      </c>
      <c r="T110" s="4">
        <v>623837</v>
      </c>
      <c r="U110" s="4">
        <v>4109690.8599321637</v>
      </c>
      <c r="V110" s="4">
        <f t="shared" si="56"/>
        <v>-668382.41331531387</v>
      </c>
      <c r="W110" s="4">
        <f t="shared" si="88"/>
        <v>0</v>
      </c>
      <c r="X110" s="162">
        <f t="shared" si="57"/>
        <v>0</v>
      </c>
      <c r="Z110" s="182"/>
      <c r="AA110" s="182"/>
    </row>
    <row r="111" spans="1:27" x14ac:dyDescent="0.3">
      <c r="A111" s="81"/>
      <c r="B111" s="81"/>
      <c r="C111" s="81"/>
      <c r="D111" s="82"/>
      <c r="E111" s="81"/>
      <c r="F111" s="81"/>
      <c r="G111" s="81"/>
      <c r="H111" s="87"/>
      <c r="I111" s="87"/>
      <c r="J111" s="87"/>
      <c r="K111" s="88"/>
      <c r="L111" s="88"/>
      <c r="M111" s="122"/>
      <c r="N111" s="81">
        <f t="shared" si="59"/>
        <v>0</v>
      </c>
      <c r="O111" s="81">
        <f t="shared" si="60"/>
        <v>0</v>
      </c>
      <c r="P111" s="81">
        <f t="shared" si="55"/>
        <v>0</v>
      </c>
      <c r="Q111" s="81">
        <v>0</v>
      </c>
      <c r="R111" s="81"/>
      <c r="S111" s="81"/>
      <c r="T111" s="81"/>
      <c r="U111" s="81">
        <v>0</v>
      </c>
      <c r="V111" s="81">
        <f t="shared" si="56"/>
        <v>0</v>
      </c>
      <c r="W111" s="81"/>
      <c r="X111" s="204">
        <f t="shared" si="57"/>
        <v>0</v>
      </c>
      <c r="Z111" s="182"/>
      <c r="AA111" s="182"/>
    </row>
    <row r="112" spans="1:27" x14ac:dyDescent="0.3">
      <c r="A112" s="4">
        <f>A18+A110</f>
        <v>826104.30370000005</v>
      </c>
      <c r="B112" s="4">
        <f t="shared" ref="B112:L112" si="89">B18+B110</f>
        <v>826104.30370000005</v>
      </c>
      <c r="C112" s="4">
        <f t="shared" si="89"/>
        <v>835527.12678000005</v>
      </c>
      <c r="D112" s="4">
        <f t="shared" si="89"/>
        <v>835527.12678000005</v>
      </c>
      <c r="E112" s="4">
        <f t="shared" si="89"/>
        <v>835527.12678000005</v>
      </c>
      <c r="F112" s="4">
        <f t="shared" si="89"/>
        <v>835527.12678000005</v>
      </c>
      <c r="G112" s="4">
        <f t="shared" si="89"/>
        <v>835527.12678000005</v>
      </c>
      <c r="H112" s="4">
        <f t="shared" si="89"/>
        <v>1130767.1167799998</v>
      </c>
      <c r="I112" s="4">
        <f t="shared" si="89"/>
        <v>880801.434275368</v>
      </c>
      <c r="J112" s="4">
        <f t="shared" si="89"/>
        <v>835527.12678000005</v>
      </c>
      <c r="K112" s="4">
        <f t="shared" si="89"/>
        <v>835527.12678000005</v>
      </c>
      <c r="L112" s="4">
        <f t="shared" si="89"/>
        <v>850141.27653210913</v>
      </c>
      <c r="M112" s="13" t="s">
        <v>240</v>
      </c>
      <c r="N112" s="4">
        <f t="shared" ref="N112:O112" si="90">N18+N110</f>
        <v>0</v>
      </c>
      <c r="O112" s="4">
        <f t="shared" si="90"/>
        <v>10362608.322447479</v>
      </c>
      <c r="P112" s="4">
        <f t="shared" ref="P112:Q112" si="91">P18+P110</f>
        <v>10362608.322447479</v>
      </c>
      <c r="Q112" s="4">
        <f t="shared" si="91"/>
        <v>10362608.577165477</v>
      </c>
      <c r="R112" s="4">
        <f t="shared" ref="R112:W112" si="92">R18+R110</f>
        <v>0.254718000000139</v>
      </c>
      <c r="S112" s="224">
        <v>70000</v>
      </c>
      <c r="T112" s="224">
        <v>316771</v>
      </c>
      <c r="U112" s="224">
        <v>8791216.4682007059</v>
      </c>
      <c r="V112" s="224">
        <f t="shared" si="56"/>
        <v>-1571391.8542467728</v>
      </c>
      <c r="W112" s="4">
        <f t="shared" si="92"/>
        <v>0</v>
      </c>
      <c r="X112" s="162">
        <f t="shared" si="57"/>
        <v>0</v>
      </c>
      <c r="Z112" s="182"/>
      <c r="AA112" s="182"/>
    </row>
    <row r="113" spans="1:27" x14ac:dyDescent="0.3">
      <c r="A113" s="81"/>
      <c r="B113" s="81"/>
      <c r="C113" s="81"/>
      <c r="D113" s="82"/>
      <c r="E113" s="81"/>
      <c r="F113" s="81"/>
      <c r="G113" s="81"/>
      <c r="H113" s="87"/>
      <c r="I113" s="87"/>
      <c r="J113" s="87"/>
      <c r="K113" s="88"/>
      <c r="L113" s="88"/>
      <c r="M113" s="122"/>
      <c r="N113" s="81">
        <f t="shared" si="59"/>
        <v>0</v>
      </c>
      <c r="O113" s="81">
        <f t="shared" si="60"/>
        <v>0</v>
      </c>
      <c r="P113" s="81">
        <f t="shared" si="55"/>
        <v>0</v>
      </c>
      <c r="Q113" s="81"/>
      <c r="R113" s="81"/>
      <c r="S113" s="81"/>
      <c r="T113" s="81"/>
      <c r="U113" s="81">
        <v>0</v>
      </c>
      <c r="V113" s="81">
        <f t="shared" si="56"/>
        <v>0</v>
      </c>
      <c r="W113" s="81"/>
      <c r="X113" s="204"/>
      <c r="Z113" s="182"/>
      <c r="AA113" s="182"/>
    </row>
    <row r="114" spans="1:27" x14ac:dyDescent="0.3">
      <c r="A114" s="8">
        <f t="shared" ref="A114:L124" si="93">$Q114/12</f>
        <v>0</v>
      </c>
      <c r="B114" s="8">
        <f t="shared" si="93"/>
        <v>0</v>
      </c>
      <c r="C114" s="8">
        <f t="shared" si="93"/>
        <v>0</v>
      </c>
      <c r="D114" s="8">
        <f t="shared" si="93"/>
        <v>0</v>
      </c>
      <c r="E114" s="8">
        <f t="shared" si="93"/>
        <v>0</v>
      </c>
      <c r="F114" s="8">
        <f t="shared" si="93"/>
        <v>0</v>
      </c>
      <c r="G114" s="8">
        <f t="shared" si="93"/>
        <v>0</v>
      </c>
      <c r="H114" s="8">
        <f t="shared" si="93"/>
        <v>0</v>
      </c>
      <c r="I114" s="8">
        <f t="shared" si="93"/>
        <v>0</v>
      </c>
      <c r="J114" s="8">
        <f t="shared" si="93"/>
        <v>0</v>
      </c>
      <c r="K114" s="8">
        <f t="shared" si="93"/>
        <v>0</v>
      </c>
      <c r="L114" s="8">
        <f t="shared" si="93"/>
        <v>0</v>
      </c>
      <c r="M114" s="238" t="s">
        <v>491</v>
      </c>
      <c r="N114" s="8">
        <f t="shared" ref="N114:N125" si="94">SUM(0)</f>
        <v>0</v>
      </c>
      <c r="O114" s="8">
        <f t="shared" ref="O114:O125" si="95">SUM(A114:L114)</f>
        <v>0</v>
      </c>
      <c r="P114" s="8">
        <f t="shared" si="55"/>
        <v>0</v>
      </c>
      <c r="Q114" s="8">
        <v>0</v>
      </c>
      <c r="R114" s="8">
        <f t="shared" ref="R114:R125" si="96">Q114-P114</f>
        <v>0</v>
      </c>
      <c r="S114" s="8">
        <v>306469</v>
      </c>
      <c r="T114" s="8">
        <v>110764</v>
      </c>
      <c r="U114" s="8">
        <v>417233</v>
      </c>
      <c r="V114" s="8">
        <f t="shared" si="56"/>
        <v>417233</v>
      </c>
      <c r="W114" s="8" t="s">
        <v>366</v>
      </c>
      <c r="X114" s="158">
        <f t="shared" si="57"/>
        <v>0</v>
      </c>
      <c r="Z114" s="182"/>
      <c r="AA114" s="182"/>
    </row>
    <row r="115" spans="1:27" x14ac:dyDescent="0.3">
      <c r="A115" s="7">
        <v>0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58233</v>
      </c>
      <c r="L115" s="7">
        <v>0</v>
      </c>
      <c r="M115" s="13" t="s">
        <v>492</v>
      </c>
      <c r="N115" s="7">
        <f t="shared" si="94"/>
        <v>0</v>
      </c>
      <c r="O115" s="7">
        <f t="shared" si="95"/>
        <v>58233</v>
      </c>
      <c r="P115" s="7">
        <f>SUM(N115:O115)</f>
        <v>58233</v>
      </c>
      <c r="Q115" s="7">
        <v>58233</v>
      </c>
      <c r="R115" s="7">
        <f t="shared" si="96"/>
        <v>0</v>
      </c>
      <c r="S115" s="7"/>
      <c r="T115" s="7"/>
      <c r="U115" s="7">
        <v>0</v>
      </c>
      <c r="V115" s="7">
        <f t="shared" si="56"/>
        <v>-58233</v>
      </c>
      <c r="W115" s="7"/>
      <c r="X115" s="159">
        <f t="shared" si="57"/>
        <v>0</v>
      </c>
      <c r="Z115" s="182"/>
      <c r="AA115" s="182"/>
    </row>
    <row r="116" spans="1:27" x14ac:dyDescent="0.3">
      <c r="A116" s="7">
        <f t="shared" si="93"/>
        <v>0</v>
      </c>
      <c r="B116" s="7">
        <f t="shared" si="93"/>
        <v>0</v>
      </c>
      <c r="C116" s="7">
        <f t="shared" si="93"/>
        <v>0</v>
      </c>
      <c r="D116" s="7">
        <f t="shared" si="93"/>
        <v>0</v>
      </c>
      <c r="E116" s="7">
        <f t="shared" si="93"/>
        <v>0</v>
      </c>
      <c r="F116" s="7">
        <f t="shared" si="93"/>
        <v>0</v>
      </c>
      <c r="G116" s="7">
        <f t="shared" si="93"/>
        <v>0</v>
      </c>
      <c r="H116" s="7">
        <f t="shared" si="93"/>
        <v>0</v>
      </c>
      <c r="I116" s="7">
        <f t="shared" si="93"/>
        <v>0</v>
      </c>
      <c r="J116" s="7">
        <f t="shared" si="93"/>
        <v>0</v>
      </c>
      <c r="K116" s="7">
        <f t="shared" si="93"/>
        <v>0</v>
      </c>
      <c r="L116" s="7">
        <f t="shared" si="93"/>
        <v>0</v>
      </c>
      <c r="M116" s="13" t="s">
        <v>493</v>
      </c>
      <c r="N116" s="7">
        <f t="shared" si="94"/>
        <v>0</v>
      </c>
      <c r="O116" s="7">
        <f t="shared" si="95"/>
        <v>0</v>
      </c>
      <c r="P116" s="7">
        <f t="shared" si="55"/>
        <v>0</v>
      </c>
      <c r="Q116" s="7">
        <v>0</v>
      </c>
      <c r="R116" s="7">
        <f t="shared" si="96"/>
        <v>0</v>
      </c>
      <c r="S116" s="7"/>
      <c r="T116" s="7"/>
      <c r="U116" s="7">
        <v>0</v>
      </c>
      <c r="V116" s="7">
        <f t="shared" si="56"/>
        <v>0</v>
      </c>
      <c r="W116" s="7"/>
      <c r="X116" s="159">
        <f t="shared" si="57"/>
        <v>0</v>
      </c>
      <c r="Z116" s="182"/>
      <c r="AA116" s="182"/>
    </row>
    <row r="117" spans="1:27" x14ac:dyDescent="0.3">
      <c r="A117" s="7">
        <f t="shared" si="93"/>
        <v>0</v>
      </c>
      <c r="B117" s="7">
        <f t="shared" si="93"/>
        <v>0</v>
      </c>
      <c r="C117" s="7">
        <f t="shared" si="93"/>
        <v>0</v>
      </c>
      <c r="D117" s="7">
        <f t="shared" si="93"/>
        <v>0</v>
      </c>
      <c r="E117" s="7">
        <f t="shared" si="93"/>
        <v>0</v>
      </c>
      <c r="F117" s="7">
        <f t="shared" si="93"/>
        <v>0</v>
      </c>
      <c r="G117" s="7">
        <f t="shared" si="93"/>
        <v>0</v>
      </c>
      <c r="H117" s="7">
        <f t="shared" si="93"/>
        <v>0</v>
      </c>
      <c r="I117" s="7">
        <f t="shared" si="93"/>
        <v>0</v>
      </c>
      <c r="J117" s="7">
        <f t="shared" si="93"/>
        <v>0</v>
      </c>
      <c r="K117" s="7">
        <f t="shared" si="93"/>
        <v>0</v>
      </c>
      <c r="L117" s="7">
        <f t="shared" si="93"/>
        <v>0</v>
      </c>
      <c r="M117" s="238" t="s">
        <v>494</v>
      </c>
      <c r="N117" s="7">
        <f t="shared" si="94"/>
        <v>0</v>
      </c>
      <c r="O117" s="7">
        <f t="shared" si="95"/>
        <v>0</v>
      </c>
      <c r="P117" s="7">
        <f t="shared" si="55"/>
        <v>0</v>
      </c>
      <c r="Q117" s="7">
        <v>0</v>
      </c>
      <c r="R117" s="7">
        <f t="shared" si="96"/>
        <v>0</v>
      </c>
      <c r="S117" s="7"/>
      <c r="T117" s="7">
        <v>46958</v>
      </c>
      <c r="U117" s="7">
        <v>46958</v>
      </c>
      <c r="V117" s="7">
        <f t="shared" si="56"/>
        <v>46958</v>
      </c>
      <c r="W117" s="341"/>
      <c r="X117" s="159">
        <f t="shared" si="57"/>
        <v>0</v>
      </c>
      <c r="Z117" s="182"/>
      <c r="AA117" s="182"/>
    </row>
    <row r="118" spans="1:27" x14ac:dyDescent="0.3">
      <c r="A118" s="7">
        <f t="shared" si="93"/>
        <v>0</v>
      </c>
      <c r="B118" s="7">
        <f t="shared" si="93"/>
        <v>0</v>
      </c>
      <c r="C118" s="7">
        <f t="shared" si="93"/>
        <v>0</v>
      </c>
      <c r="D118" s="7">
        <f t="shared" si="93"/>
        <v>0</v>
      </c>
      <c r="E118" s="7">
        <f t="shared" si="93"/>
        <v>0</v>
      </c>
      <c r="F118" s="7">
        <f t="shared" si="93"/>
        <v>0</v>
      </c>
      <c r="G118" s="7">
        <f t="shared" si="93"/>
        <v>0</v>
      </c>
      <c r="H118" s="7">
        <f t="shared" si="93"/>
        <v>0</v>
      </c>
      <c r="I118" s="7">
        <f t="shared" si="93"/>
        <v>0</v>
      </c>
      <c r="J118" s="7">
        <f t="shared" si="93"/>
        <v>0</v>
      </c>
      <c r="K118" s="7">
        <f t="shared" si="93"/>
        <v>0</v>
      </c>
      <c r="L118" s="7">
        <f t="shared" si="93"/>
        <v>0</v>
      </c>
      <c r="M118" s="13" t="s">
        <v>495</v>
      </c>
      <c r="N118" s="7">
        <f t="shared" si="94"/>
        <v>0</v>
      </c>
      <c r="O118" s="7">
        <f t="shared" si="95"/>
        <v>0</v>
      </c>
      <c r="P118" s="7">
        <f t="shared" si="55"/>
        <v>0</v>
      </c>
      <c r="Q118" s="7">
        <v>0</v>
      </c>
      <c r="R118" s="7">
        <f t="shared" si="96"/>
        <v>0</v>
      </c>
      <c r="S118" s="7"/>
      <c r="T118" s="7"/>
      <c r="U118" s="7">
        <v>0</v>
      </c>
      <c r="V118" s="7">
        <f t="shared" si="56"/>
        <v>0</v>
      </c>
      <c r="W118" s="7"/>
      <c r="X118" s="159">
        <f>IFERROR(N118/Q118,0)</f>
        <v>0</v>
      </c>
      <c r="Z118" s="182"/>
      <c r="AA118" s="182"/>
    </row>
    <row r="119" spans="1:27" x14ac:dyDescent="0.3">
      <c r="A119" s="7">
        <f t="shared" si="93"/>
        <v>47820</v>
      </c>
      <c r="B119" s="7">
        <f t="shared" si="93"/>
        <v>47820</v>
      </c>
      <c r="C119" s="7">
        <f t="shared" si="93"/>
        <v>47820</v>
      </c>
      <c r="D119" s="7">
        <f t="shared" si="93"/>
        <v>47820</v>
      </c>
      <c r="E119" s="7">
        <f t="shared" si="93"/>
        <v>47820</v>
      </c>
      <c r="F119" s="7">
        <f t="shared" si="93"/>
        <v>47820</v>
      </c>
      <c r="G119" s="7">
        <f t="shared" si="93"/>
        <v>47820</v>
      </c>
      <c r="H119" s="7">
        <f t="shared" si="93"/>
        <v>47820</v>
      </c>
      <c r="I119" s="7">
        <f t="shared" si="93"/>
        <v>47820</v>
      </c>
      <c r="J119" s="7">
        <f t="shared" si="93"/>
        <v>47820</v>
      </c>
      <c r="K119" s="7">
        <f t="shared" si="93"/>
        <v>47820</v>
      </c>
      <c r="L119" s="7">
        <f>($Q119/12)</f>
        <v>47820</v>
      </c>
      <c r="M119" s="13" t="s">
        <v>496</v>
      </c>
      <c r="N119" s="7">
        <f t="shared" si="94"/>
        <v>0</v>
      </c>
      <c r="O119" s="7">
        <f t="shared" si="95"/>
        <v>573840</v>
      </c>
      <c r="P119" s="7">
        <f t="shared" si="55"/>
        <v>573840</v>
      </c>
      <c r="Q119" s="7">
        <v>573840</v>
      </c>
      <c r="R119" s="7">
        <f t="shared" si="96"/>
        <v>0</v>
      </c>
      <c r="S119" s="7"/>
      <c r="T119" s="7">
        <v>14418</v>
      </c>
      <c r="U119" s="7">
        <v>14418</v>
      </c>
      <c r="V119" s="7">
        <f t="shared" si="56"/>
        <v>-559422</v>
      </c>
      <c r="W119" s="341"/>
      <c r="X119" s="159">
        <f t="shared" si="57"/>
        <v>0</v>
      </c>
      <c r="Z119" s="182"/>
      <c r="AA119" s="182"/>
    </row>
    <row r="120" spans="1:27" x14ac:dyDescent="0.3">
      <c r="A120" s="7">
        <f t="shared" si="93"/>
        <v>0</v>
      </c>
      <c r="B120" s="7">
        <f t="shared" si="93"/>
        <v>0</v>
      </c>
      <c r="C120" s="7">
        <f t="shared" si="93"/>
        <v>0</v>
      </c>
      <c r="D120" s="7">
        <f t="shared" si="93"/>
        <v>0</v>
      </c>
      <c r="E120" s="7">
        <f t="shared" si="93"/>
        <v>0</v>
      </c>
      <c r="F120" s="7">
        <f t="shared" si="93"/>
        <v>0</v>
      </c>
      <c r="G120" s="7">
        <f t="shared" si="93"/>
        <v>0</v>
      </c>
      <c r="H120" s="7">
        <f t="shared" si="93"/>
        <v>0</v>
      </c>
      <c r="I120" s="7">
        <f t="shared" si="93"/>
        <v>0</v>
      </c>
      <c r="J120" s="7">
        <f t="shared" si="93"/>
        <v>0</v>
      </c>
      <c r="K120" s="7">
        <f t="shared" si="93"/>
        <v>0</v>
      </c>
      <c r="L120" s="7">
        <f t="shared" si="93"/>
        <v>0</v>
      </c>
      <c r="M120" s="238" t="s">
        <v>497</v>
      </c>
      <c r="N120" s="7">
        <f t="shared" si="94"/>
        <v>0</v>
      </c>
      <c r="O120" s="7">
        <f t="shared" si="95"/>
        <v>0</v>
      </c>
      <c r="P120" s="7">
        <f t="shared" si="55"/>
        <v>0</v>
      </c>
      <c r="Q120" s="7">
        <v>0</v>
      </c>
      <c r="R120" s="7">
        <f t="shared" si="96"/>
        <v>0</v>
      </c>
      <c r="S120" s="7"/>
      <c r="T120" s="7"/>
      <c r="U120" s="7">
        <v>0</v>
      </c>
      <c r="V120" s="7">
        <f t="shared" si="56"/>
        <v>0</v>
      </c>
      <c r="W120" s="7"/>
      <c r="X120" s="159">
        <f t="shared" si="57"/>
        <v>0</v>
      </c>
      <c r="Z120" s="182"/>
      <c r="AA120" s="182"/>
    </row>
    <row r="121" spans="1:27" x14ac:dyDescent="0.3">
      <c r="A121" s="7">
        <f t="shared" si="93"/>
        <v>0</v>
      </c>
      <c r="B121" s="7">
        <f t="shared" si="93"/>
        <v>0</v>
      </c>
      <c r="C121" s="7">
        <f t="shared" si="93"/>
        <v>0</v>
      </c>
      <c r="D121" s="7">
        <f t="shared" si="93"/>
        <v>0</v>
      </c>
      <c r="E121" s="7">
        <f t="shared" si="93"/>
        <v>0</v>
      </c>
      <c r="F121" s="7">
        <f t="shared" si="93"/>
        <v>0</v>
      </c>
      <c r="G121" s="7">
        <f t="shared" si="93"/>
        <v>0</v>
      </c>
      <c r="H121" s="7">
        <f t="shared" si="93"/>
        <v>0</v>
      </c>
      <c r="I121" s="7">
        <f t="shared" si="93"/>
        <v>0</v>
      </c>
      <c r="J121" s="7">
        <f t="shared" si="93"/>
        <v>0</v>
      </c>
      <c r="K121" s="7">
        <f t="shared" si="93"/>
        <v>0</v>
      </c>
      <c r="L121" s="7">
        <f t="shared" si="93"/>
        <v>0</v>
      </c>
      <c r="M121" s="13" t="s">
        <v>498</v>
      </c>
      <c r="N121" s="7">
        <f t="shared" si="94"/>
        <v>0</v>
      </c>
      <c r="O121" s="7">
        <f t="shared" si="95"/>
        <v>0</v>
      </c>
      <c r="P121" s="7">
        <f t="shared" si="55"/>
        <v>0</v>
      </c>
      <c r="Q121" s="7">
        <v>0</v>
      </c>
      <c r="R121" s="7">
        <f t="shared" si="96"/>
        <v>0</v>
      </c>
      <c r="S121" s="7"/>
      <c r="T121" s="7"/>
      <c r="U121" s="7">
        <v>0</v>
      </c>
      <c r="V121" s="7">
        <f t="shared" si="56"/>
        <v>0</v>
      </c>
      <c r="W121" s="7"/>
      <c r="X121" s="159">
        <f t="shared" si="57"/>
        <v>0</v>
      </c>
      <c r="Z121" s="182"/>
      <c r="AA121" s="182"/>
    </row>
    <row r="122" spans="1:27" x14ac:dyDescent="0.3">
      <c r="A122" s="7">
        <f t="shared" si="93"/>
        <v>0</v>
      </c>
      <c r="B122" s="7">
        <f t="shared" si="93"/>
        <v>0</v>
      </c>
      <c r="C122" s="7">
        <f t="shared" si="93"/>
        <v>0</v>
      </c>
      <c r="D122" s="7">
        <f t="shared" si="93"/>
        <v>0</v>
      </c>
      <c r="E122" s="7">
        <f t="shared" si="93"/>
        <v>0</v>
      </c>
      <c r="F122" s="7">
        <f t="shared" si="93"/>
        <v>0</v>
      </c>
      <c r="G122" s="7">
        <f t="shared" si="93"/>
        <v>0</v>
      </c>
      <c r="H122" s="7">
        <f t="shared" si="93"/>
        <v>0</v>
      </c>
      <c r="I122" s="7">
        <f t="shared" si="93"/>
        <v>0</v>
      </c>
      <c r="J122" s="7">
        <f t="shared" si="93"/>
        <v>0</v>
      </c>
      <c r="K122" s="7">
        <f t="shared" si="93"/>
        <v>0</v>
      </c>
      <c r="L122" s="7">
        <f t="shared" si="93"/>
        <v>0</v>
      </c>
      <c r="M122" s="13" t="s">
        <v>499</v>
      </c>
      <c r="N122" s="7">
        <f t="shared" si="94"/>
        <v>0</v>
      </c>
      <c r="O122" s="7">
        <f t="shared" si="95"/>
        <v>0</v>
      </c>
      <c r="P122" s="7">
        <f t="shared" si="55"/>
        <v>0</v>
      </c>
      <c r="Q122" s="7">
        <v>0</v>
      </c>
      <c r="R122" s="7">
        <f t="shared" si="96"/>
        <v>0</v>
      </c>
      <c r="S122" s="7"/>
      <c r="T122" s="7"/>
      <c r="U122" s="7">
        <v>0</v>
      </c>
      <c r="V122" s="7">
        <f t="shared" si="56"/>
        <v>0</v>
      </c>
      <c r="W122" s="7"/>
      <c r="X122" s="159">
        <f t="shared" si="57"/>
        <v>0</v>
      </c>
      <c r="Z122" s="182"/>
      <c r="AA122" s="182"/>
    </row>
    <row r="123" spans="1:27" x14ac:dyDescent="0.3">
      <c r="A123" s="7">
        <f t="shared" si="93"/>
        <v>0</v>
      </c>
      <c r="B123" s="7">
        <f t="shared" si="93"/>
        <v>0</v>
      </c>
      <c r="C123" s="7">
        <f t="shared" si="93"/>
        <v>0</v>
      </c>
      <c r="D123" s="7">
        <f t="shared" si="93"/>
        <v>0</v>
      </c>
      <c r="E123" s="7">
        <f t="shared" si="93"/>
        <v>0</v>
      </c>
      <c r="F123" s="7">
        <f t="shared" si="93"/>
        <v>0</v>
      </c>
      <c r="G123" s="7">
        <f t="shared" si="93"/>
        <v>0</v>
      </c>
      <c r="H123" s="7">
        <f t="shared" si="93"/>
        <v>0</v>
      </c>
      <c r="I123" s="7">
        <f t="shared" si="93"/>
        <v>0</v>
      </c>
      <c r="J123" s="7">
        <f t="shared" si="93"/>
        <v>0</v>
      </c>
      <c r="K123" s="7">
        <f t="shared" si="93"/>
        <v>0</v>
      </c>
      <c r="L123" s="7">
        <f t="shared" si="93"/>
        <v>0</v>
      </c>
      <c r="M123" s="238" t="s">
        <v>500</v>
      </c>
      <c r="N123" s="7">
        <f t="shared" si="94"/>
        <v>0</v>
      </c>
      <c r="O123" s="7">
        <f t="shared" si="95"/>
        <v>0</v>
      </c>
      <c r="P123" s="7">
        <f t="shared" si="55"/>
        <v>0</v>
      </c>
      <c r="Q123" s="7">
        <v>0</v>
      </c>
      <c r="R123" s="7">
        <f t="shared" si="96"/>
        <v>0</v>
      </c>
      <c r="S123" s="7"/>
      <c r="T123" s="7"/>
      <c r="U123" s="7">
        <v>0</v>
      </c>
      <c r="V123" s="7">
        <f t="shared" si="56"/>
        <v>0</v>
      </c>
      <c r="W123" s="7"/>
      <c r="X123" s="159">
        <f t="shared" si="57"/>
        <v>0</v>
      </c>
      <c r="Z123" s="182"/>
      <c r="AA123" s="182"/>
    </row>
    <row r="124" spans="1:27" x14ac:dyDescent="0.3">
      <c r="A124" s="7">
        <f t="shared" si="93"/>
        <v>0</v>
      </c>
      <c r="B124" s="7">
        <f t="shared" si="93"/>
        <v>0</v>
      </c>
      <c r="C124" s="7">
        <f t="shared" si="93"/>
        <v>0</v>
      </c>
      <c r="D124" s="7">
        <f t="shared" si="93"/>
        <v>0</v>
      </c>
      <c r="E124" s="7">
        <f t="shared" si="93"/>
        <v>0</v>
      </c>
      <c r="F124" s="7">
        <f t="shared" si="93"/>
        <v>0</v>
      </c>
      <c r="G124" s="7">
        <f t="shared" si="93"/>
        <v>0</v>
      </c>
      <c r="H124" s="7">
        <f t="shared" si="93"/>
        <v>0</v>
      </c>
      <c r="I124" s="7">
        <f t="shared" si="93"/>
        <v>0</v>
      </c>
      <c r="J124" s="7">
        <f t="shared" si="93"/>
        <v>0</v>
      </c>
      <c r="K124" s="7">
        <f t="shared" si="93"/>
        <v>0</v>
      </c>
      <c r="L124" s="7">
        <f t="shared" si="93"/>
        <v>0</v>
      </c>
      <c r="M124" s="13" t="s">
        <v>501</v>
      </c>
      <c r="N124" s="7">
        <f t="shared" si="94"/>
        <v>0</v>
      </c>
      <c r="O124" s="7">
        <f t="shared" si="95"/>
        <v>0</v>
      </c>
      <c r="P124" s="7">
        <f t="shared" si="55"/>
        <v>0</v>
      </c>
      <c r="Q124" s="7">
        <v>0</v>
      </c>
      <c r="R124" s="7">
        <f t="shared" si="96"/>
        <v>0</v>
      </c>
      <c r="S124" s="7"/>
      <c r="T124" s="7"/>
      <c r="U124" s="7">
        <v>0</v>
      </c>
      <c r="V124" s="7">
        <f t="shared" si="56"/>
        <v>0</v>
      </c>
      <c r="W124" s="7"/>
      <c r="X124" s="159">
        <f t="shared" si="57"/>
        <v>0</v>
      </c>
      <c r="Z124" s="182"/>
      <c r="AA124" s="182"/>
    </row>
    <row r="125" spans="1:27" x14ac:dyDescent="0.3">
      <c r="A125" s="7">
        <v>0</v>
      </c>
      <c r="B125" s="7">
        <v>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13" t="s">
        <v>184</v>
      </c>
      <c r="N125" s="11">
        <f t="shared" si="94"/>
        <v>0</v>
      </c>
      <c r="O125" s="11">
        <f t="shared" si="95"/>
        <v>0</v>
      </c>
      <c r="P125" s="11">
        <f t="shared" si="55"/>
        <v>0</v>
      </c>
      <c r="Q125" s="11">
        <v>0</v>
      </c>
      <c r="R125" s="11">
        <f t="shared" si="96"/>
        <v>0</v>
      </c>
      <c r="S125" s="11"/>
      <c r="T125" s="11"/>
      <c r="U125" s="11">
        <v>0</v>
      </c>
      <c r="V125" s="11">
        <f t="shared" si="56"/>
        <v>0</v>
      </c>
      <c r="W125" s="11"/>
      <c r="X125" s="160">
        <f t="shared" si="57"/>
        <v>0</v>
      </c>
      <c r="Z125" s="182"/>
      <c r="AA125" s="182"/>
    </row>
    <row r="126" spans="1:27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3"/>
      <c r="N126" s="7">
        <f t="shared" si="59"/>
        <v>0</v>
      </c>
      <c r="O126" s="7">
        <f t="shared" si="60"/>
        <v>0</v>
      </c>
      <c r="P126" s="7">
        <f t="shared" si="55"/>
        <v>0</v>
      </c>
      <c r="Q126" s="7"/>
      <c r="R126" s="7"/>
      <c r="S126" s="7"/>
      <c r="T126" s="7"/>
      <c r="U126" s="7">
        <v>0</v>
      </c>
      <c r="V126" s="7">
        <f t="shared" si="56"/>
        <v>0</v>
      </c>
      <c r="W126" s="7"/>
      <c r="X126" s="159"/>
      <c r="Z126" s="182"/>
      <c r="AA126" s="182"/>
    </row>
    <row r="127" spans="1:27" x14ac:dyDescent="0.3">
      <c r="A127" s="4">
        <f>SUM(A114:A125)</f>
        <v>47820</v>
      </c>
      <c r="B127" s="4">
        <f t="shared" ref="B127:L127" si="97">SUM(B114:B125)</f>
        <v>47820</v>
      </c>
      <c r="C127" s="4">
        <f t="shared" si="97"/>
        <v>47820</v>
      </c>
      <c r="D127" s="4">
        <f t="shared" si="97"/>
        <v>47820</v>
      </c>
      <c r="E127" s="4">
        <f t="shared" si="97"/>
        <v>47820</v>
      </c>
      <c r="F127" s="4">
        <f t="shared" si="97"/>
        <v>47820</v>
      </c>
      <c r="G127" s="4">
        <f t="shared" si="97"/>
        <v>47820</v>
      </c>
      <c r="H127" s="4">
        <f t="shared" si="97"/>
        <v>47820</v>
      </c>
      <c r="I127" s="4">
        <f t="shared" si="97"/>
        <v>47820</v>
      </c>
      <c r="J127" s="4">
        <f t="shared" si="97"/>
        <v>47820</v>
      </c>
      <c r="K127" s="4">
        <f t="shared" si="97"/>
        <v>106053</v>
      </c>
      <c r="L127" s="4">
        <f t="shared" si="97"/>
        <v>47820</v>
      </c>
      <c r="M127" s="13" t="s">
        <v>185</v>
      </c>
      <c r="N127" s="4">
        <f t="shared" ref="N127:O127" si="98">SUM(N114:N125)</f>
        <v>0</v>
      </c>
      <c r="O127" s="4">
        <f t="shared" si="98"/>
        <v>632073</v>
      </c>
      <c r="P127" s="4">
        <f t="shared" ref="P127:Q127" si="99">SUM(P114:P125)</f>
        <v>632073</v>
      </c>
      <c r="Q127" s="4">
        <f t="shared" si="99"/>
        <v>632073</v>
      </c>
      <c r="R127" s="4">
        <f t="shared" ref="R127:W127" si="100">SUM(R114:R125)</f>
        <v>0</v>
      </c>
      <c r="S127" s="4">
        <v>306469</v>
      </c>
      <c r="T127" s="4">
        <v>172140</v>
      </c>
      <c r="U127" s="4">
        <v>478609</v>
      </c>
      <c r="V127" s="4">
        <f t="shared" si="56"/>
        <v>-153464</v>
      </c>
      <c r="W127" s="4">
        <f t="shared" si="100"/>
        <v>0</v>
      </c>
      <c r="X127" s="162">
        <f t="shared" si="57"/>
        <v>0</v>
      </c>
      <c r="Z127" s="182"/>
      <c r="AA127" s="182"/>
    </row>
    <row r="128" spans="1:27" x14ac:dyDescent="0.3">
      <c r="A128" s="82"/>
      <c r="B128" s="81"/>
      <c r="C128" s="81"/>
      <c r="D128" s="82"/>
      <c r="E128" s="86"/>
      <c r="F128" s="86"/>
      <c r="G128" s="86"/>
      <c r="H128" s="86"/>
      <c r="I128" s="87"/>
      <c r="J128" s="87"/>
      <c r="K128" s="88"/>
      <c r="L128" s="88"/>
      <c r="M128" s="122"/>
      <c r="N128" s="86">
        <f t="shared" si="59"/>
        <v>0</v>
      </c>
      <c r="O128" s="86">
        <f t="shared" si="60"/>
        <v>0</v>
      </c>
      <c r="P128" s="86">
        <f t="shared" si="55"/>
        <v>0</v>
      </c>
      <c r="Q128" s="81"/>
      <c r="R128" s="81"/>
      <c r="S128" s="81"/>
      <c r="T128" s="81"/>
      <c r="U128" s="81">
        <v>0</v>
      </c>
      <c r="V128" s="81">
        <f t="shared" si="56"/>
        <v>0</v>
      </c>
      <c r="W128" s="81"/>
      <c r="X128" s="204"/>
      <c r="Z128" s="182"/>
      <c r="AA128" s="182"/>
    </row>
    <row r="129" spans="1:27" x14ac:dyDescent="0.3">
      <c r="A129" s="4">
        <f>A112+A127</f>
        <v>873924.30370000005</v>
      </c>
      <c r="B129" s="4">
        <f t="shared" ref="B129:L129" si="101">B112+B127</f>
        <v>873924.30370000005</v>
      </c>
      <c r="C129" s="4">
        <f t="shared" si="101"/>
        <v>883347.12678000005</v>
      </c>
      <c r="D129" s="4">
        <f t="shared" si="101"/>
        <v>883347.12678000005</v>
      </c>
      <c r="E129" s="4">
        <f t="shared" si="101"/>
        <v>883347.12678000005</v>
      </c>
      <c r="F129" s="4">
        <f t="shared" si="101"/>
        <v>883347.12678000005</v>
      </c>
      <c r="G129" s="4">
        <f t="shared" si="101"/>
        <v>883347.12678000005</v>
      </c>
      <c r="H129" s="4">
        <f t="shared" si="101"/>
        <v>1178587.1167799998</v>
      </c>
      <c r="I129" s="4">
        <f t="shared" si="101"/>
        <v>928621.434275368</v>
      </c>
      <c r="J129" s="4">
        <f t="shared" si="101"/>
        <v>883347.12678000005</v>
      </c>
      <c r="K129" s="4">
        <f t="shared" si="101"/>
        <v>941580.12678000005</v>
      </c>
      <c r="L129" s="4">
        <f t="shared" si="101"/>
        <v>897961.27653210913</v>
      </c>
      <c r="M129" s="13" t="s">
        <v>186</v>
      </c>
      <c r="N129" s="4">
        <f t="shared" ref="N129:O129" si="102">N112+N127</f>
        <v>0</v>
      </c>
      <c r="O129" s="4">
        <f t="shared" si="102"/>
        <v>10994681.322447479</v>
      </c>
      <c r="P129" s="4">
        <f>P112+P127</f>
        <v>10994681.322447479</v>
      </c>
      <c r="Q129" s="4">
        <f>Q112+Q127</f>
        <v>10994681.577165477</v>
      </c>
      <c r="R129" s="4">
        <f>R112+R127</f>
        <v>0.254718000000139</v>
      </c>
      <c r="S129" s="4">
        <v>376469</v>
      </c>
      <c r="T129" s="4">
        <v>488911</v>
      </c>
      <c r="U129" s="4">
        <v>9269825.4682007059</v>
      </c>
      <c r="V129" s="4">
        <f t="shared" si="56"/>
        <v>-1724855.8542467728</v>
      </c>
      <c r="W129" s="4">
        <f>W112+W127</f>
        <v>0</v>
      </c>
      <c r="X129" s="162">
        <f t="shared" si="57"/>
        <v>0</v>
      </c>
      <c r="Z129" s="182"/>
      <c r="AA129" s="182"/>
    </row>
    <row r="131" spans="1:27" x14ac:dyDescent="0.3">
      <c r="N131" s="167"/>
      <c r="O131" s="167"/>
      <c r="P131" s="167"/>
      <c r="Q131" s="167"/>
      <c r="T131" s="295">
        <v>91071</v>
      </c>
    </row>
    <row r="132" spans="1:27" x14ac:dyDescent="0.3">
      <c r="M132" s="167"/>
      <c r="N132" s="167"/>
      <c r="O132" s="167"/>
      <c r="P132" s="167"/>
      <c r="Q132" s="167"/>
    </row>
    <row r="133" spans="1:27" x14ac:dyDescent="0.3">
      <c r="M133" s="167"/>
      <c r="N133" s="167"/>
      <c r="O133" s="167"/>
      <c r="P133" s="167"/>
      <c r="Q133" s="167"/>
      <c r="R133" s="353" t="s">
        <v>377</v>
      </c>
      <c r="S133" s="353"/>
    </row>
  </sheetData>
  <mergeCells count="3">
    <mergeCell ref="A3:L3"/>
    <mergeCell ref="N3:W3"/>
    <mergeCell ref="M4:M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AA132"/>
  <sheetViews>
    <sheetView zoomScale="70" zoomScaleNormal="70" workbookViewId="0">
      <pane xSplit="13" ySplit="5" topLeftCell="N114" activePane="bottomRight" state="frozen"/>
      <selection pane="topRight" activeCell="N1" sqref="N1"/>
      <selection pane="bottomLeft" activeCell="A6" sqref="A6"/>
      <selection pane="bottomRight" activeCell="P129" sqref="P129:Q129"/>
    </sheetView>
  </sheetViews>
  <sheetFormatPr defaultRowHeight="14.4" x14ac:dyDescent="0.3"/>
  <cols>
    <col min="1" max="1" width="13" bestFit="1" customWidth="1"/>
    <col min="2" max="3" width="13.88671875" bestFit="1" customWidth="1"/>
    <col min="4" max="4" width="12.6640625" bestFit="1" customWidth="1"/>
    <col min="5" max="5" width="13.88671875" bestFit="1" customWidth="1"/>
    <col min="6" max="6" width="12.6640625" bestFit="1" customWidth="1"/>
    <col min="7" max="7" width="13" bestFit="1" customWidth="1"/>
    <col min="8" max="8" width="12.109375" bestFit="1" customWidth="1"/>
    <col min="9" max="9" width="13" bestFit="1" customWidth="1"/>
    <col min="10" max="10" width="12.6640625" bestFit="1" customWidth="1"/>
    <col min="11" max="11" width="11.5546875" bestFit="1" customWidth="1"/>
    <col min="12" max="12" width="13.6640625" customWidth="1"/>
    <col min="13" max="13" width="61.33203125" bestFit="1" customWidth="1"/>
    <col min="14" max="15" width="13.6640625" customWidth="1"/>
    <col min="16" max="16" width="15.109375" customWidth="1"/>
    <col min="17" max="17" width="17.44140625" customWidth="1"/>
    <col min="18" max="18" width="13.6640625" hidden="1" customWidth="1"/>
    <col min="19" max="20" width="13.6640625" style="167" hidden="1" customWidth="1"/>
    <col min="21" max="21" width="15.109375" style="167" hidden="1" customWidth="1"/>
    <col min="22" max="22" width="13.6640625" style="167" hidden="1" customWidth="1"/>
    <col min="23" max="23" width="22.5546875" hidden="1" customWidth="1"/>
    <col min="24" max="24" width="10.109375" bestFit="1" customWidth="1"/>
    <col min="26" max="26" width="15.5546875" style="167" customWidth="1"/>
    <col min="27" max="27" width="10" customWidth="1"/>
  </cols>
  <sheetData>
    <row r="2" spans="1:26" x14ac:dyDescent="0.3">
      <c r="D2" t="s">
        <v>412</v>
      </c>
    </row>
    <row r="3" spans="1:26" x14ac:dyDescent="0.3">
      <c r="A3" s="408" t="s">
        <v>231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14" t="s">
        <v>69</v>
      </c>
      <c r="N3" s="424" t="s">
        <v>226</v>
      </c>
      <c r="O3" s="425"/>
      <c r="P3" s="425"/>
      <c r="Q3" s="425"/>
      <c r="R3" s="425"/>
      <c r="S3" s="425"/>
      <c r="T3" s="425"/>
      <c r="U3" s="425"/>
      <c r="V3" s="425"/>
      <c r="W3" s="425"/>
      <c r="X3" s="125"/>
    </row>
    <row r="4" spans="1:26" ht="41.4" x14ac:dyDescent="0.3">
      <c r="A4" s="125">
        <v>44287</v>
      </c>
      <c r="B4" s="125">
        <v>44317</v>
      </c>
      <c r="C4" s="125">
        <v>44348</v>
      </c>
      <c r="D4" s="125">
        <v>44378</v>
      </c>
      <c r="E4" s="125">
        <v>44409</v>
      </c>
      <c r="F4" s="125">
        <v>44440</v>
      </c>
      <c r="G4" s="125">
        <v>44470</v>
      </c>
      <c r="H4" s="125">
        <v>44501</v>
      </c>
      <c r="I4" s="125">
        <v>44531</v>
      </c>
      <c r="J4" s="125">
        <v>44562</v>
      </c>
      <c r="K4" s="125">
        <v>44593</v>
      </c>
      <c r="L4" s="125">
        <v>44621</v>
      </c>
      <c r="M4" s="429" t="s">
        <v>261</v>
      </c>
      <c r="N4" s="243" t="s">
        <v>411</v>
      </c>
      <c r="O4" s="243" t="s">
        <v>413</v>
      </c>
      <c r="P4" s="243" t="s">
        <v>407</v>
      </c>
      <c r="Q4" s="243" t="s">
        <v>407</v>
      </c>
      <c r="R4" s="243" t="s">
        <v>228</v>
      </c>
      <c r="S4" s="243" t="s">
        <v>378</v>
      </c>
      <c r="T4" s="243" t="s">
        <v>294</v>
      </c>
      <c r="U4" s="243" t="s">
        <v>74</v>
      </c>
      <c r="V4" s="243" t="s">
        <v>295</v>
      </c>
      <c r="W4" s="125" t="s">
        <v>229</v>
      </c>
      <c r="X4" s="125" t="s">
        <v>271</v>
      </c>
    </row>
    <row r="5" spans="1:26" ht="27.6" customHeight="1" x14ac:dyDescent="0.3">
      <c r="A5" s="10" t="s">
        <v>1</v>
      </c>
      <c r="B5" s="10" t="s">
        <v>1</v>
      </c>
      <c r="C5" s="10" t="s">
        <v>1</v>
      </c>
      <c r="D5" s="10" t="s">
        <v>1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430"/>
      <c r="N5" s="201" t="s">
        <v>2</v>
      </c>
      <c r="O5" s="10" t="s">
        <v>1</v>
      </c>
      <c r="P5" s="289" t="s">
        <v>502</v>
      </c>
      <c r="Q5" s="289" t="s">
        <v>241</v>
      </c>
      <c r="R5" s="10" t="s">
        <v>399</v>
      </c>
      <c r="S5" s="289" t="s">
        <v>235</v>
      </c>
      <c r="T5" s="289" t="s">
        <v>235</v>
      </c>
      <c r="U5" s="289" t="s">
        <v>235</v>
      </c>
      <c r="V5" s="10" t="s">
        <v>399</v>
      </c>
      <c r="W5" s="10" t="s">
        <v>400</v>
      </c>
      <c r="X5" s="10" t="s">
        <v>13</v>
      </c>
    </row>
    <row r="6" spans="1:2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24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6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238" t="s">
        <v>414</v>
      </c>
      <c r="N7" s="8">
        <f>SUM(0)</f>
        <v>0</v>
      </c>
      <c r="O7" s="8">
        <f>SUM(A7:L7)</f>
        <v>0</v>
      </c>
      <c r="P7" s="8">
        <f>SUM(N7:O7)</f>
        <v>0</v>
      </c>
      <c r="Q7" s="8">
        <v>0</v>
      </c>
      <c r="R7" s="8">
        <f>Q7-P7</f>
        <v>0</v>
      </c>
      <c r="S7" s="8"/>
      <c r="T7" s="8"/>
      <c r="U7" s="8">
        <v>0</v>
      </c>
      <c r="V7" s="8">
        <f>U7-P7</f>
        <v>0</v>
      </c>
      <c r="W7" s="8"/>
      <c r="X7" s="158"/>
    </row>
    <row r="8" spans="1:26" ht="27.6" x14ac:dyDescent="0.3">
      <c r="A8" s="7">
        <f>386733.3*1.058</f>
        <v>409163.83140000002</v>
      </c>
      <c r="B8" s="7">
        <f>425146.68*1.058</f>
        <v>449805.18744000001</v>
      </c>
      <c r="C8" s="7">
        <f t="shared" ref="C8:K8" si="0">425146.68*1.058</f>
        <v>449805.18744000001</v>
      </c>
      <c r="D8" s="7">
        <f t="shared" si="0"/>
        <v>449805.18744000001</v>
      </c>
      <c r="E8" s="7">
        <f t="shared" si="0"/>
        <v>449805.18744000001</v>
      </c>
      <c r="F8" s="7">
        <f t="shared" si="0"/>
        <v>449805.18744000001</v>
      </c>
      <c r="G8" s="7">
        <f t="shared" si="0"/>
        <v>449805.18744000001</v>
      </c>
      <c r="H8" s="7">
        <f t="shared" si="0"/>
        <v>449805.18744000001</v>
      </c>
      <c r="I8" s="7">
        <f t="shared" si="0"/>
        <v>449805.18744000001</v>
      </c>
      <c r="J8" s="7">
        <f t="shared" si="0"/>
        <v>449805.18744000001</v>
      </c>
      <c r="K8" s="7">
        <f t="shared" si="0"/>
        <v>449805.18744000001</v>
      </c>
      <c r="L8" s="7">
        <f>(425146.68*1.058)+309.2</f>
        <v>450114.38744000002</v>
      </c>
      <c r="M8" s="13" t="s">
        <v>415</v>
      </c>
      <c r="N8" s="7">
        <f t="shared" ref="N8:N16" si="1">SUM(0)</f>
        <v>0</v>
      </c>
      <c r="O8" s="7">
        <f t="shared" ref="O8:O16" si="2">SUM(A8:L8)</f>
        <v>5357330.0932400003</v>
      </c>
      <c r="P8" s="7">
        <f>SUM(N8:O8)</f>
        <v>5357330.0932400003</v>
      </c>
      <c r="Q8" s="7">
        <v>5357330.0932400003</v>
      </c>
      <c r="R8" s="7">
        <f t="shared" ref="R8:R16" si="3">Q8-P8</f>
        <v>0</v>
      </c>
      <c r="S8" s="7">
        <v>214523</v>
      </c>
      <c r="T8" s="7">
        <v>-818352.36</v>
      </c>
      <c r="U8" s="7">
        <v>3794806.9397600009</v>
      </c>
      <c r="V8" s="7">
        <f t="shared" ref="V8:V71" si="4">U8-P8</f>
        <v>-1562523.1534799994</v>
      </c>
      <c r="W8" s="342" t="s">
        <v>375</v>
      </c>
      <c r="X8" s="159">
        <f>IFERROR(N8/Q8,0)</f>
        <v>0</v>
      </c>
      <c r="Z8" s="182"/>
    </row>
    <row r="9" spans="1:26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>
        <v>7298.2720000000008</v>
      </c>
      <c r="M9" s="13" t="s">
        <v>416</v>
      </c>
      <c r="N9" s="7">
        <f t="shared" si="1"/>
        <v>0</v>
      </c>
      <c r="O9" s="7">
        <f t="shared" si="2"/>
        <v>7298.2720000000008</v>
      </c>
      <c r="P9" s="7">
        <f t="shared" ref="P9:P71" si="5">SUM(N9:O9)</f>
        <v>7298.2720000000008</v>
      </c>
      <c r="Q9" s="7">
        <v>7298.2720000000008</v>
      </c>
      <c r="R9" s="7">
        <f t="shared" si="3"/>
        <v>0</v>
      </c>
      <c r="S9" s="7"/>
      <c r="T9" s="7"/>
      <c r="U9" s="7">
        <v>6606.6124496400016</v>
      </c>
      <c r="V9" s="7">
        <f t="shared" si="4"/>
        <v>-691.65955035999923</v>
      </c>
      <c r="W9" s="7"/>
      <c r="X9" s="159">
        <f t="shared" ref="X9:X72" si="6">IFERROR(N9/Q9,0)</f>
        <v>0</v>
      </c>
      <c r="Z9" s="182"/>
    </row>
    <row r="10" spans="1:26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3" t="s">
        <v>417</v>
      </c>
      <c r="N10" s="7">
        <f t="shared" si="1"/>
        <v>0</v>
      </c>
      <c r="O10" s="7">
        <f t="shared" si="2"/>
        <v>0</v>
      </c>
      <c r="P10" s="7">
        <f t="shared" si="5"/>
        <v>0</v>
      </c>
      <c r="Q10" s="7">
        <v>0</v>
      </c>
      <c r="R10" s="7">
        <f t="shared" si="3"/>
        <v>0</v>
      </c>
      <c r="S10" s="7"/>
      <c r="T10" s="7"/>
      <c r="U10" s="7">
        <v>0</v>
      </c>
      <c r="V10" s="7">
        <f t="shared" si="4"/>
        <v>0</v>
      </c>
      <c r="W10" s="7"/>
      <c r="X10" s="159">
        <f t="shared" si="6"/>
        <v>0</v>
      </c>
      <c r="Z10" s="182"/>
    </row>
    <row r="11" spans="1:26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3" t="s">
        <v>418</v>
      </c>
      <c r="N11" s="7">
        <f t="shared" si="1"/>
        <v>0</v>
      </c>
      <c r="O11" s="7">
        <f t="shared" si="2"/>
        <v>0</v>
      </c>
      <c r="P11" s="7">
        <f t="shared" si="5"/>
        <v>0</v>
      </c>
      <c r="Q11" s="7">
        <v>0</v>
      </c>
      <c r="R11" s="7">
        <f t="shared" si="3"/>
        <v>0</v>
      </c>
      <c r="S11" s="7"/>
      <c r="T11" s="7"/>
      <c r="U11" s="7">
        <v>0</v>
      </c>
      <c r="V11" s="7">
        <f t="shared" si="4"/>
        <v>0</v>
      </c>
      <c r="W11" s="7"/>
      <c r="X11" s="159">
        <f t="shared" si="6"/>
        <v>0</v>
      </c>
      <c r="Z11" s="182"/>
    </row>
    <row r="12" spans="1:26" x14ac:dyDescent="0.3">
      <c r="A12" s="7">
        <f>2576.64*1.048</f>
        <v>2700.3187199999998</v>
      </c>
      <c r="B12" s="7">
        <f t="shared" ref="B12:L12" si="7">2576.64*1.048</f>
        <v>2700.3187199999998</v>
      </c>
      <c r="C12" s="7">
        <f t="shared" si="7"/>
        <v>2700.3187199999998</v>
      </c>
      <c r="D12" s="7">
        <f t="shared" si="7"/>
        <v>2700.3187199999998</v>
      </c>
      <c r="E12" s="7">
        <f t="shared" si="7"/>
        <v>2700.3187199999998</v>
      </c>
      <c r="F12" s="7">
        <f t="shared" si="7"/>
        <v>2700.3187199999998</v>
      </c>
      <c r="G12" s="7">
        <f t="shared" si="7"/>
        <v>2700.3187199999998</v>
      </c>
      <c r="H12" s="7">
        <f t="shared" si="7"/>
        <v>2700.3187199999998</v>
      </c>
      <c r="I12" s="7">
        <f t="shared" si="7"/>
        <v>2700.3187199999998</v>
      </c>
      <c r="J12" s="7">
        <f t="shared" si="7"/>
        <v>2700.3187199999998</v>
      </c>
      <c r="K12" s="7">
        <f t="shared" si="7"/>
        <v>2700.3187199999998</v>
      </c>
      <c r="L12" s="7">
        <f t="shared" si="7"/>
        <v>2700.3187199999998</v>
      </c>
      <c r="M12" s="13" t="s">
        <v>419</v>
      </c>
      <c r="N12" s="7">
        <f t="shared" si="1"/>
        <v>0</v>
      </c>
      <c r="O12" s="7">
        <f t="shared" si="2"/>
        <v>32403.824639999995</v>
      </c>
      <c r="P12" s="7">
        <f t="shared" si="5"/>
        <v>32403.824639999995</v>
      </c>
      <c r="Q12" s="7">
        <v>32403.824639999995</v>
      </c>
      <c r="R12" s="7">
        <f t="shared" si="3"/>
        <v>0</v>
      </c>
      <c r="S12" s="7"/>
      <c r="T12" s="7">
        <v>4860</v>
      </c>
      <c r="U12" s="7">
        <v>20588.457017999997</v>
      </c>
      <c r="V12" s="7">
        <f t="shared" si="4"/>
        <v>-11815.367621999998</v>
      </c>
      <c r="W12" s="7"/>
      <c r="X12" s="159">
        <f>IFERROR(N12/Q12,0)</f>
        <v>0</v>
      </c>
      <c r="Z12" s="182"/>
    </row>
    <row r="13" spans="1:26" x14ac:dyDescent="0.3">
      <c r="A13" s="7">
        <f>5472.37*1.048</f>
        <v>5735.0437600000005</v>
      </c>
      <c r="B13" s="7"/>
      <c r="C13" s="7">
        <f>10850.14*1.048</f>
        <v>11370.94672</v>
      </c>
      <c r="D13" s="7"/>
      <c r="E13" s="7"/>
      <c r="F13" s="7"/>
      <c r="G13" s="7"/>
      <c r="H13" s="7"/>
      <c r="I13" s="7"/>
      <c r="J13" s="7"/>
      <c r="K13" s="7"/>
      <c r="L13" s="7"/>
      <c r="M13" s="13" t="s">
        <v>420</v>
      </c>
      <c r="N13" s="7">
        <f t="shared" si="1"/>
        <v>0</v>
      </c>
      <c r="O13" s="7">
        <f t="shared" si="2"/>
        <v>17105.99048</v>
      </c>
      <c r="P13" s="7">
        <f t="shared" si="5"/>
        <v>17105.99048</v>
      </c>
      <c r="Q13" s="7">
        <v>17105.99048</v>
      </c>
      <c r="R13" s="7">
        <f t="shared" si="3"/>
        <v>0</v>
      </c>
      <c r="S13" s="7"/>
      <c r="T13" s="7">
        <v>10851</v>
      </c>
      <c r="U13" s="7">
        <v>16323</v>
      </c>
      <c r="V13" s="7">
        <f t="shared" si="4"/>
        <v>-782.99048000000039</v>
      </c>
      <c r="W13" s="7"/>
      <c r="X13" s="159">
        <f t="shared" si="6"/>
        <v>0</v>
      </c>
      <c r="Z13" s="182"/>
    </row>
    <row r="14" spans="1:26" ht="27.6" x14ac:dyDescent="0.3">
      <c r="A14" s="7"/>
      <c r="B14" s="7"/>
      <c r="C14" s="7"/>
      <c r="D14" s="7"/>
      <c r="E14" s="7"/>
      <c r="F14" s="7"/>
      <c r="G14" s="7"/>
      <c r="H14" s="7">
        <f>123872.61</f>
        <v>123872.61</v>
      </c>
      <c r="I14" s="7"/>
      <c r="J14" s="7"/>
      <c r="K14" s="7"/>
      <c r="L14" s="7"/>
      <c r="M14" s="13" t="s">
        <v>421</v>
      </c>
      <c r="N14" s="7">
        <f t="shared" si="1"/>
        <v>0</v>
      </c>
      <c r="O14" s="7">
        <f t="shared" si="2"/>
        <v>123872.61</v>
      </c>
      <c r="P14" s="7">
        <f t="shared" si="5"/>
        <v>123872.61</v>
      </c>
      <c r="Q14" s="7">
        <v>123872.61</v>
      </c>
      <c r="R14" s="7">
        <f t="shared" si="3"/>
        <v>0</v>
      </c>
      <c r="S14" s="7"/>
      <c r="T14" s="7">
        <v>-182688</v>
      </c>
      <c r="U14" s="7">
        <v>123705.62085286959</v>
      </c>
      <c r="V14" s="7">
        <f t="shared" si="4"/>
        <v>-166.98914713041449</v>
      </c>
      <c r="W14" s="342" t="s">
        <v>375</v>
      </c>
      <c r="X14" s="159">
        <f t="shared" si="6"/>
        <v>0</v>
      </c>
      <c r="Z14" s="182"/>
    </row>
    <row r="15" spans="1:26" x14ac:dyDescent="0.3">
      <c r="A15" s="7"/>
      <c r="B15" s="7">
        <f>6000*1.048</f>
        <v>6288</v>
      </c>
      <c r="C15" s="7">
        <v>0</v>
      </c>
      <c r="D15" s="7"/>
      <c r="E15" s="7">
        <f>6000*1.048</f>
        <v>6288</v>
      </c>
      <c r="F15" s="7"/>
      <c r="G15" s="7">
        <v>0</v>
      </c>
      <c r="H15" s="7"/>
      <c r="I15" s="7"/>
      <c r="J15" s="7"/>
      <c r="K15" s="7"/>
      <c r="L15" s="7"/>
      <c r="M15" s="13" t="s">
        <v>422</v>
      </c>
      <c r="N15" s="7">
        <f t="shared" si="1"/>
        <v>0</v>
      </c>
      <c r="O15" s="7">
        <f t="shared" si="2"/>
        <v>12576</v>
      </c>
      <c r="P15" s="7">
        <f t="shared" si="5"/>
        <v>12576</v>
      </c>
      <c r="Q15" s="7">
        <v>12576</v>
      </c>
      <c r="R15" s="7">
        <f t="shared" si="3"/>
        <v>0</v>
      </c>
      <c r="S15" s="7"/>
      <c r="T15" s="7"/>
      <c r="U15" s="7">
        <v>12000</v>
      </c>
      <c r="V15" s="7">
        <f t="shared" si="4"/>
        <v>-576</v>
      </c>
      <c r="W15" s="7"/>
      <c r="X15" s="159">
        <f t="shared" si="6"/>
        <v>0</v>
      </c>
      <c r="Z15" s="182"/>
    </row>
    <row r="16" spans="1:26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3" t="s">
        <v>423</v>
      </c>
      <c r="N16" s="11">
        <f t="shared" si="1"/>
        <v>0</v>
      </c>
      <c r="O16" s="11">
        <f t="shared" si="2"/>
        <v>0</v>
      </c>
      <c r="P16" s="11">
        <f t="shared" si="5"/>
        <v>0</v>
      </c>
      <c r="Q16" s="11">
        <v>0</v>
      </c>
      <c r="R16" s="11">
        <f t="shared" si="3"/>
        <v>0</v>
      </c>
      <c r="S16" s="11"/>
      <c r="T16" s="11"/>
      <c r="U16" s="11">
        <v>0</v>
      </c>
      <c r="V16" s="11">
        <f t="shared" si="4"/>
        <v>0</v>
      </c>
      <c r="W16" s="11"/>
      <c r="X16" s="160">
        <f t="shared" si="6"/>
        <v>0</v>
      </c>
      <c r="Z16" s="182"/>
    </row>
    <row r="17" spans="1:27" x14ac:dyDescent="0.3">
      <c r="A17" s="81"/>
      <c r="B17" s="81"/>
      <c r="C17" s="81"/>
      <c r="D17" s="85"/>
      <c r="E17" s="83"/>
      <c r="F17" s="83"/>
      <c r="G17" s="83"/>
      <c r="H17" s="83"/>
      <c r="I17" s="83"/>
      <c r="J17" s="83"/>
      <c r="K17" s="84"/>
      <c r="L17" s="84"/>
      <c r="M17" s="13"/>
      <c r="N17" s="83">
        <f t="shared" ref="N17:N66" si="8">SUM(A17:J17)</f>
        <v>0</v>
      </c>
      <c r="O17" s="83">
        <f t="shared" ref="O17:O66" si="9">SUM(K17:L17)</f>
        <v>0</v>
      </c>
      <c r="P17" s="83">
        <f t="shared" si="5"/>
        <v>0</v>
      </c>
      <c r="Q17" s="81"/>
      <c r="R17" s="81"/>
      <c r="S17" s="81"/>
      <c r="T17" s="81"/>
      <c r="U17" s="81">
        <f t="shared" ref="U17:U72" si="10">S17+Q17+T17</f>
        <v>0</v>
      </c>
      <c r="V17" s="81">
        <f t="shared" si="4"/>
        <v>0</v>
      </c>
      <c r="W17" s="81"/>
      <c r="X17" s="204"/>
      <c r="Z17" s="182"/>
    </row>
    <row r="18" spans="1:27" x14ac:dyDescent="0.3">
      <c r="A18" s="4">
        <f>SUM(A7:A16)</f>
        <v>417599.19388000004</v>
      </c>
      <c r="B18" s="4">
        <f t="shared" ref="B18:L18" si="11">SUM(B7:B16)</f>
        <v>458793.50615999999</v>
      </c>
      <c r="C18" s="4">
        <f t="shared" si="11"/>
        <v>463876.45288</v>
      </c>
      <c r="D18" s="4">
        <f t="shared" si="11"/>
        <v>452505.50615999999</v>
      </c>
      <c r="E18" s="4">
        <f t="shared" si="11"/>
        <v>458793.50615999999</v>
      </c>
      <c r="F18" s="4">
        <f t="shared" si="11"/>
        <v>452505.50615999999</v>
      </c>
      <c r="G18" s="4">
        <f t="shared" si="11"/>
        <v>452505.50615999999</v>
      </c>
      <c r="H18" s="4">
        <f t="shared" si="11"/>
        <v>576378.11615999998</v>
      </c>
      <c r="I18" s="4">
        <f t="shared" si="11"/>
        <v>452505.50615999999</v>
      </c>
      <c r="J18" s="4">
        <f t="shared" si="11"/>
        <v>452505.50615999999</v>
      </c>
      <c r="K18" s="4">
        <f t="shared" si="11"/>
        <v>452505.50615999999</v>
      </c>
      <c r="L18" s="4">
        <f t="shared" si="11"/>
        <v>460112.97816</v>
      </c>
      <c r="M18" s="13" t="s">
        <v>89</v>
      </c>
      <c r="N18" s="4">
        <f t="shared" ref="N18:O18" si="12">SUM(N7:N17)</f>
        <v>0</v>
      </c>
      <c r="O18" s="4">
        <f t="shared" si="12"/>
        <v>5550586.7903600009</v>
      </c>
      <c r="P18" s="4">
        <f t="shared" ref="P18:Q18" si="13">SUM(P7:P17)</f>
        <v>5550586.7903600009</v>
      </c>
      <c r="Q18" s="4">
        <f t="shared" si="13"/>
        <v>5550586.7903600009</v>
      </c>
      <c r="R18" s="4">
        <f>SUM(R7:R16)</f>
        <v>0</v>
      </c>
      <c r="S18" s="4">
        <f t="shared" ref="S18:T18" si="14">SUM(S7:S16)</f>
        <v>214523</v>
      </c>
      <c r="T18" s="4">
        <f t="shared" si="14"/>
        <v>-985329.36</v>
      </c>
      <c r="U18" s="4">
        <f t="shared" si="10"/>
        <v>4779780.4303600006</v>
      </c>
      <c r="V18" s="4">
        <f t="shared" si="4"/>
        <v>-770806.36000000034</v>
      </c>
      <c r="W18" s="4">
        <f t="shared" ref="W18" si="15">SUM(W8:W16)</f>
        <v>0</v>
      </c>
      <c r="X18" s="162">
        <f t="shared" si="6"/>
        <v>0</v>
      </c>
      <c r="Z18" s="182">
        <v>5389733.9138494711</v>
      </c>
      <c r="AA18" s="182">
        <f>N18-Z18</f>
        <v>-5389733.9138494711</v>
      </c>
    </row>
    <row r="19" spans="1:27" x14ac:dyDescent="0.3">
      <c r="A19" s="81"/>
      <c r="B19" s="81"/>
      <c r="C19" s="81"/>
      <c r="D19" s="82"/>
      <c r="E19" s="86"/>
      <c r="F19" s="86"/>
      <c r="G19" s="86"/>
      <c r="H19" s="87"/>
      <c r="I19" s="87"/>
      <c r="J19" s="87"/>
      <c r="K19" s="88"/>
      <c r="L19" s="88"/>
      <c r="M19" s="122"/>
      <c r="N19" s="86">
        <f t="shared" si="8"/>
        <v>0</v>
      </c>
      <c r="O19" s="86">
        <f t="shared" si="9"/>
        <v>0</v>
      </c>
      <c r="P19" s="86">
        <f t="shared" si="5"/>
        <v>0</v>
      </c>
      <c r="Q19" s="81"/>
      <c r="R19" s="81"/>
      <c r="S19" s="81"/>
      <c r="T19" s="81"/>
      <c r="U19" s="81">
        <f t="shared" si="10"/>
        <v>0</v>
      </c>
      <c r="V19" s="81">
        <f t="shared" si="4"/>
        <v>0</v>
      </c>
      <c r="W19" s="81"/>
      <c r="X19" s="204"/>
      <c r="Z19" s="182"/>
    </row>
    <row r="20" spans="1:27" x14ac:dyDescent="0.3">
      <c r="A20" s="8">
        <f t="shared" ref="A20:L26" si="16">$Q20/12</f>
        <v>0</v>
      </c>
      <c r="B20" s="8">
        <f t="shared" si="16"/>
        <v>0</v>
      </c>
      <c r="C20" s="8">
        <f t="shared" si="16"/>
        <v>0</v>
      </c>
      <c r="D20" s="8">
        <f t="shared" si="16"/>
        <v>0</v>
      </c>
      <c r="E20" s="8">
        <f t="shared" si="16"/>
        <v>0</v>
      </c>
      <c r="F20" s="8">
        <f t="shared" si="16"/>
        <v>0</v>
      </c>
      <c r="G20" s="8">
        <f t="shared" si="16"/>
        <v>0</v>
      </c>
      <c r="H20" s="8">
        <f t="shared" si="16"/>
        <v>0</v>
      </c>
      <c r="I20" s="8">
        <f t="shared" si="16"/>
        <v>0</v>
      </c>
      <c r="J20" s="8">
        <f t="shared" si="16"/>
        <v>0</v>
      </c>
      <c r="K20" s="8">
        <f t="shared" si="16"/>
        <v>0</v>
      </c>
      <c r="L20" s="8">
        <f>$Q20/12</f>
        <v>0</v>
      </c>
      <c r="M20" s="238" t="s">
        <v>424</v>
      </c>
      <c r="N20" s="8">
        <f t="shared" ref="N20:N26" si="17">SUM(0)</f>
        <v>0</v>
      </c>
      <c r="O20" s="8">
        <f t="shared" ref="O20:O26" si="18">SUM(A20:L20)</f>
        <v>0</v>
      </c>
      <c r="P20" s="8">
        <f t="shared" si="5"/>
        <v>0</v>
      </c>
      <c r="Q20" s="8">
        <v>0</v>
      </c>
      <c r="R20" s="8">
        <f t="shared" ref="R20:R26" si="19">Q20-P20</f>
        <v>0</v>
      </c>
      <c r="S20" s="8"/>
      <c r="T20" s="8"/>
      <c r="U20" s="8">
        <f t="shared" si="10"/>
        <v>0</v>
      </c>
      <c r="V20" s="8">
        <f t="shared" si="4"/>
        <v>0</v>
      </c>
      <c r="W20" s="8"/>
      <c r="X20" s="158">
        <f t="shared" si="6"/>
        <v>0</v>
      </c>
      <c r="Z20" s="182"/>
    </row>
    <row r="21" spans="1:27" x14ac:dyDescent="0.3">
      <c r="A21" s="7">
        <f t="shared" si="16"/>
        <v>0</v>
      </c>
      <c r="B21" s="7">
        <f t="shared" si="16"/>
        <v>0</v>
      </c>
      <c r="C21" s="7">
        <f t="shared" si="16"/>
        <v>0</v>
      </c>
      <c r="D21" s="7">
        <f t="shared" si="16"/>
        <v>0</v>
      </c>
      <c r="E21" s="7">
        <f t="shared" si="16"/>
        <v>0</v>
      </c>
      <c r="F21" s="7">
        <f t="shared" si="16"/>
        <v>0</v>
      </c>
      <c r="G21" s="7">
        <f t="shared" si="16"/>
        <v>0</v>
      </c>
      <c r="H21" s="7">
        <f t="shared" si="16"/>
        <v>0</v>
      </c>
      <c r="I21" s="7">
        <f t="shared" si="16"/>
        <v>0</v>
      </c>
      <c r="J21" s="7">
        <f t="shared" si="16"/>
        <v>0</v>
      </c>
      <c r="K21" s="7">
        <f t="shared" si="16"/>
        <v>0</v>
      </c>
      <c r="L21" s="7">
        <f t="shared" si="16"/>
        <v>0</v>
      </c>
      <c r="M21" s="13" t="s">
        <v>425</v>
      </c>
      <c r="N21" s="7">
        <f t="shared" si="17"/>
        <v>0</v>
      </c>
      <c r="O21" s="7">
        <f t="shared" si="18"/>
        <v>0</v>
      </c>
      <c r="P21" s="7">
        <f t="shared" si="5"/>
        <v>0</v>
      </c>
      <c r="Q21" s="7">
        <v>0</v>
      </c>
      <c r="R21" s="7">
        <f t="shared" si="19"/>
        <v>0</v>
      </c>
      <c r="S21" s="7">
        <v>0</v>
      </c>
      <c r="T21" s="7">
        <v>0</v>
      </c>
      <c r="U21" s="7">
        <f t="shared" si="10"/>
        <v>0</v>
      </c>
      <c r="V21" s="7">
        <f t="shared" si="4"/>
        <v>0</v>
      </c>
      <c r="W21" s="7"/>
      <c r="X21" s="159">
        <f t="shared" si="6"/>
        <v>0</v>
      </c>
      <c r="Z21" s="182"/>
    </row>
    <row r="22" spans="1:27" x14ac:dyDescent="0.3">
      <c r="A22" s="7">
        <f t="shared" si="16"/>
        <v>0</v>
      </c>
      <c r="B22" s="7">
        <f t="shared" si="16"/>
        <v>0</v>
      </c>
      <c r="C22" s="7">
        <f t="shared" si="16"/>
        <v>0</v>
      </c>
      <c r="D22" s="7">
        <f t="shared" si="16"/>
        <v>0</v>
      </c>
      <c r="E22" s="7">
        <f t="shared" si="16"/>
        <v>0</v>
      </c>
      <c r="F22" s="7">
        <f t="shared" si="16"/>
        <v>0</v>
      </c>
      <c r="G22" s="7">
        <f t="shared" si="16"/>
        <v>0</v>
      </c>
      <c r="H22" s="7">
        <f t="shared" si="16"/>
        <v>0</v>
      </c>
      <c r="I22" s="7">
        <f t="shared" si="16"/>
        <v>0</v>
      </c>
      <c r="J22" s="7">
        <f t="shared" si="16"/>
        <v>0</v>
      </c>
      <c r="K22" s="7">
        <f t="shared" si="16"/>
        <v>0</v>
      </c>
      <c r="L22" s="7">
        <f t="shared" si="16"/>
        <v>0</v>
      </c>
      <c r="M22" s="13" t="s">
        <v>426</v>
      </c>
      <c r="N22" s="7">
        <f t="shared" si="17"/>
        <v>0</v>
      </c>
      <c r="O22" s="7">
        <f t="shared" si="18"/>
        <v>0</v>
      </c>
      <c r="P22" s="7">
        <f t="shared" si="5"/>
        <v>0</v>
      </c>
      <c r="Q22" s="7">
        <v>0</v>
      </c>
      <c r="R22" s="7">
        <f t="shared" si="19"/>
        <v>0</v>
      </c>
      <c r="S22" s="7"/>
      <c r="T22" s="7"/>
      <c r="U22" s="7">
        <f t="shared" si="10"/>
        <v>0</v>
      </c>
      <c r="V22" s="7">
        <f t="shared" si="4"/>
        <v>0</v>
      </c>
      <c r="W22" s="7"/>
      <c r="X22" s="159">
        <f t="shared" si="6"/>
        <v>0</v>
      </c>
      <c r="Z22" s="182"/>
    </row>
    <row r="23" spans="1:27" x14ac:dyDescent="0.3">
      <c r="A23" s="7">
        <f t="shared" si="16"/>
        <v>0</v>
      </c>
      <c r="B23" s="7">
        <f t="shared" si="16"/>
        <v>0</v>
      </c>
      <c r="C23" s="7">
        <f t="shared" si="16"/>
        <v>0</v>
      </c>
      <c r="D23" s="7">
        <f t="shared" si="16"/>
        <v>0</v>
      </c>
      <c r="E23" s="7">
        <f t="shared" si="16"/>
        <v>0</v>
      </c>
      <c r="F23" s="7">
        <f t="shared" si="16"/>
        <v>0</v>
      </c>
      <c r="G23" s="7">
        <f t="shared" si="16"/>
        <v>0</v>
      </c>
      <c r="H23" s="7">
        <f t="shared" si="16"/>
        <v>0</v>
      </c>
      <c r="I23" s="7">
        <f t="shared" si="16"/>
        <v>0</v>
      </c>
      <c r="J23" s="7">
        <f t="shared" si="16"/>
        <v>0</v>
      </c>
      <c r="K23" s="7">
        <f t="shared" si="16"/>
        <v>0</v>
      </c>
      <c r="L23" s="7">
        <f t="shared" si="16"/>
        <v>0</v>
      </c>
      <c r="M23" s="125" t="s">
        <v>427</v>
      </c>
      <c r="N23" s="7">
        <f t="shared" si="17"/>
        <v>0</v>
      </c>
      <c r="O23" s="7">
        <f t="shared" si="18"/>
        <v>0</v>
      </c>
      <c r="P23" s="7">
        <f t="shared" si="5"/>
        <v>0</v>
      </c>
      <c r="Q23" s="7">
        <v>0</v>
      </c>
      <c r="R23" s="7">
        <f t="shared" si="19"/>
        <v>0</v>
      </c>
      <c r="S23" s="7"/>
      <c r="T23" s="7"/>
      <c r="U23" s="7">
        <f t="shared" si="10"/>
        <v>0</v>
      </c>
      <c r="V23" s="7">
        <f t="shared" si="4"/>
        <v>0</v>
      </c>
      <c r="W23" s="7"/>
      <c r="X23" s="159">
        <f t="shared" si="6"/>
        <v>0</v>
      </c>
      <c r="Z23" s="182"/>
    </row>
    <row r="24" spans="1:27" x14ac:dyDescent="0.3">
      <c r="A24" s="7">
        <f t="shared" si="16"/>
        <v>0</v>
      </c>
      <c r="B24" s="7">
        <f t="shared" si="16"/>
        <v>0</v>
      </c>
      <c r="C24" s="7">
        <f t="shared" si="16"/>
        <v>0</v>
      </c>
      <c r="D24" s="7">
        <f t="shared" si="16"/>
        <v>0</v>
      </c>
      <c r="E24" s="7">
        <f t="shared" si="16"/>
        <v>0</v>
      </c>
      <c r="F24" s="7">
        <f t="shared" si="16"/>
        <v>0</v>
      </c>
      <c r="G24" s="7">
        <f t="shared" si="16"/>
        <v>0</v>
      </c>
      <c r="H24" s="7">
        <f t="shared" si="16"/>
        <v>0</v>
      </c>
      <c r="I24" s="7">
        <f t="shared" si="16"/>
        <v>0</v>
      </c>
      <c r="J24" s="7">
        <f t="shared" si="16"/>
        <v>0</v>
      </c>
      <c r="K24" s="7">
        <f t="shared" si="16"/>
        <v>0</v>
      </c>
      <c r="L24" s="7">
        <f t="shared" si="16"/>
        <v>0</v>
      </c>
      <c r="M24" s="125" t="s">
        <v>428</v>
      </c>
      <c r="N24" s="7">
        <f t="shared" si="17"/>
        <v>0</v>
      </c>
      <c r="O24" s="7">
        <f t="shared" si="18"/>
        <v>0</v>
      </c>
      <c r="P24" s="7">
        <f t="shared" si="5"/>
        <v>0</v>
      </c>
      <c r="Q24" s="7">
        <v>0</v>
      </c>
      <c r="R24" s="7">
        <f t="shared" si="19"/>
        <v>0</v>
      </c>
      <c r="S24" s="7"/>
      <c r="T24" s="7"/>
      <c r="U24" s="7">
        <f t="shared" si="10"/>
        <v>0</v>
      </c>
      <c r="V24" s="7">
        <f t="shared" si="4"/>
        <v>0</v>
      </c>
      <c r="W24" s="7"/>
      <c r="X24" s="159">
        <f t="shared" si="6"/>
        <v>0</v>
      </c>
      <c r="Z24" s="182"/>
    </row>
    <row r="25" spans="1:27" x14ac:dyDescent="0.3">
      <c r="A25" s="7">
        <f t="shared" si="16"/>
        <v>0</v>
      </c>
      <c r="B25" s="7">
        <f t="shared" si="16"/>
        <v>0</v>
      </c>
      <c r="C25" s="7">
        <f t="shared" si="16"/>
        <v>0</v>
      </c>
      <c r="D25" s="7">
        <f t="shared" si="16"/>
        <v>0</v>
      </c>
      <c r="E25" s="7">
        <f t="shared" si="16"/>
        <v>0</v>
      </c>
      <c r="F25" s="7">
        <f t="shared" si="16"/>
        <v>0</v>
      </c>
      <c r="G25" s="7">
        <f t="shared" si="16"/>
        <v>0</v>
      </c>
      <c r="H25" s="7">
        <f t="shared" si="16"/>
        <v>0</v>
      </c>
      <c r="I25" s="7">
        <f t="shared" si="16"/>
        <v>0</v>
      </c>
      <c r="J25" s="7">
        <f t="shared" si="16"/>
        <v>0</v>
      </c>
      <c r="K25" s="7">
        <f t="shared" si="16"/>
        <v>0</v>
      </c>
      <c r="L25" s="7">
        <f t="shared" si="16"/>
        <v>0</v>
      </c>
      <c r="M25" s="13" t="s">
        <v>429</v>
      </c>
      <c r="N25" s="7">
        <f t="shared" si="17"/>
        <v>0</v>
      </c>
      <c r="O25" s="7">
        <f t="shared" si="18"/>
        <v>0</v>
      </c>
      <c r="P25" s="7">
        <f t="shared" si="5"/>
        <v>0</v>
      </c>
      <c r="Q25" s="7">
        <v>0</v>
      </c>
      <c r="R25" s="7">
        <f t="shared" si="19"/>
        <v>0</v>
      </c>
      <c r="S25" s="7"/>
      <c r="T25" s="7"/>
      <c r="U25" s="7">
        <f t="shared" si="10"/>
        <v>0</v>
      </c>
      <c r="V25" s="7">
        <f t="shared" si="4"/>
        <v>0</v>
      </c>
      <c r="W25" s="7"/>
      <c r="X25" s="159">
        <f t="shared" si="6"/>
        <v>0</v>
      </c>
      <c r="Z25" s="182"/>
    </row>
    <row r="26" spans="1:27" x14ac:dyDescent="0.3">
      <c r="A26" s="11">
        <f t="shared" si="16"/>
        <v>0</v>
      </c>
      <c r="B26" s="11">
        <f t="shared" si="16"/>
        <v>0</v>
      </c>
      <c r="C26" s="11">
        <f t="shared" si="16"/>
        <v>0</v>
      </c>
      <c r="D26" s="11">
        <f t="shared" si="16"/>
        <v>0</v>
      </c>
      <c r="E26" s="11">
        <f t="shared" si="16"/>
        <v>0</v>
      </c>
      <c r="F26" s="11">
        <f t="shared" si="16"/>
        <v>0</v>
      </c>
      <c r="G26" s="11">
        <f t="shared" si="16"/>
        <v>0</v>
      </c>
      <c r="H26" s="11">
        <f t="shared" si="16"/>
        <v>0</v>
      </c>
      <c r="I26" s="11">
        <f t="shared" si="16"/>
        <v>0</v>
      </c>
      <c r="J26" s="11">
        <f t="shared" si="16"/>
        <v>0</v>
      </c>
      <c r="K26" s="11">
        <f t="shared" si="16"/>
        <v>0</v>
      </c>
      <c r="L26" s="11">
        <f t="shared" si="16"/>
        <v>0</v>
      </c>
      <c r="M26" s="13" t="s">
        <v>430</v>
      </c>
      <c r="N26" s="11">
        <f t="shared" si="17"/>
        <v>0</v>
      </c>
      <c r="O26" s="11">
        <f t="shared" si="18"/>
        <v>0</v>
      </c>
      <c r="P26" s="11">
        <f t="shared" si="5"/>
        <v>0</v>
      </c>
      <c r="Q26" s="11">
        <v>0</v>
      </c>
      <c r="R26" s="11">
        <f t="shared" si="19"/>
        <v>0</v>
      </c>
      <c r="S26" s="11"/>
      <c r="T26" s="11"/>
      <c r="U26" s="11">
        <f t="shared" si="10"/>
        <v>0</v>
      </c>
      <c r="V26" s="11">
        <f t="shared" si="4"/>
        <v>0</v>
      </c>
      <c r="W26" s="11"/>
      <c r="X26" s="160">
        <f t="shared" si="6"/>
        <v>0</v>
      </c>
      <c r="Z26" s="182"/>
    </row>
    <row r="27" spans="1:27" x14ac:dyDescent="0.3">
      <c r="A27" s="81"/>
      <c r="B27" s="81"/>
      <c r="C27" s="81"/>
      <c r="D27" s="85"/>
      <c r="E27" s="83"/>
      <c r="F27" s="83"/>
      <c r="G27" s="83"/>
      <c r="H27" s="83"/>
      <c r="I27" s="83"/>
      <c r="J27" s="83"/>
      <c r="K27" s="84"/>
      <c r="L27" s="84"/>
      <c r="M27" s="13"/>
      <c r="N27" s="83">
        <f t="shared" si="8"/>
        <v>0</v>
      </c>
      <c r="O27" s="83">
        <f t="shared" si="9"/>
        <v>0</v>
      </c>
      <c r="P27" s="83">
        <f t="shared" si="5"/>
        <v>0</v>
      </c>
      <c r="Q27" s="81"/>
      <c r="R27" s="81"/>
      <c r="S27" s="81"/>
      <c r="T27" s="81"/>
      <c r="U27" s="81">
        <f t="shared" si="10"/>
        <v>0</v>
      </c>
      <c r="V27" s="81">
        <f t="shared" si="4"/>
        <v>0</v>
      </c>
      <c r="W27" s="81"/>
      <c r="X27" s="204"/>
      <c r="Z27" s="182"/>
    </row>
    <row r="28" spans="1:27" x14ac:dyDescent="0.3">
      <c r="A28" s="4">
        <f>SUM(A20:A26)</f>
        <v>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13" t="s">
        <v>97</v>
      </c>
      <c r="N28" s="4">
        <f t="shared" ref="N28:O28" si="20">SUM(N20:N26)</f>
        <v>0</v>
      </c>
      <c r="O28" s="4">
        <f t="shared" si="20"/>
        <v>0</v>
      </c>
      <c r="P28" s="4">
        <f t="shared" ref="P28:Q28" si="21">SUM(P20:P26)</f>
        <v>0</v>
      </c>
      <c r="Q28" s="4">
        <f t="shared" si="21"/>
        <v>0</v>
      </c>
      <c r="R28" s="4">
        <f>SUM(R20:R26)</f>
        <v>0</v>
      </c>
      <c r="S28" s="4">
        <f t="shared" ref="S28:T28" si="22">SUM(S20:S26)</f>
        <v>0</v>
      </c>
      <c r="T28" s="4">
        <f t="shared" si="22"/>
        <v>0</v>
      </c>
      <c r="U28" s="4">
        <f t="shared" si="10"/>
        <v>0</v>
      </c>
      <c r="V28" s="4">
        <f t="shared" si="4"/>
        <v>0</v>
      </c>
      <c r="W28" s="4">
        <f t="shared" ref="W28" si="23">SUM(W20:W26)</f>
        <v>0</v>
      </c>
      <c r="X28" s="162">
        <f t="shared" si="6"/>
        <v>0</v>
      </c>
      <c r="Z28" s="182"/>
    </row>
    <row r="29" spans="1:27" x14ac:dyDescent="0.3">
      <c r="A29" s="81"/>
      <c r="B29" s="81"/>
      <c r="C29" s="81"/>
      <c r="D29" s="82"/>
      <c r="E29" s="86"/>
      <c r="F29" s="86"/>
      <c r="G29" s="86"/>
      <c r="H29" s="87"/>
      <c r="I29" s="87"/>
      <c r="J29" s="87"/>
      <c r="K29" s="84"/>
      <c r="L29" s="84"/>
      <c r="M29" s="80"/>
      <c r="N29" s="86">
        <f t="shared" si="8"/>
        <v>0</v>
      </c>
      <c r="O29" s="86">
        <f t="shared" si="9"/>
        <v>0</v>
      </c>
      <c r="P29" s="86">
        <f t="shared" si="5"/>
        <v>0</v>
      </c>
      <c r="Q29" s="81"/>
      <c r="R29" s="81"/>
      <c r="S29" s="81"/>
      <c r="T29" s="81"/>
      <c r="U29" s="81">
        <f t="shared" si="10"/>
        <v>0</v>
      </c>
      <c r="V29" s="81">
        <f t="shared" si="4"/>
        <v>0</v>
      </c>
      <c r="W29" s="81"/>
      <c r="X29" s="204"/>
      <c r="Z29" s="182"/>
    </row>
    <row r="30" spans="1:27" x14ac:dyDescent="0.3">
      <c r="A30" s="8"/>
      <c r="B30" s="8">
        <f>281980.16*1.048</f>
        <v>295515.20767999999</v>
      </c>
      <c r="C30" s="8">
        <f>449522.95*1.048</f>
        <v>471100.05160000001</v>
      </c>
      <c r="D30" s="8">
        <f>637282.17*1.048</f>
        <v>667871.71416000009</v>
      </c>
      <c r="E30" s="8">
        <f>(526767.29-295553)*1.048</f>
        <v>242312.57592000006</v>
      </c>
      <c r="F30" s="8">
        <v>0</v>
      </c>
      <c r="G30" s="8"/>
      <c r="H30" s="8"/>
      <c r="I30" s="8"/>
      <c r="J30" s="8"/>
      <c r="K30" s="8">
        <v>0</v>
      </c>
      <c r="L30" s="8"/>
      <c r="M30" s="238" t="s">
        <v>431</v>
      </c>
      <c r="N30" s="8">
        <f t="shared" ref="N30:N44" si="24">SUM(0)</f>
        <v>0</v>
      </c>
      <c r="O30" s="8">
        <f t="shared" ref="O30:O44" si="25">SUM(A30:L30)</f>
        <v>1676799.5493600001</v>
      </c>
      <c r="P30" s="8">
        <f t="shared" si="5"/>
        <v>1676799.5493600001</v>
      </c>
      <c r="Q30" s="8">
        <v>1676799.5493600001</v>
      </c>
      <c r="R30" s="8">
        <f t="shared" ref="R30:R44" si="26">Q30-P30</f>
        <v>0</v>
      </c>
      <c r="S30" s="8"/>
      <c r="T30" s="8">
        <v>683270.35999999987</v>
      </c>
      <c r="U30" s="8">
        <f t="shared" si="10"/>
        <v>2360069.9093599999</v>
      </c>
      <c r="V30" s="8">
        <f t="shared" si="4"/>
        <v>683270.35999999987</v>
      </c>
      <c r="W30" s="8"/>
      <c r="X30" s="158">
        <f>IFERROR(N30/Q30,0)</f>
        <v>0</v>
      </c>
      <c r="Z30" s="182"/>
    </row>
    <row r="31" spans="1:27" x14ac:dyDescent="0.3">
      <c r="A31" s="7">
        <f>8793*1.048</f>
        <v>9215.0640000000003</v>
      </c>
      <c r="B31" s="7">
        <f t="shared" ref="B31:K31" si="27">8793*1.048</f>
        <v>9215.0640000000003</v>
      </c>
      <c r="C31" s="7">
        <f t="shared" si="27"/>
        <v>9215.0640000000003</v>
      </c>
      <c r="D31" s="7">
        <f t="shared" si="27"/>
        <v>9215.0640000000003</v>
      </c>
      <c r="E31" s="7">
        <f t="shared" si="27"/>
        <v>9215.0640000000003</v>
      </c>
      <c r="F31" s="7">
        <f t="shared" si="27"/>
        <v>9215.0640000000003</v>
      </c>
      <c r="G31" s="7">
        <f t="shared" si="27"/>
        <v>9215.0640000000003</v>
      </c>
      <c r="H31" s="7">
        <f t="shared" si="27"/>
        <v>9215.0640000000003</v>
      </c>
      <c r="I31" s="7">
        <f t="shared" si="27"/>
        <v>9215.0640000000003</v>
      </c>
      <c r="J31" s="7">
        <f t="shared" si="27"/>
        <v>9215.0640000000003</v>
      </c>
      <c r="K31" s="7">
        <f t="shared" si="27"/>
        <v>9215.0640000000003</v>
      </c>
      <c r="L31" s="7">
        <f>8793*1.048-1</f>
        <v>9214.0640000000003</v>
      </c>
      <c r="M31" s="13" t="s">
        <v>432</v>
      </c>
      <c r="N31" s="7">
        <f t="shared" si="24"/>
        <v>0</v>
      </c>
      <c r="O31" s="7">
        <f t="shared" si="25"/>
        <v>110579.768</v>
      </c>
      <c r="P31" s="7">
        <f t="shared" si="5"/>
        <v>110579.768</v>
      </c>
      <c r="Q31" s="7">
        <v>110579.768</v>
      </c>
      <c r="R31" s="7">
        <f t="shared" si="26"/>
        <v>0</v>
      </c>
      <c r="S31" s="7"/>
      <c r="T31" s="7">
        <v>20432</v>
      </c>
      <c r="U31" s="7">
        <f t="shared" si="10"/>
        <v>131011.768</v>
      </c>
      <c r="V31" s="7">
        <f t="shared" si="4"/>
        <v>20432</v>
      </c>
      <c r="W31" s="7"/>
      <c r="X31" s="159">
        <f t="shared" si="6"/>
        <v>0</v>
      </c>
      <c r="Z31" s="182"/>
    </row>
    <row r="32" spans="1:27" x14ac:dyDescent="0.3">
      <c r="A32" s="7">
        <f t="shared" ref="A32:L44" si="28">$Q32/12</f>
        <v>0</v>
      </c>
      <c r="B32" s="7">
        <f t="shared" si="28"/>
        <v>0</v>
      </c>
      <c r="C32" s="7">
        <f t="shared" si="28"/>
        <v>0</v>
      </c>
      <c r="D32" s="7">
        <f t="shared" si="28"/>
        <v>0</v>
      </c>
      <c r="E32" s="7">
        <f t="shared" si="28"/>
        <v>0</v>
      </c>
      <c r="F32" s="7">
        <f t="shared" si="28"/>
        <v>0</v>
      </c>
      <c r="G32" s="7">
        <f t="shared" si="28"/>
        <v>0</v>
      </c>
      <c r="H32" s="7">
        <f t="shared" si="28"/>
        <v>0</v>
      </c>
      <c r="I32" s="7">
        <f t="shared" si="28"/>
        <v>0</v>
      </c>
      <c r="J32" s="7">
        <f t="shared" si="28"/>
        <v>0</v>
      </c>
      <c r="K32" s="7">
        <f t="shared" si="28"/>
        <v>0</v>
      </c>
      <c r="L32" s="7">
        <f t="shared" si="28"/>
        <v>0</v>
      </c>
      <c r="M32" s="13" t="s">
        <v>433</v>
      </c>
      <c r="N32" s="7">
        <f t="shared" si="24"/>
        <v>0</v>
      </c>
      <c r="O32" s="7">
        <f t="shared" si="25"/>
        <v>0</v>
      </c>
      <c r="P32" s="7">
        <f t="shared" si="5"/>
        <v>0</v>
      </c>
      <c r="Q32" s="7">
        <v>0</v>
      </c>
      <c r="R32" s="7">
        <f t="shared" si="26"/>
        <v>0</v>
      </c>
      <c r="S32" s="7"/>
      <c r="T32" s="7"/>
      <c r="U32" s="7">
        <f t="shared" si="10"/>
        <v>0</v>
      </c>
      <c r="V32" s="7">
        <f t="shared" si="4"/>
        <v>0</v>
      </c>
      <c r="W32" s="7"/>
      <c r="X32" s="159">
        <f t="shared" si="6"/>
        <v>0</v>
      </c>
      <c r="Z32" s="182"/>
    </row>
    <row r="33" spans="1:26" x14ac:dyDescent="0.3">
      <c r="A33" s="7">
        <f t="shared" si="28"/>
        <v>0</v>
      </c>
      <c r="B33" s="7">
        <f t="shared" si="28"/>
        <v>0</v>
      </c>
      <c r="C33" s="7">
        <f t="shared" si="28"/>
        <v>0</v>
      </c>
      <c r="D33" s="7">
        <f t="shared" si="28"/>
        <v>0</v>
      </c>
      <c r="E33" s="7">
        <f t="shared" si="28"/>
        <v>0</v>
      </c>
      <c r="F33" s="7">
        <f t="shared" si="28"/>
        <v>0</v>
      </c>
      <c r="G33" s="7">
        <f t="shared" si="28"/>
        <v>0</v>
      </c>
      <c r="H33" s="7">
        <f t="shared" si="28"/>
        <v>0</v>
      </c>
      <c r="I33" s="7">
        <f t="shared" si="28"/>
        <v>0</v>
      </c>
      <c r="J33" s="7">
        <f t="shared" si="28"/>
        <v>0</v>
      </c>
      <c r="K33" s="7">
        <f t="shared" si="28"/>
        <v>0</v>
      </c>
      <c r="L33" s="7">
        <f t="shared" si="28"/>
        <v>0</v>
      </c>
      <c r="M33" s="13" t="s">
        <v>434</v>
      </c>
      <c r="N33" s="7">
        <f t="shared" si="24"/>
        <v>0</v>
      </c>
      <c r="O33" s="7">
        <f t="shared" si="25"/>
        <v>0</v>
      </c>
      <c r="P33" s="7">
        <f t="shared" si="5"/>
        <v>0</v>
      </c>
      <c r="Q33" s="7">
        <v>0</v>
      </c>
      <c r="R33" s="7">
        <f t="shared" si="26"/>
        <v>0</v>
      </c>
      <c r="S33" s="7"/>
      <c r="T33" s="7"/>
      <c r="U33" s="7">
        <f t="shared" si="10"/>
        <v>0</v>
      </c>
      <c r="V33" s="7">
        <f t="shared" si="4"/>
        <v>0</v>
      </c>
      <c r="W33" s="7"/>
      <c r="X33" s="159">
        <f t="shared" si="6"/>
        <v>0</v>
      </c>
      <c r="Z33" s="182"/>
    </row>
    <row r="34" spans="1:26" x14ac:dyDescent="0.3">
      <c r="A34" s="7">
        <f>73*1.048</f>
        <v>76.504000000000005</v>
      </c>
      <c r="B34" s="7">
        <f t="shared" ref="B34:L34" si="29">73*1.048</f>
        <v>76.504000000000005</v>
      </c>
      <c r="C34" s="7">
        <f t="shared" si="29"/>
        <v>76.504000000000005</v>
      </c>
      <c r="D34" s="7">
        <f t="shared" si="29"/>
        <v>76.504000000000005</v>
      </c>
      <c r="E34" s="7">
        <f t="shared" si="29"/>
        <v>76.504000000000005</v>
      </c>
      <c r="F34" s="7">
        <f t="shared" si="29"/>
        <v>76.504000000000005</v>
      </c>
      <c r="G34" s="7">
        <f t="shared" si="29"/>
        <v>76.504000000000005</v>
      </c>
      <c r="H34" s="7">
        <f t="shared" si="29"/>
        <v>76.504000000000005</v>
      </c>
      <c r="I34" s="7">
        <f t="shared" si="29"/>
        <v>76.504000000000005</v>
      </c>
      <c r="J34" s="7">
        <f t="shared" si="29"/>
        <v>76.504000000000005</v>
      </c>
      <c r="K34" s="7">
        <f t="shared" si="29"/>
        <v>76.504000000000005</v>
      </c>
      <c r="L34" s="7">
        <f t="shared" si="29"/>
        <v>76.504000000000005</v>
      </c>
      <c r="M34" s="13" t="s">
        <v>435</v>
      </c>
      <c r="N34" s="7">
        <f t="shared" si="24"/>
        <v>0</v>
      </c>
      <c r="O34" s="7">
        <f t="shared" si="25"/>
        <v>918.04800000000012</v>
      </c>
      <c r="P34" s="7">
        <f t="shared" si="5"/>
        <v>918.04800000000012</v>
      </c>
      <c r="Q34" s="7">
        <v>918.04800000000012</v>
      </c>
      <c r="R34" s="7">
        <f t="shared" si="26"/>
        <v>0</v>
      </c>
      <c r="S34" s="7"/>
      <c r="T34" s="7">
        <v>875</v>
      </c>
      <c r="U34" s="7">
        <f t="shared" si="10"/>
        <v>1793.0480000000002</v>
      </c>
      <c r="V34" s="7">
        <f t="shared" si="4"/>
        <v>875.00000000000011</v>
      </c>
      <c r="W34" s="7" t="s">
        <v>281</v>
      </c>
      <c r="X34" s="159">
        <f t="shared" si="6"/>
        <v>0</v>
      </c>
      <c r="Z34" s="182"/>
    </row>
    <row r="35" spans="1:26" x14ac:dyDescent="0.3">
      <c r="A35" s="7">
        <f t="shared" si="28"/>
        <v>0</v>
      </c>
      <c r="B35" s="7">
        <f t="shared" si="28"/>
        <v>0</v>
      </c>
      <c r="C35" s="7">
        <f t="shared" si="28"/>
        <v>0</v>
      </c>
      <c r="D35" s="7">
        <f t="shared" si="28"/>
        <v>0</v>
      </c>
      <c r="E35" s="7">
        <f t="shared" si="28"/>
        <v>0</v>
      </c>
      <c r="F35" s="7">
        <f t="shared" si="28"/>
        <v>0</v>
      </c>
      <c r="G35" s="7">
        <f t="shared" si="28"/>
        <v>0</v>
      </c>
      <c r="H35" s="7">
        <f t="shared" si="28"/>
        <v>0</v>
      </c>
      <c r="I35" s="7">
        <f t="shared" si="28"/>
        <v>0</v>
      </c>
      <c r="J35" s="7">
        <f t="shared" si="28"/>
        <v>0</v>
      </c>
      <c r="K35" s="7">
        <f t="shared" si="28"/>
        <v>0</v>
      </c>
      <c r="L35" s="7">
        <f t="shared" si="28"/>
        <v>0</v>
      </c>
      <c r="M35" s="13" t="s">
        <v>436</v>
      </c>
      <c r="N35" s="7">
        <f t="shared" si="24"/>
        <v>0</v>
      </c>
      <c r="O35" s="7">
        <f t="shared" si="25"/>
        <v>0</v>
      </c>
      <c r="P35" s="7">
        <f t="shared" si="5"/>
        <v>0</v>
      </c>
      <c r="Q35" s="7">
        <v>0</v>
      </c>
      <c r="R35" s="7">
        <f t="shared" si="26"/>
        <v>0</v>
      </c>
      <c r="S35" s="7"/>
      <c r="T35" s="7"/>
      <c r="U35" s="7">
        <f t="shared" si="10"/>
        <v>0</v>
      </c>
      <c r="V35" s="7">
        <f t="shared" si="4"/>
        <v>0</v>
      </c>
      <c r="W35" s="7"/>
      <c r="X35" s="159">
        <f t="shared" si="6"/>
        <v>0</v>
      </c>
      <c r="Z35" s="182"/>
    </row>
    <row r="36" spans="1:26" x14ac:dyDescent="0.3">
      <c r="A36" s="7">
        <f t="shared" si="28"/>
        <v>0</v>
      </c>
      <c r="B36" s="7">
        <f t="shared" si="28"/>
        <v>0</v>
      </c>
      <c r="C36" s="7">
        <f t="shared" si="28"/>
        <v>0</v>
      </c>
      <c r="D36" s="7">
        <f t="shared" si="28"/>
        <v>0</v>
      </c>
      <c r="E36" s="7">
        <f t="shared" si="28"/>
        <v>0</v>
      </c>
      <c r="F36" s="7">
        <f t="shared" si="28"/>
        <v>0</v>
      </c>
      <c r="G36" s="7">
        <f t="shared" si="28"/>
        <v>0</v>
      </c>
      <c r="H36" s="7">
        <f t="shared" si="28"/>
        <v>0</v>
      </c>
      <c r="I36" s="7">
        <f t="shared" si="28"/>
        <v>0</v>
      </c>
      <c r="J36" s="7">
        <f t="shared" si="28"/>
        <v>0</v>
      </c>
      <c r="K36" s="7">
        <f t="shared" si="28"/>
        <v>0</v>
      </c>
      <c r="L36" s="7">
        <f t="shared" si="28"/>
        <v>0</v>
      </c>
      <c r="M36" s="13" t="s">
        <v>437</v>
      </c>
      <c r="N36" s="7">
        <f t="shared" si="24"/>
        <v>0</v>
      </c>
      <c r="O36" s="7">
        <f t="shared" si="25"/>
        <v>0</v>
      </c>
      <c r="P36" s="7">
        <f t="shared" si="5"/>
        <v>0</v>
      </c>
      <c r="Q36" s="7">
        <v>0</v>
      </c>
      <c r="R36" s="7">
        <f t="shared" si="26"/>
        <v>0</v>
      </c>
      <c r="S36" s="7"/>
      <c r="T36" s="7">
        <v>82465</v>
      </c>
      <c r="U36" s="7">
        <f t="shared" si="10"/>
        <v>82465</v>
      </c>
      <c r="V36" s="7">
        <f t="shared" si="4"/>
        <v>82465</v>
      </c>
      <c r="W36" s="7" t="s">
        <v>286</v>
      </c>
      <c r="X36" s="159">
        <f t="shared" si="6"/>
        <v>0</v>
      </c>
      <c r="Z36" s="182"/>
    </row>
    <row r="37" spans="1:26" x14ac:dyDescent="0.3">
      <c r="A37" s="7">
        <f>22675*1.048</f>
        <v>23763.4</v>
      </c>
      <c r="B37" s="7">
        <f t="shared" ref="B37:K37" si="30">22675*1.048</f>
        <v>23763.4</v>
      </c>
      <c r="C37" s="7">
        <f t="shared" si="30"/>
        <v>23763.4</v>
      </c>
      <c r="D37" s="7">
        <f t="shared" si="30"/>
        <v>23763.4</v>
      </c>
      <c r="E37" s="7">
        <f t="shared" si="30"/>
        <v>23763.4</v>
      </c>
      <c r="F37" s="7">
        <f t="shared" si="30"/>
        <v>23763.4</v>
      </c>
      <c r="G37" s="7">
        <f t="shared" si="30"/>
        <v>23763.4</v>
      </c>
      <c r="H37" s="7">
        <f t="shared" si="30"/>
        <v>23763.4</v>
      </c>
      <c r="I37" s="7">
        <f t="shared" si="30"/>
        <v>23763.4</v>
      </c>
      <c r="J37" s="7">
        <f t="shared" si="30"/>
        <v>23763.4</v>
      </c>
      <c r="K37" s="7">
        <f t="shared" si="30"/>
        <v>23763.4</v>
      </c>
      <c r="L37" s="7">
        <f>(22675*1.048)+3</f>
        <v>23766.400000000001</v>
      </c>
      <c r="M37" s="238" t="s">
        <v>438</v>
      </c>
      <c r="N37" s="7">
        <f t="shared" si="24"/>
        <v>0</v>
      </c>
      <c r="O37" s="7">
        <f t="shared" si="25"/>
        <v>285163.8</v>
      </c>
      <c r="P37" s="7">
        <f t="shared" si="5"/>
        <v>285163.8</v>
      </c>
      <c r="Q37" s="7">
        <v>285163.8</v>
      </c>
      <c r="R37" s="7">
        <f t="shared" si="26"/>
        <v>0</v>
      </c>
      <c r="S37" s="7"/>
      <c r="T37" s="7">
        <v>19640</v>
      </c>
      <c r="U37" s="7">
        <f t="shared" si="10"/>
        <v>304803.8</v>
      </c>
      <c r="V37" s="7">
        <f t="shared" si="4"/>
        <v>19640</v>
      </c>
      <c r="W37" s="7" t="s">
        <v>287</v>
      </c>
      <c r="X37" s="159">
        <f t="shared" si="6"/>
        <v>0</v>
      </c>
      <c r="Z37" s="182"/>
    </row>
    <row r="38" spans="1:26" x14ac:dyDescent="0.3">
      <c r="A38" s="7">
        <f>237758*1.048</f>
        <v>249170.38400000002</v>
      </c>
      <c r="B38" s="7">
        <f t="shared" ref="B38:K38" si="31">237758*1.048</f>
        <v>249170.38400000002</v>
      </c>
      <c r="C38" s="7">
        <f t="shared" si="31"/>
        <v>249170.38400000002</v>
      </c>
      <c r="D38" s="7">
        <f t="shared" si="31"/>
        <v>249170.38400000002</v>
      </c>
      <c r="E38" s="7">
        <f t="shared" si="31"/>
        <v>249170.38400000002</v>
      </c>
      <c r="F38" s="7">
        <f t="shared" si="31"/>
        <v>249170.38400000002</v>
      </c>
      <c r="G38" s="7">
        <f t="shared" si="31"/>
        <v>249170.38400000002</v>
      </c>
      <c r="H38" s="7">
        <f t="shared" si="31"/>
        <v>249170.38400000002</v>
      </c>
      <c r="I38" s="7">
        <f t="shared" si="31"/>
        <v>249170.38400000002</v>
      </c>
      <c r="J38" s="7">
        <f t="shared" si="31"/>
        <v>249170.38400000002</v>
      </c>
      <c r="K38" s="7">
        <f t="shared" si="31"/>
        <v>249170.38400000002</v>
      </c>
      <c r="L38" s="7">
        <f>(237758*1.048)--5.20855999924242</f>
        <v>249175.59255999926</v>
      </c>
      <c r="M38" s="13" t="s">
        <v>439</v>
      </c>
      <c r="N38" s="7">
        <f t="shared" si="24"/>
        <v>0</v>
      </c>
      <c r="O38" s="7">
        <f t="shared" si="25"/>
        <v>2990049.8165599997</v>
      </c>
      <c r="P38" s="7">
        <f t="shared" si="5"/>
        <v>2990049.8165599997</v>
      </c>
      <c r="Q38" s="7">
        <v>2990049.8165599997</v>
      </c>
      <c r="R38" s="7">
        <f t="shared" si="26"/>
        <v>0</v>
      </c>
      <c r="S38" s="7"/>
      <c r="T38" s="7"/>
      <c r="U38" s="7">
        <f t="shared" si="10"/>
        <v>2990049.8165599997</v>
      </c>
      <c r="V38" s="7">
        <f t="shared" si="4"/>
        <v>0</v>
      </c>
      <c r="W38" s="7" t="s">
        <v>288</v>
      </c>
      <c r="X38" s="159">
        <f t="shared" si="6"/>
        <v>0</v>
      </c>
      <c r="Z38" s="182"/>
    </row>
    <row r="39" spans="1:26" x14ac:dyDescent="0.3">
      <c r="A39" s="7">
        <f>57683*1.048</f>
        <v>60451.784</v>
      </c>
      <c r="B39" s="7">
        <f t="shared" ref="B39:K39" si="32">57683*1.048</f>
        <v>60451.784</v>
      </c>
      <c r="C39" s="7">
        <f t="shared" si="32"/>
        <v>60451.784</v>
      </c>
      <c r="D39" s="7">
        <f t="shared" si="32"/>
        <v>60451.784</v>
      </c>
      <c r="E39" s="7">
        <f t="shared" si="32"/>
        <v>60451.784</v>
      </c>
      <c r="F39" s="7">
        <f t="shared" si="32"/>
        <v>60451.784</v>
      </c>
      <c r="G39" s="7">
        <f t="shared" si="32"/>
        <v>60451.784</v>
      </c>
      <c r="H39" s="7">
        <f t="shared" si="32"/>
        <v>60451.784</v>
      </c>
      <c r="I39" s="7">
        <f t="shared" si="32"/>
        <v>60451.784</v>
      </c>
      <c r="J39" s="7">
        <f t="shared" si="32"/>
        <v>60451.784</v>
      </c>
      <c r="K39" s="7">
        <f t="shared" si="32"/>
        <v>60451.784</v>
      </c>
      <c r="L39" s="7">
        <f>(57683*1.048)--1.47558609605766</f>
        <v>60453.259586096057</v>
      </c>
      <c r="M39" s="13" t="s">
        <v>440</v>
      </c>
      <c r="N39" s="7">
        <f t="shared" si="24"/>
        <v>0</v>
      </c>
      <c r="O39" s="7">
        <f t="shared" si="25"/>
        <v>725422.883586096</v>
      </c>
      <c r="P39" s="7">
        <f t="shared" si="5"/>
        <v>725422.883586096</v>
      </c>
      <c r="Q39" s="7">
        <v>725422.883586096</v>
      </c>
      <c r="R39" s="7">
        <f t="shared" si="26"/>
        <v>0</v>
      </c>
      <c r="S39" s="7"/>
      <c r="T39" s="7">
        <v>30000</v>
      </c>
      <c r="U39" s="7">
        <f t="shared" si="10"/>
        <v>755422.883586096</v>
      </c>
      <c r="V39" s="7">
        <f t="shared" si="4"/>
        <v>30000</v>
      </c>
      <c r="W39" s="7"/>
      <c r="X39" s="159">
        <f t="shared" si="6"/>
        <v>0</v>
      </c>
      <c r="Z39" s="182"/>
    </row>
    <row r="40" spans="1:26" x14ac:dyDescent="0.3">
      <c r="A40" s="7">
        <f>1126*1.048</f>
        <v>1180.048</v>
      </c>
      <c r="B40" s="7">
        <f t="shared" ref="B40:K40" si="33">1126*1.048</f>
        <v>1180.048</v>
      </c>
      <c r="C40" s="7">
        <f t="shared" si="33"/>
        <v>1180.048</v>
      </c>
      <c r="D40" s="7">
        <f t="shared" si="33"/>
        <v>1180.048</v>
      </c>
      <c r="E40" s="7">
        <f t="shared" si="33"/>
        <v>1180.048</v>
      </c>
      <c r="F40" s="7">
        <f t="shared" si="33"/>
        <v>1180.048</v>
      </c>
      <c r="G40" s="7">
        <f t="shared" si="33"/>
        <v>1180.048</v>
      </c>
      <c r="H40" s="7">
        <f t="shared" si="33"/>
        <v>1180.048</v>
      </c>
      <c r="I40" s="7">
        <f t="shared" si="33"/>
        <v>1180.048</v>
      </c>
      <c r="J40" s="7">
        <f t="shared" si="33"/>
        <v>1180.048</v>
      </c>
      <c r="K40" s="7">
        <f t="shared" si="33"/>
        <v>1180.048</v>
      </c>
      <c r="L40" s="7">
        <f>(1126*1.048)--4.7404453126419</f>
        <v>1184.7884453126419</v>
      </c>
      <c r="M40" s="13" t="s">
        <v>441</v>
      </c>
      <c r="N40" s="7">
        <f t="shared" si="24"/>
        <v>0</v>
      </c>
      <c r="O40" s="7">
        <f t="shared" si="25"/>
        <v>14165.316445312645</v>
      </c>
      <c r="P40" s="7">
        <f t="shared" si="5"/>
        <v>14165.316445312645</v>
      </c>
      <c r="Q40" s="7">
        <v>14165.316445312645</v>
      </c>
      <c r="R40" s="7">
        <f t="shared" si="26"/>
        <v>0</v>
      </c>
      <c r="S40" s="7"/>
      <c r="T40" s="7"/>
      <c r="U40" s="7">
        <f t="shared" si="10"/>
        <v>14165.316445312645</v>
      </c>
      <c r="V40" s="7">
        <f t="shared" si="4"/>
        <v>0</v>
      </c>
      <c r="W40" s="7"/>
      <c r="X40" s="159">
        <f t="shared" si="6"/>
        <v>0</v>
      </c>
      <c r="Z40" s="182"/>
    </row>
    <row r="41" spans="1:26" x14ac:dyDescent="0.3">
      <c r="A41" s="7">
        <f>18756*1.048</f>
        <v>19656.288</v>
      </c>
      <c r="B41" s="7">
        <f t="shared" ref="B41:K41" si="34">18756*1.048</f>
        <v>19656.288</v>
      </c>
      <c r="C41" s="7">
        <f t="shared" si="34"/>
        <v>19656.288</v>
      </c>
      <c r="D41" s="7">
        <f t="shared" si="34"/>
        <v>19656.288</v>
      </c>
      <c r="E41" s="7">
        <f t="shared" si="34"/>
        <v>19656.288</v>
      </c>
      <c r="F41" s="7">
        <f t="shared" si="34"/>
        <v>19656.288</v>
      </c>
      <c r="G41" s="7">
        <f t="shared" si="34"/>
        <v>19656.288</v>
      </c>
      <c r="H41" s="7">
        <f t="shared" si="34"/>
        <v>19656.288</v>
      </c>
      <c r="I41" s="7">
        <f t="shared" si="34"/>
        <v>19656.288</v>
      </c>
      <c r="J41" s="7">
        <f t="shared" si="34"/>
        <v>19656.288</v>
      </c>
      <c r="K41" s="7">
        <f t="shared" si="34"/>
        <v>19656.288</v>
      </c>
      <c r="L41" s="7">
        <f>(18756*1.048)-2.90554960799636</f>
        <v>19653.382450392004</v>
      </c>
      <c r="M41" s="13" t="s">
        <v>442</v>
      </c>
      <c r="N41" s="7">
        <f t="shared" si="24"/>
        <v>0</v>
      </c>
      <c r="O41" s="7">
        <f t="shared" si="25"/>
        <v>235872.55045039201</v>
      </c>
      <c r="P41" s="7">
        <f t="shared" si="5"/>
        <v>235872.55045039201</v>
      </c>
      <c r="Q41" s="7">
        <v>235872.55045039201</v>
      </c>
      <c r="R41" s="7">
        <f t="shared" si="26"/>
        <v>0</v>
      </c>
      <c r="S41" s="7"/>
      <c r="T41" s="7">
        <v>1</v>
      </c>
      <c r="U41" s="7">
        <f t="shared" si="10"/>
        <v>235873.55045039201</v>
      </c>
      <c r="V41" s="7">
        <f t="shared" si="4"/>
        <v>1</v>
      </c>
      <c r="W41" s="7"/>
      <c r="X41" s="159">
        <f t="shared" si="6"/>
        <v>0</v>
      </c>
      <c r="Z41" s="182"/>
    </row>
    <row r="42" spans="1:26" x14ac:dyDescent="0.3">
      <c r="A42" s="7">
        <f t="shared" si="28"/>
        <v>0</v>
      </c>
      <c r="B42" s="7">
        <f t="shared" si="28"/>
        <v>0</v>
      </c>
      <c r="C42" s="7">
        <f t="shared" si="28"/>
        <v>0</v>
      </c>
      <c r="D42" s="7">
        <f t="shared" si="28"/>
        <v>0</v>
      </c>
      <c r="E42" s="7">
        <f t="shared" si="28"/>
        <v>0</v>
      </c>
      <c r="F42" s="7">
        <f t="shared" si="28"/>
        <v>0</v>
      </c>
      <c r="G42" s="7">
        <f t="shared" si="28"/>
        <v>0</v>
      </c>
      <c r="H42" s="7">
        <f t="shared" si="28"/>
        <v>0</v>
      </c>
      <c r="I42" s="7">
        <f t="shared" si="28"/>
        <v>0</v>
      </c>
      <c r="J42" s="7">
        <f t="shared" si="28"/>
        <v>0</v>
      </c>
      <c r="K42" s="7">
        <f t="shared" si="28"/>
        <v>0</v>
      </c>
      <c r="L42" s="7">
        <f t="shared" si="28"/>
        <v>0</v>
      </c>
      <c r="M42" s="13" t="s">
        <v>443</v>
      </c>
      <c r="N42" s="7">
        <f t="shared" si="24"/>
        <v>0</v>
      </c>
      <c r="O42" s="7">
        <f t="shared" si="25"/>
        <v>0</v>
      </c>
      <c r="P42" s="7">
        <f t="shared" si="5"/>
        <v>0</v>
      </c>
      <c r="Q42" s="7">
        <v>0</v>
      </c>
      <c r="R42" s="7">
        <f t="shared" si="26"/>
        <v>0</v>
      </c>
      <c r="S42" s="7"/>
      <c r="T42" s="7"/>
      <c r="U42" s="7">
        <f t="shared" si="10"/>
        <v>0</v>
      </c>
      <c r="V42" s="7">
        <f t="shared" si="4"/>
        <v>0</v>
      </c>
      <c r="W42" s="7"/>
      <c r="X42" s="159">
        <f t="shared" si="6"/>
        <v>0</v>
      </c>
      <c r="Z42" s="182"/>
    </row>
    <row r="43" spans="1:26" x14ac:dyDescent="0.3">
      <c r="A43" s="7">
        <f t="shared" si="28"/>
        <v>0</v>
      </c>
      <c r="B43" s="7">
        <f t="shared" si="28"/>
        <v>0</v>
      </c>
      <c r="C43" s="7">
        <f t="shared" si="28"/>
        <v>0</v>
      </c>
      <c r="D43" s="7">
        <f t="shared" si="28"/>
        <v>0</v>
      </c>
      <c r="E43" s="7">
        <f t="shared" si="28"/>
        <v>0</v>
      </c>
      <c r="F43" s="7">
        <f t="shared" si="28"/>
        <v>0</v>
      </c>
      <c r="G43" s="7">
        <f t="shared" si="28"/>
        <v>0</v>
      </c>
      <c r="H43" s="7">
        <f t="shared" si="28"/>
        <v>0</v>
      </c>
      <c r="I43" s="7">
        <f t="shared" si="28"/>
        <v>0</v>
      </c>
      <c r="J43" s="7">
        <f t="shared" si="28"/>
        <v>0</v>
      </c>
      <c r="K43" s="7">
        <f t="shared" si="28"/>
        <v>0</v>
      </c>
      <c r="L43" s="7">
        <f t="shared" si="28"/>
        <v>0</v>
      </c>
      <c r="M43" s="13" t="s">
        <v>444</v>
      </c>
      <c r="N43" s="7">
        <f t="shared" si="24"/>
        <v>0</v>
      </c>
      <c r="O43" s="7">
        <f t="shared" si="25"/>
        <v>0</v>
      </c>
      <c r="P43" s="7">
        <f t="shared" si="5"/>
        <v>0</v>
      </c>
      <c r="Q43" s="7">
        <v>0</v>
      </c>
      <c r="R43" s="7">
        <f t="shared" si="26"/>
        <v>0</v>
      </c>
      <c r="S43" s="7"/>
      <c r="T43" s="7"/>
      <c r="U43" s="7">
        <f t="shared" si="10"/>
        <v>0</v>
      </c>
      <c r="V43" s="7">
        <f t="shared" si="4"/>
        <v>0</v>
      </c>
      <c r="W43" s="7"/>
      <c r="X43" s="159">
        <f t="shared" si="6"/>
        <v>0</v>
      </c>
      <c r="Z43" s="182"/>
    </row>
    <row r="44" spans="1:26" x14ac:dyDescent="0.3">
      <c r="A44" s="11">
        <f t="shared" si="28"/>
        <v>0</v>
      </c>
      <c r="B44" s="11">
        <f t="shared" si="28"/>
        <v>0</v>
      </c>
      <c r="C44" s="11">
        <f t="shared" si="28"/>
        <v>0</v>
      </c>
      <c r="D44" s="11">
        <f t="shared" si="28"/>
        <v>0</v>
      </c>
      <c r="E44" s="11">
        <f t="shared" si="28"/>
        <v>0</v>
      </c>
      <c r="F44" s="11">
        <f t="shared" si="28"/>
        <v>0</v>
      </c>
      <c r="G44" s="11">
        <f t="shared" si="28"/>
        <v>0</v>
      </c>
      <c r="H44" s="11">
        <f t="shared" si="28"/>
        <v>0</v>
      </c>
      <c r="I44" s="11">
        <f t="shared" si="28"/>
        <v>0</v>
      </c>
      <c r="J44" s="11">
        <f t="shared" si="28"/>
        <v>0</v>
      </c>
      <c r="K44" s="11">
        <f t="shared" si="28"/>
        <v>0</v>
      </c>
      <c r="L44" s="11">
        <f t="shared" si="28"/>
        <v>0</v>
      </c>
      <c r="M44" s="238" t="s">
        <v>113</v>
      </c>
      <c r="N44" s="11">
        <f t="shared" si="24"/>
        <v>0</v>
      </c>
      <c r="O44" s="11">
        <f t="shared" si="25"/>
        <v>0</v>
      </c>
      <c r="P44" s="11">
        <f t="shared" si="5"/>
        <v>0</v>
      </c>
      <c r="Q44" s="11">
        <v>0</v>
      </c>
      <c r="R44" s="11">
        <f t="shared" si="26"/>
        <v>0</v>
      </c>
      <c r="S44" s="11"/>
      <c r="T44" s="11"/>
      <c r="U44" s="11">
        <f t="shared" si="10"/>
        <v>0</v>
      </c>
      <c r="V44" s="11">
        <f t="shared" si="4"/>
        <v>0</v>
      </c>
      <c r="W44" s="11"/>
      <c r="X44" s="160">
        <f t="shared" si="6"/>
        <v>0</v>
      </c>
      <c r="Z44" s="182"/>
    </row>
    <row r="45" spans="1:26" x14ac:dyDescent="0.3">
      <c r="A45" s="7"/>
      <c r="B45" s="86"/>
      <c r="C45" s="86"/>
      <c r="D45" s="85"/>
      <c r="E45" s="83"/>
      <c r="F45" s="83"/>
      <c r="G45" s="83"/>
      <c r="H45" s="83"/>
      <c r="I45" s="83"/>
      <c r="J45" s="83"/>
      <c r="K45" s="84"/>
      <c r="L45" s="84"/>
      <c r="M45" s="13"/>
      <c r="N45" s="83">
        <f t="shared" si="8"/>
        <v>0</v>
      </c>
      <c r="O45" s="83">
        <f t="shared" si="9"/>
        <v>0</v>
      </c>
      <c r="P45" s="83">
        <f t="shared" si="5"/>
        <v>0</v>
      </c>
      <c r="Q45" s="86"/>
      <c r="R45" s="86"/>
      <c r="S45" s="86"/>
      <c r="T45" s="86"/>
      <c r="U45" s="86">
        <f t="shared" si="10"/>
        <v>0</v>
      </c>
      <c r="V45" s="86">
        <f t="shared" si="4"/>
        <v>0</v>
      </c>
      <c r="W45" s="86"/>
      <c r="X45" s="205"/>
      <c r="Z45" s="182"/>
    </row>
    <row r="46" spans="1:26" x14ac:dyDescent="0.3">
      <c r="A46" s="4">
        <f>SUM(A30:A44)</f>
        <v>363513.47200000001</v>
      </c>
      <c r="B46" s="4">
        <f t="shared" ref="B46:L46" si="35">SUM(B30:B44)</f>
        <v>659028.67968000006</v>
      </c>
      <c r="C46" s="4">
        <f t="shared" si="35"/>
        <v>834613.52359999996</v>
      </c>
      <c r="D46" s="4">
        <f t="shared" si="35"/>
        <v>1031385.18616</v>
      </c>
      <c r="E46" s="4">
        <f t="shared" si="35"/>
        <v>605826.04792000004</v>
      </c>
      <c r="F46" s="4">
        <f t="shared" si="35"/>
        <v>363513.47200000001</v>
      </c>
      <c r="G46" s="4">
        <f t="shared" si="35"/>
        <v>363513.47200000001</v>
      </c>
      <c r="H46" s="4">
        <f t="shared" si="35"/>
        <v>363513.47200000001</v>
      </c>
      <c r="I46" s="4">
        <f t="shared" si="35"/>
        <v>363513.47200000001</v>
      </c>
      <c r="J46" s="4">
        <f t="shared" si="35"/>
        <v>363513.47200000001</v>
      </c>
      <c r="K46" s="4">
        <f t="shared" si="35"/>
        <v>363513.47200000001</v>
      </c>
      <c r="L46" s="4">
        <f t="shared" si="35"/>
        <v>363523.99104179995</v>
      </c>
      <c r="M46" s="13" t="s">
        <v>114</v>
      </c>
      <c r="N46" s="4">
        <f t="shared" ref="N46:O46" si="36">SUM(N30:N44)</f>
        <v>0</v>
      </c>
      <c r="O46" s="4">
        <f t="shared" si="36"/>
        <v>6038971.7324018003</v>
      </c>
      <c r="P46" s="4">
        <f t="shared" ref="P46:Q46" si="37">SUM(P30:P44)</f>
        <v>6038971.7324018003</v>
      </c>
      <c r="Q46" s="4">
        <f t="shared" si="37"/>
        <v>6038971.7324018003</v>
      </c>
      <c r="R46" s="4">
        <f>SUM(R30:R44)</f>
        <v>0</v>
      </c>
      <c r="S46" s="4">
        <f t="shared" ref="S46:T46" si="38">SUM(S30:S44)</f>
        <v>0</v>
      </c>
      <c r="T46" s="4">
        <f t="shared" si="38"/>
        <v>836683.35999999987</v>
      </c>
      <c r="U46" s="4">
        <f t="shared" si="10"/>
        <v>6875655.0924018007</v>
      </c>
      <c r="V46" s="4">
        <f t="shared" si="4"/>
        <v>836683.36000000034</v>
      </c>
      <c r="W46" s="4">
        <f t="shared" ref="W46" si="39">SUM(W30:W44)</f>
        <v>0</v>
      </c>
      <c r="X46" s="162">
        <f t="shared" si="6"/>
        <v>0</v>
      </c>
      <c r="Z46" s="182"/>
    </row>
    <row r="47" spans="1:26" x14ac:dyDescent="0.3">
      <c r="A47" s="81"/>
      <c r="B47" s="81"/>
      <c r="C47" s="81"/>
      <c r="D47" s="82"/>
      <c r="E47" s="86"/>
      <c r="F47" s="86"/>
      <c r="G47" s="86"/>
      <c r="H47" s="87"/>
      <c r="I47" s="87"/>
      <c r="J47" s="87"/>
      <c r="K47" s="84"/>
      <c r="L47" s="84"/>
      <c r="M47" s="80"/>
      <c r="N47" s="86">
        <f t="shared" si="8"/>
        <v>0</v>
      </c>
      <c r="O47" s="86">
        <f t="shared" si="9"/>
        <v>0</v>
      </c>
      <c r="P47" s="86">
        <f t="shared" si="5"/>
        <v>0</v>
      </c>
      <c r="Q47" s="81"/>
      <c r="R47" s="81"/>
      <c r="S47" s="81"/>
      <c r="T47" s="81"/>
      <c r="U47" s="81">
        <f t="shared" si="10"/>
        <v>0</v>
      </c>
      <c r="V47" s="81">
        <f t="shared" si="4"/>
        <v>0</v>
      </c>
      <c r="W47" s="81"/>
      <c r="X47" s="204"/>
      <c r="Z47" s="182"/>
    </row>
    <row r="48" spans="1:26" x14ac:dyDescent="0.3">
      <c r="A48" s="8">
        <f t="shared" ref="A48:L63" si="40">$Q48/12</f>
        <v>0</v>
      </c>
      <c r="B48" s="8">
        <f t="shared" si="40"/>
        <v>0</v>
      </c>
      <c r="C48" s="8">
        <f t="shared" si="40"/>
        <v>0</v>
      </c>
      <c r="D48" s="8">
        <f t="shared" si="40"/>
        <v>0</v>
      </c>
      <c r="E48" s="8">
        <f t="shared" si="40"/>
        <v>0</v>
      </c>
      <c r="F48" s="8">
        <f t="shared" si="40"/>
        <v>0</v>
      </c>
      <c r="G48" s="8">
        <f t="shared" si="40"/>
        <v>0</v>
      </c>
      <c r="H48" s="8">
        <f t="shared" si="40"/>
        <v>0</v>
      </c>
      <c r="I48" s="8">
        <f t="shared" si="40"/>
        <v>0</v>
      </c>
      <c r="J48" s="8">
        <f t="shared" si="40"/>
        <v>0</v>
      </c>
      <c r="K48" s="8">
        <f t="shared" si="40"/>
        <v>0</v>
      </c>
      <c r="L48" s="8">
        <f t="shared" si="40"/>
        <v>0</v>
      </c>
      <c r="M48" s="238" t="s">
        <v>445</v>
      </c>
      <c r="N48" s="8">
        <f t="shared" ref="N48:N63" si="41">SUM(0)</f>
        <v>0</v>
      </c>
      <c r="O48" s="8">
        <f t="shared" ref="O48:O63" si="42">SUM(A48:L48)</f>
        <v>0</v>
      </c>
      <c r="P48" s="8">
        <f t="shared" si="5"/>
        <v>0</v>
      </c>
      <c r="Q48" s="8">
        <v>0</v>
      </c>
      <c r="R48" s="8">
        <f t="shared" ref="R48:R63" si="43">Q48-P48</f>
        <v>0</v>
      </c>
      <c r="S48" s="8"/>
      <c r="T48" s="8"/>
      <c r="U48" s="8">
        <f t="shared" si="10"/>
        <v>0</v>
      </c>
      <c r="V48" s="8">
        <f t="shared" si="4"/>
        <v>0</v>
      </c>
      <c r="W48" s="8"/>
      <c r="X48" s="158">
        <f t="shared" si="6"/>
        <v>0</v>
      </c>
      <c r="Z48" s="182"/>
    </row>
    <row r="49" spans="1:26" x14ac:dyDescent="0.3">
      <c r="A49" s="7">
        <f>60*1.048</f>
        <v>62.88</v>
      </c>
      <c r="B49" s="7">
        <f t="shared" ref="B49:L49" si="44">60*1.048</f>
        <v>62.88</v>
      </c>
      <c r="C49" s="7">
        <f t="shared" si="44"/>
        <v>62.88</v>
      </c>
      <c r="D49" s="7">
        <f t="shared" si="44"/>
        <v>62.88</v>
      </c>
      <c r="E49" s="7">
        <f t="shared" si="44"/>
        <v>62.88</v>
      </c>
      <c r="F49" s="7">
        <f t="shared" si="44"/>
        <v>62.88</v>
      </c>
      <c r="G49" s="7">
        <f t="shared" si="44"/>
        <v>62.88</v>
      </c>
      <c r="H49" s="7">
        <f t="shared" si="44"/>
        <v>62.88</v>
      </c>
      <c r="I49" s="7">
        <f t="shared" si="44"/>
        <v>62.88</v>
      </c>
      <c r="J49" s="7">
        <f t="shared" si="44"/>
        <v>62.88</v>
      </c>
      <c r="K49" s="7">
        <f t="shared" si="44"/>
        <v>62.88</v>
      </c>
      <c r="L49" s="7">
        <f t="shared" si="44"/>
        <v>62.88</v>
      </c>
      <c r="M49" s="13" t="s">
        <v>446</v>
      </c>
      <c r="N49" s="7">
        <f t="shared" si="41"/>
        <v>0</v>
      </c>
      <c r="O49" s="7">
        <f t="shared" si="42"/>
        <v>754.56000000000006</v>
      </c>
      <c r="P49" s="7">
        <f t="shared" si="5"/>
        <v>754.56000000000006</v>
      </c>
      <c r="Q49" s="7">
        <v>754.56000000000006</v>
      </c>
      <c r="R49" s="7">
        <f t="shared" si="43"/>
        <v>0</v>
      </c>
      <c r="S49" s="7"/>
      <c r="T49" s="7">
        <v>723</v>
      </c>
      <c r="U49" s="7">
        <f t="shared" si="10"/>
        <v>1477.56</v>
      </c>
      <c r="V49" s="7">
        <f t="shared" si="4"/>
        <v>722.99999999999989</v>
      </c>
      <c r="W49" s="7"/>
      <c r="X49" s="159">
        <f t="shared" si="6"/>
        <v>0</v>
      </c>
      <c r="Z49" s="182"/>
    </row>
    <row r="50" spans="1:26" x14ac:dyDescent="0.3">
      <c r="A50" s="7">
        <f>3185*1.048</f>
        <v>3337.88</v>
      </c>
      <c r="B50" s="7">
        <f t="shared" ref="B50:L50" si="45">3185*1.048</f>
        <v>3337.88</v>
      </c>
      <c r="C50" s="7">
        <f t="shared" si="45"/>
        <v>3337.88</v>
      </c>
      <c r="D50" s="7">
        <f t="shared" si="45"/>
        <v>3337.88</v>
      </c>
      <c r="E50" s="7">
        <f t="shared" si="45"/>
        <v>3337.88</v>
      </c>
      <c r="F50" s="7">
        <f t="shared" si="45"/>
        <v>3337.88</v>
      </c>
      <c r="G50" s="7">
        <f t="shared" si="45"/>
        <v>3337.88</v>
      </c>
      <c r="H50" s="7">
        <f t="shared" si="45"/>
        <v>3337.88</v>
      </c>
      <c r="I50" s="7">
        <f t="shared" si="45"/>
        <v>3337.88</v>
      </c>
      <c r="J50" s="7">
        <f t="shared" si="45"/>
        <v>3337.88</v>
      </c>
      <c r="K50" s="7">
        <f t="shared" si="45"/>
        <v>3337.88</v>
      </c>
      <c r="L50" s="7">
        <f t="shared" si="45"/>
        <v>3337.88</v>
      </c>
      <c r="M50" s="13" t="s">
        <v>447</v>
      </c>
      <c r="N50" s="7">
        <f t="shared" si="41"/>
        <v>0</v>
      </c>
      <c r="O50" s="7">
        <f t="shared" si="42"/>
        <v>40054.559999999998</v>
      </c>
      <c r="P50" s="7">
        <f t="shared" si="5"/>
        <v>40054.559999999998</v>
      </c>
      <c r="Q50" s="7">
        <v>40054.559999999998</v>
      </c>
      <c r="R50" s="7">
        <f t="shared" si="43"/>
        <v>0</v>
      </c>
      <c r="S50" s="7"/>
      <c r="T50" s="7">
        <v>2728</v>
      </c>
      <c r="U50" s="7">
        <f t="shared" si="10"/>
        <v>42782.559999999998</v>
      </c>
      <c r="V50" s="7">
        <f t="shared" si="4"/>
        <v>2728</v>
      </c>
      <c r="W50" s="7"/>
      <c r="X50" s="159">
        <f t="shared" si="6"/>
        <v>0</v>
      </c>
      <c r="Z50" s="182"/>
    </row>
    <row r="51" spans="1:26" x14ac:dyDescent="0.3">
      <c r="A51" s="7">
        <f t="shared" si="40"/>
        <v>0</v>
      </c>
      <c r="B51" s="7">
        <f t="shared" si="40"/>
        <v>0</v>
      </c>
      <c r="C51" s="7">
        <f t="shared" si="40"/>
        <v>0</v>
      </c>
      <c r="D51" s="7">
        <f t="shared" si="40"/>
        <v>0</v>
      </c>
      <c r="E51" s="7">
        <f t="shared" si="40"/>
        <v>0</v>
      </c>
      <c r="F51" s="7">
        <f t="shared" si="40"/>
        <v>0</v>
      </c>
      <c r="G51" s="7">
        <f t="shared" si="40"/>
        <v>0</v>
      </c>
      <c r="H51" s="7">
        <f t="shared" si="40"/>
        <v>0</v>
      </c>
      <c r="I51" s="7">
        <f t="shared" si="40"/>
        <v>0</v>
      </c>
      <c r="J51" s="7">
        <f t="shared" si="40"/>
        <v>0</v>
      </c>
      <c r="K51" s="7">
        <f t="shared" si="40"/>
        <v>0</v>
      </c>
      <c r="L51" s="7">
        <f t="shared" si="40"/>
        <v>0</v>
      </c>
      <c r="M51" s="13" t="s">
        <v>448</v>
      </c>
      <c r="N51" s="7">
        <f t="shared" si="41"/>
        <v>0</v>
      </c>
      <c r="O51" s="7">
        <f t="shared" si="42"/>
        <v>0</v>
      </c>
      <c r="P51" s="7">
        <f t="shared" si="5"/>
        <v>0</v>
      </c>
      <c r="Q51" s="7">
        <v>0</v>
      </c>
      <c r="R51" s="7">
        <f t="shared" si="43"/>
        <v>0</v>
      </c>
      <c r="S51" s="7"/>
      <c r="T51" s="7"/>
      <c r="U51" s="7">
        <f t="shared" si="10"/>
        <v>0</v>
      </c>
      <c r="V51" s="7">
        <f t="shared" si="4"/>
        <v>0</v>
      </c>
      <c r="W51" s="7"/>
      <c r="X51" s="159">
        <f t="shared" si="6"/>
        <v>0</v>
      </c>
      <c r="Z51" s="182"/>
    </row>
    <row r="52" spans="1:26" x14ac:dyDescent="0.3">
      <c r="A52" s="7">
        <f>250*1.048</f>
        <v>262</v>
      </c>
      <c r="B52" s="7">
        <f t="shared" ref="B52:L52" si="46">250*1.048</f>
        <v>262</v>
      </c>
      <c r="C52" s="7">
        <f t="shared" si="46"/>
        <v>262</v>
      </c>
      <c r="D52" s="7">
        <f t="shared" si="46"/>
        <v>262</v>
      </c>
      <c r="E52" s="7">
        <f t="shared" si="46"/>
        <v>262</v>
      </c>
      <c r="F52" s="7">
        <f t="shared" si="46"/>
        <v>262</v>
      </c>
      <c r="G52" s="7">
        <f t="shared" si="46"/>
        <v>262</v>
      </c>
      <c r="H52" s="7">
        <f t="shared" si="46"/>
        <v>262</v>
      </c>
      <c r="I52" s="7">
        <f t="shared" si="46"/>
        <v>262</v>
      </c>
      <c r="J52" s="7">
        <f t="shared" si="46"/>
        <v>262</v>
      </c>
      <c r="K52" s="7">
        <f t="shared" si="46"/>
        <v>262</v>
      </c>
      <c r="L52" s="7">
        <f t="shared" si="46"/>
        <v>262</v>
      </c>
      <c r="M52" s="13" t="s">
        <v>449</v>
      </c>
      <c r="N52" s="7">
        <f t="shared" si="41"/>
        <v>0</v>
      </c>
      <c r="O52" s="7">
        <f t="shared" si="42"/>
        <v>3144</v>
      </c>
      <c r="P52" s="7">
        <f t="shared" si="5"/>
        <v>3144</v>
      </c>
      <c r="Q52" s="7">
        <v>3144</v>
      </c>
      <c r="R52" s="7">
        <f t="shared" si="43"/>
        <v>0</v>
      </c>
      <c r="S52" s="7"/>
      <c r="T52" s="7">
        <v>-2000</v>
      </c>
      <c r="U52" s="7">
        <f t="shared" si="10"/>
        <v>1144</v>
      </c>
      <c r="V52" s="7">
        <f t="shared" si="4"/>
        <v>-2000</v>
      </c>
      <c r="W52" s="7"/>
      <c r="X52" s="159">
        <f t="shared" si="6"/>
        <v>0</v>
      </c>
      <c r="Z52" s="182"/>
    </row>
    <row r="53" spans="1:26" x14ac:dyDescent="0.3">
      <c r="A53" s="7">
        <f>1491*1.048</f>
        <v>1562.568</v>
      </c>
      <c r="B53" s="7">
        <f t="shared" ref="B53:L53" si="47">1491*1.048</f>
        <v>1562.568</v>
      </c>
      <c r="C53" s="7">
        <f t="shared" si="47"/>
        <v>1562.568</v>
      </c>
      <c r="D53" s="7">
        <f t="shared" si="47"/>
        <v>1562.568</v>
      </c>
      <c r="E53" s="7">
        <f t="shared" si="47"/>
        <v>1562.568</v>
      </c>
      <c r="F53" s="7">
        <f t="shared" si="47"/>
        <v>1562.568</v>
      </c>
      <c r="G53" s="7">
        <f t="shared" si="47"/>
        <v>1562.568</v>
      </c>
      <c r="H53" s="7">
        <f t="shared" si="47"/>
        <v>1562.568</v>
      </c>
      <c r="I53" s="7">
        <f t="shared" si="47"/>
        <v>1562.568</v>
      </c>
      <c r="J53" s="7">
        <f t="shared" si="47"/>
        <v>1562.568</v>
      </c>
      <c r="K53" s="7">
        <f t="shared" si="47"/>
        <v>1562.568</v>
      </c>
      <c r="L53" s="7">
        <f t="shared" si="47"/>
        <v>1562.568</v>
      </c>
      <c r="M53" s="13" t="s">
        <v>450</v>
      </c>
      <c r="N53" s="7">
        <f t="shared" si="41"/>
        <v>0</v>
      </c>
      <c r="O53" s="7">
        <f t="shared" si="42"/>
        <v>18750.815999999995</v>
      </c>
      <c r="P53" s="7">
        <f t="shared" si="5"/>
        <v>18750.815999999995</v>
      </c>
      <c r="Q53" s="7">
        <v>18750.815999999995</v>
      </c>
      <c r="R53" s="7">
        <f t="shared" si="43"/>
        <v>0</v>
      </c>
      <c r="S53" s="7"/>
      <c r="T53" s="7">
        <v>2894</v>
      </c>
      <c r="U53" s="7">
        <f t="shared" si="10"/>
        <v>21644.815999999995</v>
      </c>
      <c r="V53" s="7">
        <f t="shared" si="4"/>
        <v>2894</v>
      </c>
      <c r="W53" s="7"/>
      <c r="X53" s="159">
        <f t="shared" si="6"/>
        <v>0</v>
      </c>
      <c r="Z53" s="182"/>
    </row>
    <row r="54" spans="1:26" x14ac:dyDescent="0.3">
      <c r="A54" s="7">
        <f t="shared" si="40"/>
        <v>0</v>
      </c>
      <c r="B54" s="7">
        <f t="shared" si="40"/>
        <v>0</v>
      </c>
      <c r="C54" s="7">
        <f t="shared" si="40"/>
        <v>0</v>
      </c>
      <c r="D54" s="7">
        <f t="shared" si="40"/>
        <v>0</v>
      </c>
      <c r="E54" s="7">
        <f t="shared" si="40"/>
        <v>0</v>
      </c>
      <c r="F54" s="7">
        <f t="shared" si="40"/>
        <v>0</v>
      </c>
      <c r="G54" s="7">
        <f t="shared" si="40"/>
        <v>0</v>
      </c>
      <c r="H54" s="7">
        <f t="shared" si="40"/>
        <v>0</v>
      </c>
      <c r="I54" s="7">
        <f t="shared" si="40"/>
        <v>0</v>
      </c>
      <c r="J54" s="7">
        <f t="shared" si="40"/>
        <v>0</v>
      </c>
      <c r="K54" s="7">
        <f t="shared" si="40"/>
        <v>0</v>
      </c>
      <c r="L54" s="7">
        <f t="shared" si="40"/>
        <v>0</v>
      </c>
      <c r="M54" s="13" t="s">
        <v>451</v>
      </c>
      <c r="N54" s="7">
        <f t="shared" si="41"/>
        <v>0</v>
      </c>
      <c r="O54" s="7">
        <f t="shared" si="42"/>
        <v>0</v>
      </c>
      <c r="P54" s="7">
        <f t="shared" si="5"/>
        <v>0</v>
      </c>
      <c r="Q54" s="7">
        <v>0</v>
      </c>
      <c r="R54" s="7">
        <f t="shared" si="43"/>
        <v>0</v>
      </c>
      <c r="S54" s="7"/>
      <c r="T54" s="7"/>
      <c r="U54" s="7">
        <f t="shared" si="10"/>
        <v>0</v>
      </c>
      <c r="V54" s="7">
        <f t="shared" si="4"/>
        <v>0</v>
      </c>
      <c r="W54" s="7"/>
      <c r="X54" s="159">
        <f t="shared" si="6"/>
        <v>0</v>
      </c>
      <c r="Z54" s="182"/>
    </row>
    <row r="55" spans="1:26" x14ac:dyDescent="0.3">
      <c r="A55" s="7">
        <f>2498*1.048</f>
        <v>2617.904</v>
      </c>
      <c r="B55" s="7">
        <f t="shared" ref="B55:L55" si="48">2498*1.048</f>
        <v>2617.904</v>
      </c>
      <c r="C55" s="7">
        <f t="shared" si="48"/>
        <v>2617.904</v>
      </c>
      <c r="D55" s="7">
        <f t="shared" si="48"/>
        <v>2617.904</v>
      </c>
      <c r="E55" s="7">
        <f t="shared" si="48"/>
        <v>2617.904</v>
      </c>
      <c r="F55" s="7">
        <f t="shared" si="48"/>
        <v>2617.904</v>
      </c>
      <c r="G55" s="7">
        <f t="shared" si="48"/>
        <v>2617.904</v>
      </c>
      <c r="H55" s="7">
        <f t="shared" si="48"/>
        <v>2617.904</v>
      </c>
      <c r="I55" s="7">
        <f t="shared" si="48"/>
        <v>2617.904</v>
      </c>
      <c r="J55" s="7">
        <f t="shared" si="48"/>
        <v>2617.904</v>
      </c>
      <c r="K55" s="7">
        <f t="shared" si="48"/>
        <v>2617.904</v>
      </c>
      <c r="L55" s="7">
        <f t="shared" si="48"/>
        <v>2617.904</v>
      </c>
      <c r="M55" s="238" t="s">
        <v>452</v>
      </c>
      <c r="N55" s="7">
        <f t="shared" si="41"/>
        <v>0</v>
      </c>
      <c r="O55" s="7">
        <f t="shared" si="42"/>
        <v>31414.847999999994</v>
      </c>
      <c r="P55" s="7">
        <f t="shared" si="5"/>
        <v>31414.847999999994</v>
      </c>
      <c r="Q55" s="7">
        <v>31414.847999999994</v>
      </c>
      <c r="R55" s="7">
        <f t="shared" si="43"/>
        <v>0</v>
      </c>
      <c r="S55" s="7"/>
      <c r="T55" s="7">
        <v>-4345</v>
      </c>
      <c r="U55" s="7">
        <f t="shared" si="10"/>
        <v>27069.847999999994</v>
      </c>
      <c r="V55" s="7">
        <f t="shared" si="4"/>
        <v>-4345</v>
      </c>
      <c r="W55" s="7"/>
      <c r="X55" s="159">
        <f t="shared" si="6"/>
        <v>0</v>
      </c>
      <c r="Z55" s="182"/>
    </row>
    <row r="56" spans="1:26" x14ac:dyDescent="0.3">
      <c r="A56" s="7">
        <f t="shared" si="40"/>
        <v>0</v>
      </c>
      <c r="B56" s="7">
        <f t="shared" si="40"/>
        <v>0</v>
      </c>
      <c r="C56" s="7">
        <f t="shared" si="40"/>
        <v>0</v>
      </c>
      <c r="D56" s="7">
        <f t="shared" si="40"/>
        <v>0</v>
      </c>
      <c r="E56" s="7">
        <f t="shared" si="40"/>
        <v>0</v>
      </c>
      <c r="F56" s="7">
        <f t="shared" si="40"/>
        <v>0</v>
      </c>
      <c r="G56" s="7">
        <f t="shared" si="40"/>
        <v>0</v>
      </c>
      <c r="H56" s="7">
        <f t="shared" si="40"/>
        <v>0</v>
      </c>
      <c r="I56" s="7">
        <f t="shared" si="40"/>
        <v>0</v>
      </c>
      <c r="J56" s="7">
        <f t="shared" si="40"/>
        <v>0</v>
      </c>
      <c r="K56" s="7">
        <f t="shared" si="40"/>
        <v>0</v>
      </c>
      <c r="L56" s="7">
        <f t="shared" si="40"/>
        <v>0</v>
      </c>
      <c r="M56" s="13" t="s">
        <v>453</v>
      </c>
      <c r="N56" s="7">
        <f t="shared" si="41"/>
        <v>0</v>
      </c>
      <c r="O56" s="7">
        <f t="shared" si="42"/>
        <v>0</v>
      </c>
      <c r="P56" s="7">
        <f t="shared" si="5"/>
        <v>0</v>
      </c>
      <c r="Q56" s="7">
        <v>0</v>
      </c>
      <c r="R56" s="7">
        <f t="shared" si="43"/>
        <v>0</v>
      </c>
      <c r="S56" s="7"/>
      <c r="T56" s="7"/>
      <c r="U56" s="7">
        <f t="shared" si="10"/>
        <v>0</v>
      </c>
      <c r="V56" s="7">
        <f t="shared" si="4"/>
        <v>0</v>
      </c>
      <c r="W56" s="7"/>
      <c r="X56" s="159">
        <f t="shared" si="6"/>
        <v>0</v>
      </c>
      <c r="Z56" s="182"/>
    </row>
    <row r="57" spans="1:26" x14ac:dyDescent="0.3">
      <c r="A57" s="7">
        <f t="shared" si="40"/>
        <v>0</v>
      </c>
      <c r="B57" s="7">
        <f t="shared" si="40"/>
        <v>0</v>
      </c>
      <c r="C57" s="7">
        <f t="shared" si="40"/>
        <v>0</v>
      </c>
      <c r="D57" s="7">
        <f t="shared" si="40"/>
        <v>0</v>
      </c>
      <c r="E57" s="7">
        <f t="shared" si="40"/>
        <v>0</v>
      </c>
      <c r="F57" s="7">
        <f t="shared" si="40"/>
        <v>0</v>
      </c>
      <c r="G57" s="7">
        <f t="shared" si="40"/>
        <v>0</v>
      </c>
      <c r="H57" s="7">
        <f t="shared" si="40"/>
        <v>0</v>
      </c>
      <c r="I57" s="7">
        <f t="shared" si="40"/>
        <v>0</v>
      </c>
      <c r="J57" s="7">
        <f t="shared" si="40"/>
        <v>0</v>
      </c>
      <c r="K57" s="7">
        <f t="shared" si="40"/>
        <v>0</v>
      </c>
      <c r="L57" s="7">
        <f t="shared" si="40"/>
        <v>0</v>
      </c>
      <c r="M57" s="13" t="s">
        <v>454</v>
      </c>
      <c r="N57" s="7">
        <f t="shared" si="41"/>
        <v>0</v>
      </c>
      <c r="O57" s="7">
        <f t="shared" si="42"/>
        <v>0</v>
      </c>
      <c r="P57" s="7">
        <f t="shared" si="5"/>
        <v>0</v>
      </c>
      <c r="Q57" s="7">
        <v>0</v>
      </c>
      <c r="R57" s="7">
        <f t="shared" si="43"/>
        <v>0</v>
      </c>
      <c r="S57" s="7"/>
      <c r="T57" s="7"/>
      <c r="U57" s="7">
        <f t="shared" si="10"/>
        <v>0</v>
      </c>
      <c r="V57" s="7">
        <f t="shared" si="4"/>
        <v>0</v>
      </c>
      <c r="W57" s="7"/>
      <c r="X57" s="159">
        <f t="shared" si="6"/>
        <v>0</v>
      </c>
      <c r="Z57" s="182"/>
    </row>
    <row r="58" spans="1:26" x14ac:dyDescent="0.3">
      <c r="A58" s="7">
        <f>1438*1.048</f>
        <v>1507.0240000000001</v>
      </c>
      <c r="B58" s="7">
        <f t="shared" ref="B58:L58" si="49">1438*1.048</f>
        <v>1507.0240000000001</v>
      </c>
      <c r="C58" s="7">
        <f t="shared" si="49"/>
        <v>1507.0240000000001</v>
      </c>
      <c r="D58" s="7">
        <f t="shared" si="49"/>
        <v>1507.0240000000001</v>
      </c>
      <c r="E58" s="7">
        <f t="shared" si="49"/>
        <v>1507.0240000000001</v>
      </c>
      <c r="F58" s="7">
        <f t="shared" si="49"/>
        <v>1507.0240000000001</v>
      </c>
      <c r="G58" s="7">
        <f t="shared" si="49"/>
        <v>1507.0240000000001</v>
      </c>
      <c r="H58" s="7">
        <f t="shared" si="49"/>
        <v>1507.0240000000001</v>
      </c>
      <c r="I58" s="7">
        <f t="shared" si="49"/>
        <v>1507.0240000000001</v>
      </c>
      <c r="J58" s="7">
        <f t="shared" si="49"/>
        <v>1507.0240000000001</v>
      </c>
      <c r="K58" s="7">
        <f t="shared" si="49"/>
        <v>1507.0240000000001</v>
      </c>
      <c r="L58" s="7">
        <f t="shared" si="49"/>
        <v>1507.0240000000001</v>
      </c>
      <c r="M58" s="13" t="s">
        <v>455</v>
      </c>
      <c r="N58" s="7">
        <f t="shared" si="41"/>
        <v>0</v>
      </c>
      <c r="O58" s="7">
        <f t="shared" si="42"/>
        <v>18084.288</v>
      </c>
      <c r="P58" s="7">
        <f t="shared" si="5"/>
        <v>18084.288</v>
      </c>
      <c r="Q58" s="7">
        <v>18084.288</v>
      </c>
      <c r="R58" s="7">
        <f t="shared" si="43"/>
        <v>0</v>
      </c>
      <c r="S58" s="7"/>
      <c r="T58" s="7"/>
      <c r="U58" s="7">
        <f t="shared" si="10"/>
        <v>18084.288</v>
      </c>
      <c r="V58" s="7">
        <f t="shared" si="4"/>
        <v>0</v>
      </c>
      <c r="W58" s="7"/>
      <c r="X58" s="159">
        <f t="shared" si="6"/>
        <v>0</v>
      </c>
      <c r="Z58" s="182"/>
    </row>
    <row r="59" spans="1:26" x14ac:dyDescent="0.3">
      <c r="A59" s="7">
        <f t="shared" si="40"/>
        <v>0</v>
      </c>
      <c r="B59" s="7">
        <f t="shared" si="40"/>
        <v>0</v>
      </c>
      <c r="C59" s="7">
        <f t="shared" si="40"/>
        <v>0</v>
      </c>
      <c r="D59" s="7">
        <f t="shared" si="40"/>
        <v>0</v>
      </c>
      <c r="E59" s="7">
        <f t="shared" si="40"/>
        <v>0</v>
      </c>
      <c r="F59" s="7">
        <f t="shared" si="40"/>
        <v>0</v>
      </c>
      <c r="G59" s="7">
        <f t="shared" si="40"/>
        <v>0</v>
      </c>
      <c r="H59" s="7">
        <f t="shared" si="40"/>
        <v>0</v>
      </c>
      <c r="I59" s="7">
        <f t="shared" si="40"/>
        <v>0</v>
      </c>
      <c r="J59" s="7">
        <f t="shared" si="40"/>
        <v>0</v>
      </c>
      <c r="K59" s="7">
        <f t="shared" si="40"/>
        <v>0</v>
      </c>
      <c r="L59" s="7">
        <f t="shared" si="40"/>
        <v>0</v>
      </c>
      <c r="M59" s="13" t="s">
        <v>456</v>
      </c>
      <c r="N59" s="7">
        <f t="shared" si="41"/>
        <v>0</v>
      </c>
      <c r="O59" s="7">
        <f t="shared" si="42"/>
        <v>0</v>
      </c>
      <c r="P59" s="7">
        <f t="shared" si="5"/>
        <v>0</v>
      </c>
      <c r="Q59" s="7">
        <v>0</v>
      </c>
      <c r="R59" s="7">
        <f t="shared" si="43"/>
        <v>0</v>
      </c>
      <c r="S59" s="7"/>
      <c r="T59" s="7"/>
      <c r="U59" s="7">
        <f t="shared" si="10"/>
        <v>0</v>
      </c>
      <c r="V59" s="7">
        <f t="shared" si="4"/>
        <v>0</v>
      </c>
      <c r="W59" s="7"/>
      <c r="X59" s="159">
        <f t="shared" si="6"/>
        <v>0</v>
      </c>
      <c r="Z59" s="182"/>
    </row>
    <row r="60" spans="1:26" x14ac:dyDescent="0.3">
      <c r="A60" s="7">
        <f t="shared" si="40"/>
        <v>0</v>
      </c>
      <c r="B60" s="7">
        <f t="shared" si="40"/>
        <v>0</v>
      </c>
      <c r="C60" s="7">
        <f t="shared" si="40"/>
        <v>0</v>
      </c>
      <c r="D60" s="7">
        <f t="shared" si="40"/>
        <v>0</v>
      </c>
      <c r="E60" s="7">
        <f t="shared" si="40"/>
        <v>0</v>
      </c>
      <c r="F60" s="7">
        <f t="shared" si="40"/>
        <v>0</v>
      </c>
      <c r="G60" s="7">
        <f t="shared" si="40"/>
        <v>0</v>
      </c>
      <c r="H60" s="7">
        <f t="shared" si="40"/>
        <v>0</v>
      </c>
      <c r="I60" s="7">
        <f t="shared" si="40"/>
        <v>0</v>
      </c>
      <c r="J60" s="7">
        <f t="shared" si="40"/>
        <v>0</v>
      </c>
      <c r="K60" s="7">
        <f t="shared" si="40"/>
        <v>0</v>
      </c>
      <c r="L60" s="7">
        <f t="shared" si="40"/>
        <v>0</v>
      </c>
      <c r="M60" s="13" t="s">
        <v>457</v>
      </c>
      <c r="N60" s="7">
        <f t="shared" si="41"/>
        <v>0</v>
      </c>
      <c r="O60" s="7">
        <f t="shared" si="42"/>
        <v>0</v>
      </c>
      <c r="P60" s="7">
        <f t="shared" si="5"/>
        <v>0</v>
      </c>
      <c r="Q60" s="7">
        <v>0</v>
      </c>
      <c r="R60" s="7">
        <f t="shared" si="43"/>
        <v>0</v>
      </c>
      <c r="S60" s="7"/>
      <c r="T60" s="7"/>
      <c r="U60" s="7">
        <f t="shared" si="10"/>
        <v>0</v>
      </c>
      <c r="V60" s="7">
        <f t="shared" si="4"/>
        <v>0</v>
      </c>
      <c r="W60" s="7"/>
      <c r="X60" s="159">
        <f t="shared" si="6"/>
        <v>0</v>
      </c>
      <c r="Z60" s="182"/>
    </row>
    <row r="61" spans="1:26" x14ac:dyDescent="0.3">
      <c r="A61" s="7">
        <f t="shared" si="40"/>
        <v>0</v>
      </c>
      <c r="B61" s="7">
        <f t="shared" si="40"/>
        <v>0</v>
      </c>
      <c r="C61" s="7">
        <f t="shared" si="40"/>
        <v>0</v>
      </c>
      <c r="D61" s="7">
        <f t="shared" si="40"/>
        <v>0</v>
      </c>
      <c r="E61" s="7">
        <f t="shared" si="40"/>
        <v>0</v>
      </c>
      <c r="F61" s="7">
        <f t="shared" si="40"/>
        <v>0</v>
      </c>
      <c r="G61" s="7">
        <f t="shared" si="40"/>
        <v>0</v>
      </c>
      <c r="H61" s="7">
        <f t="shared" si="40"/>
        <v>0</v>
      </c>
      <c r="I61" s="7">
        <f t="shared" si="40"/>
        <v>0</v>
      </c>
      <c r="J61" s="7">
        <f t="shared" si="40"/>
        <v>0</v>
      </c>
      <c r="K61" s="7">
        <f t="shared" si="40"/>
        <v>0</v>
      </c>
      <c r="L61" s="7">
        <f t="shared" si="40"/>
        <v>0</v>
      </c>
      <c r="M61" s="13" t="s">
        <v>458</v>
      </c>
      <c r="N61" s="7">
        <f t="shared" si="41"/>
        <v>0</v>
      </c>
      <c r="O61" s="7">
        <f t="shared" si="42"/>
        <v>0</v>
      </c>
      <c r="P61" s="7">
        <f t="shared" si="5"/>
        <v>0</v>
      </c>
      <c r="Q61" s="7">
        <v>0</v>
      </c>
      <c r="R61" s="7">
        <f t="shared" si="43"/>
        <v>0</v>
      </c>
      <c r="S61" s="7"/>
      <c r="T61" s="7"/>
      <c r="U61" s="7">
        <f t="shared" si="10"/>
        <v>0</v>
      </c>
      <c r="V61" s="7">
        <f t="shared" si="4"/>
        <v>0</v>
      </c>
      <c r="W61" s="7"/>
      <c r="X61" s="159">
        <f t="shared" si="6"/>
        <v>0</v>
      </c>
      <c r="Z61" s="182"/>
    </row>
    <row r="62" spans="1:26" x14ac:dyDescent="0.3">
      <c r="A62" s="7">
        <f t="shared" si="40"/>
        <v>0</v>
      </c>
      <c r="B62" s="7">
        <f t="shared" si="40"/>
        <v>0</v>
      </c>
      <c r="C62" s="7">
        <f t="shared" si="40"/>
        <v>0</v>
      </c>
      <c r="D62" s="7">
        <f t="shared" si="40"/>
        <v>0</v>
      </c>
      <c r="E62" s="7">
        <f t="shared" si="40"/>
        <v>0</v>
      </c>
      <c r="F62" s="7">
        <f t="shared" si="40"/>
        <v>0</v>
      </c>
      <c r="G62" s="7">
        <f t="shared" si="40"/>
        <v>0</v>
      </c>
      <c r="H62" s="7">
        <f t="shared" si="40"/>
        <v>0</v>
      </c>
      <c r="I62" s="7">
        <f t="shared" si="40"/>
        <v>0</v>
      </c>
      <c r="J62" s="7">
        <f t="shared" si="40"/>
        <v>0</v>
      </c>
      <c r="K62" s="7">
        <f t="shared" si="40"/>
        <v>0</v>
      </c>
      <c r="L62" s="7">
        <f t="shared" si="40"/>
        <v>0</v>
      </c>
      <c r="M62" s="238" t="s">
        <v>459</v>
      </c>
      <c r="N62" s="7">
        <f t="shared" si="41"/>
        <v>0</v>
      </c>
      <c r="O62" s="7">
        <f t="shared" si="42"/>
        <v>0</v>
      </c>
      <c r="P62" s="7">
        <f t="shared" si="5"/>
        <v>0</v>
      </c>
      <c r="Q62" s="7">
        <v>0</v>
      </c>
      <c r="R62" s="7">
        <f t="shared" si="43"/>
        <v>0</v>
      </c>
      <c r="S62" s="7"/>
      <c r="T62" s="7"/>
      <c r="U62" s="7">
        <f t="shared" si="10"/>
        <v>0</v>
      </c>
      <c r="V62" s="7">
        <f t="shared" si="4"/>
        <v>0</v>
      </c>
      <c r="W62" s="7"/>
      <c r="X62" s="159">
        <f t="shared" si="6"/>
        <v>0</v>
      </c>
      <c r="Z62" s="182"/>
    </row>
    <row r="63" spans="1:26" x14ac:dyDescent="0.3">
      <c r="A63" s="11">
        <f t="shared" si="40"/>
        <v>0</v>
      </c>
      <c r="B63" s="11">
        <f t="shared" si="40"/>
        <v>0</v>
      </c>
      <c r="C63" s="11">
        <f t="shared" si="40"/>
        <v>0</v>
      </c>
      <c r="D63" s="11">
        <f t="shared" si="40"/>
        <v>0</v>
      </c>
      <c r="E63" s="11">
        <f t="shared" si="40"/>
        <v>0</v>
      </c>
      <c r="F63" s="11">
        <f t="shared" si="40"/>
        <v>0</v>
      </c>
      <c r="G63" s="11">
        <f t="shared" si="40"/>
        <v>0</v>
      </c>
      <c r="H63" s="11">
        <f t="shared" si="40"/>
        <v>0</v>
      </c>
      <c r="I63" s="11">
        <f t="shared" si="40"/>
        <v>0</v>
      </c>
      <c r="J63" s="11">
        <f t="shared" si="40"/>
        <v>0</v>
      </c>
      <c r="K63" s="11">
        <f t="shared" si="40"/>
        <v>0</v>
      </c>
      <c r="L63" s="11">
        <f t="shared" si="40"/>
        <v>0</v>
      </c>
      <c r="M63" s="238" t="s">
        <v>460</v>
      </c>
      <c r="N63" s="11">
        <f t="shared" si="41"/>
        <v>0</v>
      </c>
      <c r="O63" s="11">
        <f t="shared" si="42"/>
        <v>0</v>
      </c>
      <c r="P63" s="11">
        <f t="shared" si="5"/>
        <v>0</v>
      </c>
      <c r="Q63" s="11">
        <v>0</v>
      </c>
      <c r="R63" s="11">
        <f t="shared" si="43"/>
        <v>0</v>
      </c>
      <c r="S63" s="11"/>
      <c r="T63" s="11">
        <v>95082</v>
      </c>
      <c r="U63" s="11">
        <f t="shared" si="10"/>
        <v>95082</v>
      </c>
      <c r="V63" s="11">
        <f t="shared" si="4"/>
        <v>95082</v>
      </c>
      <c r="W63" s="11"/>
      <c r="X63" s="160">
        <f t="shared" si="6"/>
        <v>0</v>
      </c>
      <c r="Z63" s="182"/>
    </row>
    <row r="64" spans="1:26" ht="15" thickBot="1" x14ac:dyDescent="0.35">
      <c r="A64" s="89"/>
      <c r="B64" s="89"/>
      <c r="C64" s="89"/>
      <c r="D64" s="90"/>
      <c r="E64" s="91"/>
      <c r="F64" s="91"/>
      <c r="G64" s="91"/>
      <c r="H64" s="91"/>
      <c r="I64" s="91"/>
      <c r="J64" s="91"/>
      <c r="K64" s="92"/>
      <c r="L64" s="92"/>
      <c r="M64" s="13"/>
      <c r="N64" s="91">
        <f t="shared" si="8"/>
        <v>0</v>
      </c>
      <c r="O64" s="91">
        <f t="shared" si="9"/>
        <v>0</v>
      </c>
      <c r="P64" s="91">
        <f t="shared" si="5"/>
        <v>0</v>
      </c>
      <c r="Q64" s="89"/>
      <c r="R64" s="89"/>
      <c r="S64" s="89"/>
      <c r="T64" s="89"/>
      <c r="U64" s="89">
        <f t="shared" si="10"/>
        <v>0</v>
      </c>
      <c r="V64" s="89">
        <f t="shared" si="4"/>
        <v>0</v>
      </c>
      <c r="W64" s="89"/>
      <c r="X64" s="207"/>
      <c r="Z64" s="182"/>
    </row>
    <row r="65" spans="1:26" x14ac:dyDescent="0.3">
      <c r="A65" s="4">
        <f>SUM(A48:A63)</f>
        <v>9350.2559999999994</v>
      </c>
      <c r="B65" s="4">
        <f t="shared" ref="B65:L65" si="50">SUM(B48:B63)</f>
        <v>9350.2559999999994</v>
      </c>
      <c r="C65" s="4">
        <f t="shared" si="50"/>
        <v>9350.2559999999994</v>
      </c>
      <c r="D65" s="4">
        <f t="shared" si="50"/>
        <v>9350.2559999999994</v>
      </c>
      <c r="E65" s="4">
        <f t="shared" si="50"/>
        <v>9350.2559999999994</v>
      </c>
      <c r="F65" s="4">
        <f t="shared" si="50"/>
        <v>9350.2559999999994</v>
      </c>
      <c r="G65" s="4">
        <f t="shared" si="50"/>
        <v>9350.2559999999994</v>
      </c>
      <c r="H65" s="4">
        <f t="shared" si="50"/>
        <v>9350.2559999999994</v>
      </c>
      <c r="I65" s="4">
        <f t="shared" si="50"/>
        <v>9350.2559999999994</v>
      </c>
      <c r="J65" s="4">
        <f t="shared" si="50"/>
        <v>9350.2559999999994</v>
      </c>
      <c r="K65" s="4">
        <f t="shared" si="50"/>
        <v>9350.2559999999994</v>
      </c>
      <c r="L65" s="4">
        <f t="shared" si="50"/>
        <v>9350.2559999999994</v>
      </c>
      <c r="M65" s="13" t="s">
        <v>132</v>
      </c>
      <c r="N65" s="4">
        <f t="shared" ref="N65:O65" si="51">SUM(N48:N63)</f>
        <v>0</v>
      </c>
      <c r="O65" s="4">
        <f t="shared" si="51"/>
        <v>112203.07199999999</v>
      </c>
      <c r="P65" s="4">
        <f t="shared" ref="P65:Q65" si="52">SUM(P48:P63)</f>
        <v>112203.07199999999</v>
      </c>
      <c r="Q65" s="4">
        <f t="shared" si="52"/>
        <v>112203.07199999999</v>
      </c>
      <c r="R65" s="4">
        <f t="shared" ref="R65:W65" si="53">SUM(R48:R63)</f>
        <v>0</v>
      </c>
      <c r="S65" s="4">
        <f t="shared" si="53"/>
        <v>0</v>
      </c>
      <c r="T65" s="4">
        <f t="shared" si="53"/>
        <v>95082</v>
      </c>
      <c r="U65" s="4">
        <f t="shared" si="10"/>
        <v>207285.07199999999</v>
      </c>
      <c r="V65" s="4">
        <f t="shared" si="4"/>
        <v>95082</v>
      </c>
      <c r="W65" s="4">
        <f t="shared" si="53"/>
        <v>0</v>
      </c>
      <c r="X65" s="162">
        <f t="shared" si="6"/>
        <v>0</v>
      </c>
      <c r="Z65" s="182"/>
    </row>
    <row r="66" spans="1:26" x14ac:dyDescent="0.3">
      <c r="A66" s="81"/>
      <c r="B66" s="81"/>
      <c r="C66" s="81"/>
      <c r="D66" s="82"/>
      <c r="E66" s="86"/>
      <c r="F66" s="86"/>
      <c r="G66" s="86"/>
      <c r="H66" s="87"/>
      <c r="I66" s="87"/>
      <c r="J66" s="87"/>
      <c r="K66" s="84"/>
      <c r="L66" s="84"/>
      <c r="M66" s="80"/>
      <c r="N66" s="86">
        <f t="shared" si="8"/>
        <v>0</v>
      </c>
      <c r="O66" s="86">
        <f t="shared" si="9"/>
        <v>0</v>
      </c>
      <c r="P66" s="86">
        <f t="shared" si="5"/>
        <v>0</v>
      </c>
      <c r="Q66" s="81"/>
      <c r="R66" s="81"/>
      <c r="S66" s="81"/>
      <c r="T66" s="81"/>
      <c r="U66" s="81">
        <f t="shared" si="10"/>
        <v>0</v>
      </c>
      <c r="V66" s="81">
        <f t="shared" si="4"/>
        <v>0</v>
      </c>
      <c r="W66" s="81"/>
      <c r="X66" s="204">
        <f t="shared" si="6"/>
        <v>0</v>
      </c>
      <c r="Z66" s="182"/>
    </row>
    <row r="67" spans="1:26" x14ac:dyDescent="0.3">
      <c r="A67" s="8">
        <f t="shared" ref="A67:L88" si="54">$Q67/12</f>
        <v>0</v>
      </c>
      <c r="B67" s="8">
        <f t="shared" si="54"/>
        <v>0</v>
      </c>
      <c r="C67" s="8">
        <f t="shared" si="54"/>
        <v>0</v>
      </c>
      <c r="D67" s="8">
        <f t="shared" si="54"/>
        <v>0</v>
      </c>
      <c r="E67" s="8">
        <f t="shared" si="54"/>
        <v>0</v>
      </c>
      <c r="F67" s="8">
        <f t="shared" si="54"/>
        <v>0</v>
      </c>
      <c r="G67" s="8">
        <f t="shared" si="54"/>
        <v>0</v>
      </c>
      <c r="H67" s="8">
        <f t="shared" si="54"/>
        <v>0</v>
      </c>
      <c r="I67" s="8">
        <f t="shared" si="54"/>
        <v>0</v>
      </c>
      <c r="J67" s="8">
        <f t="shared" si="54"/>
        <v>0</v>
      </c>
      <c r="K67" s="8">
        <f t="shared" si="54"/>
        <v>0</v>
      </c>
      <c r="L67" s="8">
        <f t="shared" si="54"/>
        <v>0</v>
      </c>
      <c r="M67" s="238" t="s">
        <v>461</v>
      </c>
      <c r="N67" s="8">
        <f t="shared" ref="N67:N89" si="55">SUM(0)</f>
        <v>0</v>
      </c>
      <c r="O67" s="8">
        <f t="shared" ref="O67:O89" si="56">SUM(A67:L67)</f>
        <v>0</v>
      </c>
      <c r="P67" s="8">
        <f t="shared" si="5"/>
        <v>0</v>
      </c>
      <c r="Q67" s="8">
        <v>0</v>
      </c>
      <c r="R67" s="8">
        <f t="shared" ref="R67:R89" si="57">Q67-P67</f>
        <v>0</v>
      </c>
      <c r="S67" s="8"/>
      <c r="T67" s="8"/>
      <c r="U67" s="8">
        <f t="shared" si="10"/>
        <v>0</v>
      </c>
      <c r="V67" s="8">
        <f t="shared" si="4"/>
        <v>0</v>
      </c>
      <c r="W67" s="8"/>
      <c r="X67" s="158">
        <f t="shared" si="6"/>
        <v>0</v>
      </c>
      <c r="Z67" s="182"/>
    </row>
    <row r="68" spans="1:26" x14ac:dyDescent="0.3">
      <c r="A68" s="7">
        <f>19994.9329958333*1.048</f>
        <v>20954.6897796333</v>
      </c>
      <c r="B68" s="7">
        <f t="shared" ref="B68:L68" si="58">19994.9329958333*1.048</f>
        <v>20954.6897796333</v>
      </c>
      <c r="C68" s="7">
        <f t="shared" si="58"/>
        <v>20954.6897796333</v>
      </c>
      <c r="D68" s="7">
        <f t="shared" si="58"/>
        <v>20954.6897796333</v>
      </c>
      <c r="E68" s="7">
        <f t="shared" si="58"/>
        <v>20954.6897796333</v>
      </c>
      <c r="F68" s="7">
        <f t="shared" si="58"/>
        <v>20954.6897796333</v>
      </c>
      <c r="G68" s="7">
        <f t="shared" si="58"/>
        <v>20954.6897796333</v>
      </c>
      <c r="H68" s="7">
        <f t="shared" si="58"/>
        <v>20954.6897796333</v>
      </c>
      <c r="I68" s="7">
        <f t="shared" si="58"/>
        <v>20954.6897796333</v>
      </c>
      <c r="J68" s="7">
        <f t="shared" si="58"/>
        <v>20954.6897796333</v>
      </c>
      <c r="K68" s="7">
        <f t="shared" si="58"/>
        <v>20954.6897796333</v>
      </c>
      <c r="L68" s="7">
        <f t="shared" si="58"/>
        <v>20954.6897796333</v>
      </c>
      <c r="M68" s="13" t="s">
        <v>462</v>
      </c>
      <c r="N68" s="7">
        <f t="shared" si="55"/>
        <v>0</v>
      </c>
      <c r="O68" s="7">
        <f t="shared" si="56"/>
        <v>251456.27735559965</v>
      </c>
      <c r="P68" s="7">
        <f t="shared" si="5"/>
        <v>251456.27735559965</v>
      </c>
      <c r="Q68" s="7">
        <v>251456.27735559965</v>
      </c>
      <c r="R68" s="7">
        <f t="shared" si="57"/>
        <v>0</v>
      </c>
      <c r="S68" s="7"/>
      <c r="T68" s="7"/>
      <c r="U68" s="7">
        <f t="shared" si="10"/>
        <v>251456.27735559965</v>
      </c>
      <c r="V68" s="7">
        <f t="shared" si="4"/>
        <v>0</v>
      </c>
      <c r="W68" s="7"/>
      <c r="X68" s="159">
        <f t="shared" si="6"/>
        <v>0</v>
      </c>
      <c r="Z68" s="182"/>
    </row>
    <row r="69" spans="1:26" x14ac:dyDescent="0.3">
      <c r="A69" s="7">
        <f>3333*1.048</f>
        <v>3492.9839999999999</v>
      </c>
      <c r="B69" s="7">
        <f t="shared" ref="B69:L69" si="59">3333*1.048</f>
        <v>3492.9839999999999</v>
      </c>
      <c r="C69" s="7">
        <f t="shared" si="59"/>
        <v>3492.9839999999999</v>
      </c>
      <c r="D69" s="7">
        <f t="shared" si="59"/>
        <v>3492.9839999999999</v>
      </c>
      <c r="E69" s="7">
        <f t="shared" si="59"/>
        <v>3492.9839999999999</v>
      </c>
      <c r="F69" s="7">
        <f t="shared" si="59"/>
        <v>3492.9839999999999</v>
      </c>
      <c r="G69" s="7">
        <f t="shared" si="59"/>
        <v>3492.9839999999999</v>
      </c>
      <c r="H69" s="7">
        <f t="shared" si="59"/>
        <v>3492.9839999999999</v>
      </c>
      <c r="I69" s="7">
        <f t="shared" si="59"/>
        <v>3492.9839999999999</v>
      </c>
      <c r="J69" s="7">
        <f t="shared" si="59"/>
        <v>3492.9839999999999</v>
      </c>
      <c r="K69" s="7">
        <f t="shared" si="59"/>
        <v>3492.9839999999999</v>
      </c>
      <c r="L69" s="7">
        <f t="shared" si="59"/>
        <v>3492.9839999999999</v>
      </c>
      <c r="M69" s="13" t="s">
        <v>463</v>
      </c>
      <c r="N69" s="7">
        <f t="shared" si="55"/>
        <v>0</v>
      </c>
      <c r="O69" s="7">
        <f t="shared" si="56"/>
        <v>41915.80799999999</v>
      </c>
      <c r="P69" s="7">
        <f t="shared" si="5"/>
        <v>41915.80799999999</v>
      </c>
      <c r="Q69" s="7">
        <v>41915.80799999999</v>
      </c>
      <c r="R69" s="7">
        <f t="shared" si="57"/>
        <v>0</v>
      </c>
      <c r="S69" s="7"/>
      <c r="T69" s="7"/>
      <c r="U69" s="7">
        <f t="shared" si="10"/>
        <v>41915.80799999999</v>
      </c>
      <c r="V69" s="7">
        <f t="shared" si="4"/>
        <v>0</v>
      </c>
      <c r="W69" s="7"/>
      <c r="X69" s="159">
        <f t="shared" si="6"/>
        <v>0</v>
      </c>
      <c r="Z69" s="182"/>
    </row>
    <row r="70" spans="1:26" x14ac:dyDescent="0.3">
      <c r="A70" s="7">
        <f t="shared" si="54"/>
        <v>0</v>
      </c>
      <c r="B70" s="7">
        <f t="shared" si="54"/>
        <v>0</v>
      </c>
      <c r="C70" s="7">
        <f t="shared" si="54"/>
        <v>0</v>
      </c>
      <c r="D70" s="7">
        <f t="shared" si="54"/>
        <v>0</v>
      </c>
      <c r="E70" s="7">
        <f t="shared" si="54"/>
        <v>0</v>
      </c>
      <c r="F70" s="7">
        <f t="shared" si="54"/>
        <v>0</v>
      </c>
      <c r="G70" s="7">
        <f t="shared" si="54"/>
        <v>0</v>
      </c>
      <c r="H70" s="7">
        <f t="shared" si="54"/>
        <v>0</v>
      </c>
      <c r="I70" s="7">
        <f t="shared" si="54"/>
        <v>0</v>
      </c>
      <c r="J70" s="7">
        <f t="shared" si="54"/>
        <v>0</v>
      </c>
      <c r="K70" s="7">
        <f t="shared" si="54"/>
        <v>0</v>
      </c>
      <c r="L70" s="7">
        <f t="shared" si="54"/>
        <v>0</v>
      </c>
      <c r="M70" s="13" t="s">
        <v>464</v>
      </c>
      <c r="N70" s="7">
        <f t="shared" si="55"/>
        <v>0</v>
      </c>
      <c r="O70" s="7">
        <f t="shared" si="56"/>
        <v>0</v>
      </c>
      <c r="P70" s="7">
        <f t="shared" si="5"/>
        <v>0</v>
      </c>
      <c r="Q70" s="7">
        <v>0</v>
      </c>
      <c r="R70" s="7">
        <f t="shared" si="57"/>
        <v>0</v>
      </c>
      <c r="S70" s="7"/>
      <c r="T70" s="7"/>
      <c r="U70" s="7">
        <f t="shared" si="10"/>
        <v>0</v>
      </c>
      <c r="V70" s="7">
        <f t="shared" si="4"/>
        <v>0</v>
      </c>
      <c r="W70" s="7"/>
      <c r="X70" s="159">
        <f t="shared" si="6"/>
        <v>0</v>
      </c>
      <c r="Z70" s="182"/>
    </row>
    <row r="71" spans="1:26" x14ac:dyDescent="0.3">
      <c r="A71" s="7">
        <f t="shared" si="54"/>
        <v>47.916666666666664</v>
      </c>
      <c r="B71" s="7">
        <f t="shared" si="54"/>
        <v>47.916666666666664</v>
      </c>
      <c r="C71" s="7">
        <f t="shared" si="54"/>
        <v>47.916666666666664</v>
      </c>
      <c r="D71" s="7">
        <f t="shared" si="54"/>
        <v>47.916666666666664</v>
      </c>
      <c r="E71" s="7">
        <f t="shared" si="54"/>
        <v>47.916666666666664</v>
      </c>
      <c r="F71" s="7">
        <f t="shared" si="54"/>
        <v>47.916666666666664</v>
      </c>
      <c r="G71" s="7">
        <f t="shared" si="54"/>
        <v>47.916666666666664</v>
      </c>
      <c r="H71" s="7">
        <f t="shared" si="54"/>
        <v>47.916666666666664</v>
      </c>
      <c r="I71" s="7">
        <f t="shared" si="54"/>
        <v>47.916666666666664</v>
      </c>
      <c r="J71" s="7">
        <f t="shared" si="54"/>
        <v>47.916666666666664</v>
      </c>
      <c r="K71" s="7">
        <f t="shared" si="54"/>
        <v>47.916666666666664</v>
      </c>
      <c r="L71" s="7">
        <f t="shared" si="54"/>
        <v>47.916666666666664</v>
      </c>
      <c r="M71" s="13" t="s">
        <v>465</v>
      </c>
      <c r="N71" s="7">
        <f t="shared" si="55"/>
        <v>0</v>
      </c>
      <c r="O71" s="7">
        <f t="shared" si="56"/>
        <v>575</v>
      </c>
      <c r="P71" s="7">
        <f t="shared" si="5"/>
        <v>575</v>
      </c>
      <c r="Q71" s="7">
        <v>575</v>
      </c>
      <c r="R71" s="7">
        <f t="shared" si="57"/>
        <v>0</v>
      </c>
      <c r="S71" s="7"/>
      <c r="T71" s="7"/>
      <c r="U71" s="7">
        <f t="shared" si="10"/>
        <v>575</v>
      </c>
      <c r="V71" s="7">
        <f t="shared" si="4"/>
        <v>0</v>
      </c>
      <c r="W71" s="7" t="s">
        <v>289</v>
      </c>
      <c r="X71" s="159">
        <f t="shared" si="6"/>
        <v>0</v>
      </c>
      <c r="Z71" s="182"/>
    </row>
    <row r="72" spans="1:26" x14ac:dyDescent="0.3">
      <c r="A72" s="7">
        <f t="shared" si="54"/>
        <v>0</v>
      </c>
      <c r="B72" s="7">
        <f t="shared" si="54"/>
        <v>0</v>
      </c>
      <c r="C72" s="7">
        <f t="shared" si="54"/>
        <v>0</v>
      </c>
      <c r="D72" s="7">
        <f t="shared" si="54"/>
        <v>0</v>
      </c>
      <c r="E72" s="7">
        <f t="shared" si="54"/>
        <v>0</v>
      </c>
      <c r="F72" s="7">
        <f t="shared" si="54"/>
        <v>0</v>
      </c>
      <c r="G72" s="7">
        <f t="shared" si="54"/>
        <v>0</v>
      </c>
      <c r="H72" s="7">
        <f t="shared" si="54"/>
        <v>0</v>
      </c>
      <c r="I72" s="7">
        <f t="shared" si="54"/>
        <v>0</v>
      </c>
      <c r="J72" s="7">
        <f t="shared" si="54"/>
        <v>0</v>
      </c>
      <c r="K72" s="7">
        <f t="shared" si="54"/>
        <v>0</v>
      </c>
      <c r="L72" s="7">
        <f t="shared" si="54"/>
        <v>0</v>
      </c>
      <c r="M72" s="13" t="s">
        <v>466</v>
      </c>
      <c r="N72" s="7">
        <f t="shared" si="55"/>
        <v>0</v>
      </c>
      <c r="O72" s="7">
        <f t="shared" si="56"/>
        <v>0</v>
      </c>
      <c r="P72" s="7">
        <f t="shared" ref="P72:P128" si="60">SUM(N72:O72)</f>
        <v>0</v>
      </c>
      <c r="Q72" s="7">
        <v>0</v>
      </c>
      <c r="R72" s="7">
        <f t="shared" si="57"/>
        <v>0</v>
      </c>
      <c r="S72" s="7"/>
      <c r="T72" s="7"/>
      <c r="U72" s="7">
        <f t="shared" si="10"/>
        <v>0</v>
      </c>
      <c r="V72" s="7">
        <f t="shared" ref="V72:V129" si="61">U72-P72</f>
        <v>0</v>
      </c>
      <c r="W72" s="7"/>
      <c r="X72" s="159">
        <f t="shared" si="6"/>
        <v>0</v>
      </c>
      <c r="Z72" s="182"/>
    </row>
    <row r="73" spans="1:26" x14ac:dyDescent="0.3">
      <c r="A73" s="7">
        <f t="shared" si="54"/>
        <v>0</v>
      </c>
      <c r="B73" s="7">
        <f t="shared" si="54"/>
        <v>0</v>
      </c>
      <c r="C73" s="7">
        <f t="shared" si="54"/>
        <v>0</v>
      </c>
      <c r="D73" s="7">
        <f t="shared" si="54"/>
        <v>0</v>
      </c>
      <c r="E73" s="7">
        <f t="shared" si="54"/>
        <v>0</v>
      </c>
      <c r="F73" s="7">
        <f t="shared" si="54"/>
        <v>0</v>
      </c>
      <c r="G73" s="7">
        <f t="shared" si="54"/>
        <v>0</v>
      </c>
      <c r="H73" s="7">
        <f t="shared" si="54"/>
        <v>0</v>
      </c>
      <c r="I73" s="7">
        <f t="shared" si="54"/>
        <v>0</v>
      </c>
      <c r="J73" s="7">
        <f t="shared" si="54"/>
        <v>0</v>
      </c>
      <c r="K73" s="7">
        <f t="shared" si="54"/>
        <v>0</v>
      </c>
      <c r="L73" s="7">
        <f t="shared" si="54"/>
        <v>0</v>
      </c>
      <c r="M73" s="13" t="s">
        <v>453</v>
      </c>
      <c r="N73" s="7">
        <f t="shared" si="55"/>
        <v>0</v>
      </c>
      <c r="O73" s="7">
        <f t="shared" si="56"/>
        <v>0</v>
      </c>
      <c r="P73" s="7">
        <f t="shared" si="60"/>
        <v>0</v>
      </c>
      <c r="Q73" s="7">
        <v>0</v>
      </c>
      <c r="R73" s="7">
        <f t="shared" si="57"/>
        <v>0</v>
      </c>
      <c r="S73" s="7"/>
      <c r="T73" s="7"/>
      <c r="U73" s="7">
        <f t="shared" ref="U73:U128" si="62">S73+Q73+T73</f>
        <v>0</v>
      </c>
      <c r="V73" s="7">
        <f t="shared" si="61"/>
        <v>0</v>
      </c>
      <c r="W73" s="7"/>
      <c r="X73" s="159">
        <f t="shared" ref="X73:X129" si="63">IFERROR(N73/Q73,0)</f>
        <v>0</v>
      </c>
      <c r="Z73" s="182"/>
    </row>
    <row r="74" spans="1:26" x14ac:dyDescent="0.3">
      <c r="A74" s="7">
        <f t="shared" si="54"/>
        <v>0</v>
      </c>
      <c r="B74" s="7">
        <f t="shared" si="54"/>
        <v>0</v>
      </c>
      <c r="C74" s="7">
        <f t="shared" si="54"/>
        <v>0</v>
      </c>
      <c r="D74" s="7">
        <f t="shared" si="54"/>
        <v>0</v>
      </c>
      <c r="E74" s="7">
        <f t="shared" si="54"/>
        <v>0</v>
      </c>
      <c r="F74" s="7">
        <f t="shared" si="54"/>
        <v>0</v>
      </c>
      <c r="G74" s="7">
        <f t="shared" si="54"/>
        <v>0</v>
      </c>
      <c r="H74" s="7">
        <f t="shared" si="54"/>
        <v>0</v>
      </c>
      <c r="I74" s="7">
        <f t="shared" si="54"/>
        <v>0</v>
      </c>
      <c r="J74" s="7">
        <f t="shared" si="54"/>
        <v>0</v>
      </c>
      <c r="K74" s="7">
        <f t="shared" si="54"/>
        <v>0</v>
      </c>
      <c r="L74" s="7">
        <f t="shared" si="54"/>
        <v>0</v>
      </c>
      <c r="M74" s="13" t="s">
        <v>467</v>
      </c>
      <c r="N74" s="7">
        <f t="shared" si="55"/>
        <v>0</v>
      </c>
      <c r="O74" s="7">
        <f t="shared" si="56"/>
        <v>0</v>
      </c>
      <c r="P74" s="7">
        <f t="shared" si="60"/>
        <v>0</v>
      </c>
      <c r="Q74" s="7">
        <v>0</v>
      </c>
      <c r="R74" s="7">
        <f t="shared" si="57"/>
        <v>0</v>
      </c>
      <c r="S74" s="7"/>
      <c r="T74" s="7"/>
      <c r="U74" s="7">
        <f t="shared" si="62"/>
        <v>0</v>
      </c>
      <c r="V74" s="7">
        <f t="shared" si="61"/>
        <v>0</v>
      </c>
      <c r="W74" s="7"/>
      <c r="X74" s="159">
        <f t="shared" si="63"/>
        <v>0</v>
      </c>
      <c r="Z74" s="182"/>
    </row>
    <row r="75" spans="1:26" x14ac:dyDescent="0.3">
      <c r="A75" s="7">
        <f t="shared" si="54"/>
        <v>0</v>
      </c>
      <c r="B75" s="7">
        <f t="shared" si="54"/>
        <v>0</v>
      </c>
      <c r="C75" s="7">
        <f t="shared" si="54"/>
        <v>0</v>
      </c>
      <c r="D75" s="7">
        <f t="shared" si="54"/>
        <v>0</v>
      </c>
      <c r="E75" s="7">
        <f t="shared" si="54"/>
        <v>0</v>
      </c>
      <c r="F75" s="7">
        <f t="shared" si="54"/>
        <v>0</v>
      </c>
      <c r="G75" s="7">
        <f t="shared" si="54"/>
        <v>0</v>
      </c>
      <c r="H75" s="7">
        <f t="shared" si="54"/>
        <v>0</v>
      </c>
      <c r="I75" s="7">
        <f t="shared" si="54"/>
        <v>0</v>
      </c>
      <c r="J75" s="7">
        <f t="shared" si="54"/>
        <v>0</v>
      </c>
      <c r="K75" s="7">
        <f t="shared" si="54"/>
        <v>0</v>
      </c>
      <c r="L75" s="7">
        <f t="shared" si="54"/>
        <v>0</v>
      </c>
      <c r="M75" s="13" t="s">
        <v>468</v>
      </c>
      <c r="N75" s="7">
        <f t="shared" si="55"/>
        <v>0</v>
      </c>
      <c r="O75" s="7">
        <f t="shared" si="56"/>
        <v>0</v>
      </c>
      <c r="P75" s="7">
        <f t="shared" si="60"/>
        <v>0</v>
      </c>
      <c r="Q75" s="7">
        <v>0</v>
      </c>
      <c r="R75" s="7">
        <f t="shared" si="57"/>
        <v>0</v>
      </c>
      <c r="S75" s="7"/>
      <c r="T75" s="7"/>
      <c r="U75" s="7">
        <f t="shared" si="62"/>
        <v>0</v>
      </c>
      <c r="V75" s="7">
        <f t="shared" si="61"/>
        <v>0</v>
      </c>
      <c r="W75" s="7"/>
      <c r="X75" s="159">
        <f t="shared" si="63"/>
        <v>0</v>
      </c>
      <c r="Z75" s="182"/>
    </row>
    <row r="76" spans="1:26" x14ac:dyDescent="0.3">
      <c r="A76" s="7">
        <f t="shared" si="54"/>
        <v>0</v>
      </c>
      <c r="B76" s="7">
        <f t="shared" si="54"/>
        <v>0</v>
      </c>
      <c r="C76" s="7">
        <f t="shared" si="54"/>
        <v>0</v>
      </c>
      <c r="D76" s="7">
        <f t="shared" si="54"/>
        <v>0</v>
      </c>
      <c r="E76" s="7">
        <f t="shared" si="54"/>
        <v>0</v>
      </c>
      <c r="F76" s="7">
        <f t="shared" si="54"/>
        <v>0</v>
      </c>
      <c r="G76" s="7">
        <f t="shared" si="54"/>
        <v>0</v>
      </c>
      <c r="H76" s="7">
        <f t="shared" si="54"/>
        <v>0</v>
      </c>
      <c r="I76" s="7">
        <f t="shared" si="54"/>
        <v>0</v>
      </c>
      <c r="J76" s="7">
        <f t="shared" si="54"/>
        <v>0</v>
      </c>
      <c r="K76" s="7">
        <f t="shared" si="54"/>
        <v>0</v>
      </c>
      <c r="L76" s="7">
        <f t="shared" si="54"/>
        <v>0</v>
      </c>
      <c r="M76" s="13" t="s">
        <v>469</v>
      </c>
      <c r="N76" s="7">
        <f t="shared" si="55"/>
        <v>0</v>
      </c>
      <c r="O76" s="7">
        <f t="shared" si="56"/>
        <v>0</v>
      </c>
      <c r="P76" s="7">
        <f t="shared" si="60"/>
        <v>0</v>
      </c>
      <c r="Q76" s="7">
        <v>0</v>
      </c>
      <c r="R76" s="7">
        <f t="shared" si="57"/>
        <v>0</v>
      </c>
      <c r="S76" s="7"/>
      <c r="T76" s="7"/>
      <c r="U76" s="7">
        <f t="shared" si="62"/>
        <v>0</v>
      </c>
      <c r="V76" s="7">
        <f t="shared" si="61"/>
        <v>0</v>
      </c>
      <c r="W76" s="7"/>
      <c r="X76" s="159">
        <f t="shared" si="63"/>
        <v>0</v>
      </c>
      <c r="Z76" s="182"/>
    </row>
    <row r="77" spans="1:26" x14ac:dyDescent="0.3">
      <c r="A77" s="7">
        <f t="shared" si="54"/>
        <v>0</v>
      </c>
      <c r="B77" s="7">
        <f t="shared" si="54"/>
        <v>0</v>
      </c>
      <c r="C77" s="7">
        <f t="shared" si="54"/>
        <v>0</v>
      </c>
      <c r="D77" s="7">
        <f t="shared" si="54"/>
        <v>0</v>
      </c>
      <c r="E77" s="7">
        <f t="shared" si="54"/>
        <v>0</v>
      </c>
      <c r="F77" s="7">
        <f t="shared" si="54"/>
        <v>0</v>
      </c>
      <c r="G77" s="7">
        <f t="shared" si="54"/>
        <v>0</v>
      </c>
      <c r="H77" s="7">
        <f t="shared" si="54"/>
        <v>0</v>
      </c>
      <c r="I77" s="7">
        <f t="shared" si="54"/>
        <v>0</v>
      </c>
      <c r="J77" s="7">
        <f t="shared" si="54"/>
        <v>0</v>
      </c>
      <c r="K77" s="7">
        <f t="shared" si="54"/>
        <v>0</v>
      </c>
      <c r="L77" s="7">
        <f t="shared" si="54"/>
        <v>0</v>
      </c>
      <c r="M77" s="13" t="s">
        <v>470</v>
      </c>
      <c r="N77" s="7">
        <f t="shared" si="55"/>
        <v>0</v>
      </c>
      <c r="O77" s="7">
        <f t="shared" si="56"/>
        <v>0</v>
      </c>
      <c r="P77" s="7">
        <f t="shared" si="60"/>
        <v>0</v>
      </c>
      <c r="Q77" s="7">
        <v>0</v>
      </c>
      <c r="R77" s="7">
        <f t="shared" si="57"/>
        <v>0</v>
      </c>
      <c r="S77" s="7"/>
      <c r="T77" s="7"/>
      <c r="U77" s="7">
        <f t="shared" si="62"/>
        <v>0</v>
      </c>
      <c r="V77" s="7">
        <f t="shared" si="61"/>
        <v>0</v>
      </c>
      <c r="W77" s="7"/>
      <c r="X77" s="159">
        <f t="shared" si="63"/>
        <v>0</v>
      </c>
      <c r="Z77" s="182"/>
    </row>
    <row r="78" spans="1:26" x14ac:dyDescent="0.3">
      <c r="A78" s="7">
        <f t="shared" si="54"/>
        <v>0</v>
      </c>
      <c r="B78" s="7">
        <f t="shared" si="54"/>
        <v>0</v>
      </c>
      <c r="C78" s="7">
        <f t="shared" si="54"/>
        <v>0</v>
      </c>
      <c r="D78" s="7">
        <f t="shared" si="54"/>
        <v>0</v>
      </c>
      <c r="E78" s="7">
        <f t="shared" si="54"/>
        <v>0</v>
      </c>
      <c r="F78" s="7">
        <f t="shared" si="54"/>
        <v>0</v>
      </c>
      <c r="G78" s="7">
        <f t="shared" si="54"/>
        <v>0</v>
      </c>
      <c r="H78" s="7">
        <f t="shared" si="54"/>
        <v>0</v>
      </c>
      <c r="I78" s="7">
        <f t="shared" si="54"/>
        <v>0</v>
      </c>
      <c r="J78" s="7">
        <f t="shared" si="54"/>
        <v>0</v>
      </c>
      <c r="K78" s="7">
        <f t="shared" si="54"/>
        <v>0</v>
      </c>
      <c r="L78" s="7">
        <f t="shared" si="54"/>
        <v>0</v>
      </c>
      <c r="M78" s="13" t="s">
        <v>471</v>
      </c>
      <c r="N78" s="7">
        <f t="shared" si="55"/>
        <v>0</v>
      </c>
      <c r="O78" s="7">
        <f t="shared" si="56"/>
        <v>0</v>
      </c>
      <c r="P78" s="7">
        <f t="shared" si="60"/>
        <v>0</v>
      </c>
      <c r="Q78" s="7">
        <v>0</v>
      </c>
      <c r="R78" s="7">
        <f t="shared" si="57"/>
        <v>0</v>
      </c>
      <c r="S78" s="7"/>
      <c r="T78" s="7"/>
      <c r="U78" s="7">
        <f t="shared" si="62"/>
        <v>0</v>
      </c>
      <c r="V78" s="7">
        <f t="shared" si="61"/>
        <v>0</v>
      </c>
      <c r="W78" s="7"/>
      <c r="X78" s="159">
        <f t="shared" si="63"/>
        <v>0</v>
      </c>
      <c r="Z78" s="182"/>
    </row>
    <row r="79" spans="1:26" x14ac:dyDescent="0.3">
      <c r="A79" s="7">
        <f t="shared" si="54"/>
        <v>0</v>
      </c>
      <c r="B79" s="7">
        <f t="shared" si="54"/>
        <v>0</v>
      </c>
      <c r="C79" s="7">
        <f t="shared" si="54"/>
        <v>0</v>
      </c>
      <c r="D79" s="7">
        <f t="shared" si="54"/>
        <v>0</v>
      </c>
      <c r="E79" s="7">
        <f t="shared" si="54"/>
        <v>0</v>
      </c>
      <c r="F79" s="7">
        <f t="shared" si="54"/>
        <v>0</v>
      </c>
      <c r="G79" s="7">
        <f t="shared" si="54"/>
        <v>0</v>
      </c>
      <c r="H79" s="7">
        <f t="shared" si="54"/>
        <v>0</v>
      </c>
      <c r="I79" s="7">
        <f t="shared" si="54"/>
        <v>0</v>
      </c>
      <c r="J79" s="7">
        <f t="shared" si="54"/>
        <v>0</v>
      </c>
      <c r="K79" s="7">
        <f t="shared" si="54"/>
        <v>0</v>
      </c>
      <c r="L79" s="7">
        <f t="shared" si="54"/>
        <v>0</v>
      </c>
      <c r="M79" s="13" t="s">
        <v>472</v>
      </c>
      <c r="N79" s="7">
        <f t="shared" si="55"/>
        <v>0</v>
      </c>
      <c r="O79" s="7">
        <f t="shared" si="56"/>
        <v>0</v>
      </c>
      <c r="P79" s="7">
        <f t="shared" si="60"/>
        <v>0</v>
      </c>
      <c r="Q79" s="7">
        <v>0</v>
      </c>
      <c r="R79" s="7">
        <f t="shared" si="57"/>
        <v>0</v>
      </c>
      <c r="S79" s="7"/>
      <c r="T79" s="7"/>
      <c r="U79" s="7">
        <f t="shared" si="62"/>
        <v>0</v>
      </c>
      <c r="V79" s="7">
        <f t="shared" si="61"/>
        <v>0</v>
      </c>
      <c r="W79" s="7"/>
      <c r="X79" s="159">
        <f t="shared" si="63"/>
        <v>0</v>
      </c>
      <c r="Z79" s="182"/>
    </row>
    <row r="80" spans="1:26" x14ac:dyDescent="0.3">
      <c r="A80" s="7">
        <f t="shared" si="54"/>
        <v>0</v>
      </c>
      <c r="B80" s="7">
        <f t="shared" si="54"/>
        <v>0</v>
      </c>
      <c r="C80" s="7">
        <f t="shared" si="54"/>
        <v>0</v>
      </c>
      <c r="D80" s="7">
        <f t="shared" si="54"/>
        <v>0</v>
      </c>
      <c r="E80" s="7">
        <f t="shared" si="54"/>
        <v>0</v>
      </c>
      <c r="F80" s="7">
        <f t="shared" si="54"/>
        <v>0</v>
      </c>
      <c r="G80" s="7">
        <f t="shared" si="54"/>
        <v>0</v>
      </c>
      <c r="H80" s="7">
        <f t="shared" si="54"/>
        <v>0</v>
      </c>
      <c r="I80" s="7">
        <f t="shared" si="54"/>
        <v>0</v>
      </c>
      <c r="J80" s="7">
        <f t="shared" si="54"/>
        <v>0</v>
      </c>
      <c r="K80" s="7">
        <f t="shared" si="54"/>
        <v>0</v>
      </c>
      <c r="L80" s="7">
        <f t="shared" si="54"/>
        <v>0</v>
      </c>
      <c r="M80" s="13" t="s">
        <v>145</v>
      </c>
      <c r="N80" s="7">
        <f t="shared" si="55"/>
        <v>0</v>
      </c>
      <c r="O80" s="7">
        <f t="shared" si="56"/>
        <v>0</v>
      </c>
      <c r="P80" s="7">
        <f t="shared" si="60"/>
        <v>0</v>
      </c>
      <c r="Q80" s="7">
        <v>0</v>
      </c>
      <c r="R80" s="7">
        <f t="shared" si="57"/>
        <v>0</v>
      </c>
      <c r="S80" s="7"/>
      <c r="T80" s="7"/>
      <c r="U80" s="7">
        <f t="shared" si="62"/>
        <v>0</v>
      </c>
      <c r="V80" s="7">
        <f t="shared" si="61"/>
        <v>0</v>
      </c>
      <c r="W80" s="7"/>
      <c r="X80" s="159">
        <f t="shared" si="63"/>
        <v>0</v>
      </c>
      <c r="Z80" s="182"/>
    </row>
    <row r="81" spans="1:26" x14ac:dyDescent="0.3">
      <c r="A81" s="7"/>
      <c r="B81" s="7"/>
      <c r="C81" s="7"/>
      <c r="D81" s="7"/>
      <c r="E81" s="7">
        <f>5354*1.048</f>
        <v>5610.9920000000002</v>
      </c>
      <c r="F81" s="7"/>
      <c r="G81" s="7"/>
      <c r="H81" s="7"/>
      <c r="I81" s="7"/>
      <c r="J81" s="7"/>
      <c r="K81" s="7"/>
      <c r="L81" s="7"/>
      <c r="M81" s="238" t="s">
        <v>473</v>
      </c>
      <c r="N81" s="7">
        <f t="shared" si="55"/>
        <v>0</v>
      </c>
      <c r="O81" s="7">
        <f t="shared" si="56"/>
        <v>5610.9920000000002</v>
      </c>
      <c r="P81" s="7">
        <f t="shared" si="60"/>
        <v>5610.9920000000002</v>
      </c>
      <c r="Q81" s="7">
        <v>5610.9920000000002</v>
      </c>
      <c r="R81" s="7">
        <f t="shared" si="57"/>
        <v>0</v>
      </c>
      <c r="S81" s="7"/>
      <c r="T81" s="7"/>
      <c r="U81" s="7">
        <f t="shared" si="62"/>
        <v>5610.9920000000002</v>
      </c>
      <c r="V81" s="7">
        <f t="shared" si="61"/>
        <v>0</v>
      </c>
      <c r="W81" s="7" t="s">
        <v>290</v>
      </c>
      <c r="X81" s="159">
        <f t="shared" si="63"/>
        <v>0</v>
      </c>
      <c r="Z81" s="182"/>
    </row>
    <row r="82" spans="1:26" x14ac:dyDescent="0.3">
      <c r="A82" s="7">
        <f t="shared" si="54"/>
        <v>0</v>
      </c>
      <c r="B82" s="7">
        <f t="shared" si="54"/>
        <v>0</v>
      </c>
      <c r="C82" s="7">
        <f t="shared" si="54"/>
        <v>0</v>
      </c>
      <c r="D82" s="7">
        <f t="shared" si="54"/>
        <v>0</v>
      </c>
      <c r="E82" s="7">
        <f t="shared" si="54"/>
        <v>0</v>
      </c>
      <c r="F82" s="7">
        <f t="shared" si="54"/>
        <v>0</v>
      </c>
      <c r="G82" s="7">
        <f t="shared" si="54"/>
        <v>0</v>
      </c>
      <c r="H82" s="7">
        <f t="shared" si="54"/>
        <v>0</v>
      </c>
      <c r="I82" s="7">
        <f t="shared" si="54"/>
        <v>0</v>
      </c>
      <c r="J82" s="7">
        <f t="shared" si="54"/>
        <v>0</v>
      </c>
      <c r="K82" s="7">
        <f t="shared" si="54"/>
        <v>0</v>
      </c>
      <c r="L82" s="7">
        <f t="shared" si="54"/>
        <v>0</v>
      </c>
      <c r="M82" s="238" t="s">
        <v>474</v>
      </c>
      <c r="N82" s="7">
        <f t="shared" si="55"/>
        <v>0</v>
      </c>
      <c r="O82" s="7">
        <f t="shared" si="56"/>
        <v>0</v>
      </c>
      <c r="P82" s="7">
        <f t="shared" si="60"/>
        <v>0</v>
      </c>
      <c r="Q82" s="7">
        <v>0</v>
      </c>
      <c r="R82" s="7">
        <f t="shared" si="57"/>
        <v>0</v>
      </c>
      <c r="S82" s="7"/>
      <c r="T82" s="7"/>
      <c r="U82" s="7">
        <f t="shared" si="62"/>
        <v>0</v>
      </c>
      <c r="V82" s="7">
        <f t="shared" si="61"/>
        <v>0</v>
      </c>
      <c r="W82" s="7"/>
      <c r="X82" s="159">
        <f t="shared" si="63"/>
        <v>0</v>
      </c>
      <c r="Z82" s="182"/>
    </row>
    <row r="83" spans="1:26" x14ac:dyDescent="0.3">
      <c r="A83" s="7">
        <f t="shared" si="54"/>
        <v>0</v>
      </c>
      <c r="B83" s="7">
        <f t="shared" si="54"/>
        <v>0</v>
      </c>
      <c r="C83" s="7">
        <f t="shared" si="54"/>
        <v>0</v>
      </c>
      <c r="D83" s="7">
        <f t="shared" si="54"/>
        <v>0</v>
      </c>
      <c r="E83" s="7">
        <f t="shared" si="54"/>
        <v>0</v>
      </c>
      <c r="F83" s="7">
        <f t="shared" si="54"/>
        <v>0</v>
      </c>
      <c r="G83" s="7">
        <f t="shared" si="54"/>
        <v>0</v>
      </c>
      <c r="H83" s="7">
        <f t="shared" si="54"/>
        <v>0</v>
      </c>
      <c r="I83" s="7">
        <f t="shared" si="54"/>
        <v>0</v>
      </c>
      <c r="J83" s="7">
        <f t="shared" si="54"/>
        <v>0</v>
      </c>
      <c r="K83" s="7">
        <f t="shared" si="54"/>
        <v>0</v>
      </c>
      <c r="L83" s="7">
        <f t="shared" si="54"/>
        <v>0</v>
      </c>
      <c r="M83" s="238" t="s">
        <v>148</v>
      </c>
      <c r="N83" s="7">
        <f t="shared" si="55"/>
        <v>0</v>
      </c>
      <c r="O83" s="7">
        <f t="shared" si="56"/>
        <v>0</v>
      </c>
      <c r="P83" s="7">
        <f t="shared" si="60"/>
        <v>0</v>
      </c>
      <c r="Q83" s="7">
        <v>0</v>
      </c>
      <c r="R83" s="7">
        <f t="shared" si="57"/>
        <v>0</v>
      </c>
      <c r="S83" s="7"/>
      <c r="T83" s="7"/>
      <c r="U83" s="7">
        <f t="shared" si="62"/>
        <v>0</v>
      </c>
      <c r="V83" s="7">
        <f t="shared" si="61"/>
        <v>0</v>
      </c>
      <c r="W83" s="7"/>
      <c r="X83" s="159">
        <f t="shared" si="63"/>
        <v>0</v>
      </c>
      <c r="Z83" s="182"/>
    </row>
    <row r="84" spans="1:26" x14ac:dyDescent="0.3">
      <c r="A84" s="7">
        <f t="shared" si="54"/>
        <v>0</v>
      </c>
      <c r="B84" s="7">
        <f t="shared" si="54"/>
        <v>0</v>
      </c>
      <c r="C84" s="7">
        <f t="shared" si="54"/>
        <v>0</v>
      </c>
      <c r="D84" s="7">
        <f t="shared" si="54"/>
        <v>0</v>
      </c>
      <c r="E84" s="7">
        <f t="shared" si="54"/>
        <v>0</v>
      </c>
      <c r="F84" s="7">
        <f t="shared" si="54"/>
        <v>0</v>
      </c>
      <c r="G84" s="7">
        <f t="shared" si="54"/>
        <v>0</v>
      </c>
      <c r="H84" s="7">
        <f t="shared" si="54"/>
        <v>0</v>
      </c>
      <c r="I84" s="7">
        <f t="shared" si="54"/>
        <v>0</v>
      </c>
      <c r="J84" s="7">
        <f t="shared" si="54"/>
        <v>0</v>
      </c>
      <c r="K84" s="7">
        <f t="shared" si="54"/>
        <v>0</v>
      </c>
      <c r="L84" s="7">
        <f t="shared" si="54"/>
        <v>0</v>
      </c>
      <c r="M84" s="13" t="s">
        <v>475</v>
      </c>
      <c r="N84" s="7">
        <f t="shared" si="55"/>
        <v>0</v>
      </c>
      <c r="O84" s="7">
        <f t="shared" si="56"/>
        <v>0</v>
      </c>
      <c r="P84" s="7">
        <f t="shared" si="60"/>
        <v>0</v>
      </c>
      <c r="Q84" s="7">
        <v>0</v>
      </c>
      <c r="R84" s="7">
        <f t="shared" si="57"/>
        <v>0</v>
      </c>
      <c r="S84" s="7"/>
      <c r="T84" s="7"/>
      <c r="U84" s="7">
        <f t="shared" si="62"/>
        <v>0</v>
      </c>
      <c r="V84" s="7">
        <f t="shared" si="61"/>
        <v>0</v>
      </c>
      <c r="W84" s="7"/>
      <c r="X84" s="159">
        <f t="shared" si="63"/>
        <v>0</v>
      </c>
      <c r="Z84" s="182"/>
    </row>
    <row r="85" spans="1:26" x14ac:dyDescent="0.3">
      <c r="A85" s="7">
        <f t="shared" si="54"/>
        <v>0</v>
      </c>
      <c r="B85" s="7">
        <f t="shared" si="54"/>
        <v>0</v>
      </c>
      <c r="C85" s="7">
        <f t="shared" si="54"/>
        <v>0</v>
      </c>
      <c r="D85" s="7">
        <f t="shared" si="54"/>
        <v>0</v>
      </c>
      <c r="E85" s="7">
        <f t="shared" si="54"/>
        <v>0</v>
      </c>
      <c r="F85" s="7">
        <f t="shared" si="54"/>
        <v>0</v>
      </c>
      <c r="G85" s="7">
        <f t="shared" si="54"/>
        <v>0</v>
      </c>
      <c r="H85" s="7">
        <f t="shared" si="54"/>
        <v>0</v>
      </c>
      <c r="I85" s="7">
        <f t="shared" si="54"/>
        <v>0</v>
      </c>
      <c r="J85" s="7">
        <f t="shared" si="54"/>
        <v>0</v>
      </c>
      <c r="K85" s="7">
        <f t="shared" si="54"/>
        <v>0</v>
      </c>
      <c r="L85" s="7">
        <f t="shared" si="54"/>
        <v>0</v>
      </c>
      <c r="M85" s="13" t="s">
        <v>476</v>
      </c>
      <c r="N85" s="7">
        <f t="shared" si="55"/>
        <v>0</v>
      </c>
      <c r="O85" s="7">
        <f t="shared" si="56"/>
        <v>0</v>
      </c>
      <c r="P85" s="7">
        <f t="shared" si="60"/>
        <v>0</v>
      </c>
      <c r="Q85" s="7">
        <v>0</v>
      </c>
      <c r="R85" s="7">
        <f t="shared" si="57"/>
        <v>0</v>
      </c>
      <c r="S85" s="7"/>
      <c r="T85" s="7"/>
      <c r="U85" s="7">
        <f t="shared" si="62"/>
        <v>0</v>
      </c>
      <c r="V85" s="7">
        <f t="shared" si="61"/>
        <v>0</v>
      </c>
      <c r="W85" s="7"/>
      <c r="X85" s="159">
        <f t="shared" si="63"/>
        <v>0</v>
      </c>
      <c r="Z85" s="182"/>
    </row>
    <row r="86" spans="1:26" x14ac:dyDescent="0.3">
      <c r="A86" s="7">
        <f t="shared" si="54"/>
        <v>0</v>
      </c>
      <c r="B86" s="7">
        <f t="shared" si="54"/>
        <v>0</v>
      </c>
      <c r="C86" s="7">
        <f t="shared" si="54"/>
        <v>0</v>
      </c>
      <c r="D86" s="7">
        <f t="shared" si="54"/>
        <v>0</v>
      </c>
      <c r="E86" s="7">
        <f t="shared" si="54"/>
        <v>0</v>
      </c>
      <c r="F86" s="7">
        <f t="shared" si="54"/>
        <v>0</v>
      </c>
      <c r="G86" s="7">
        <f t="shared" si="54"/>
        <v>0</v>
      </c>
      <c r="H86" s="7">
        <f t="shared" si="54"/>
        <v>0</v>
      </c>
      <c r="I86" s="7">
        <f t="shared" si="54"/>
        <v>0</v>
      </c>
      <c r="J86" s="7">
        <f t="shared" si="54"/>
        <v>0</v>
      </c>
      <c r="K86" s="7">
        <f t="shared" si="54"/>
        <v>0</v>
      </c>
      <c r="L86" s="7">
        <f t="shared" si="54"/>
        <v>0</v>
      </c>
      <c r="M86" s="13" t="s">
        <v>151</v>
      </c>
      <c r="N86" s="7">
        <f t="shared" si="55"/>
        <v>0</v>
      </c>
      <c r="O86" s="7">
        <f t="shared" si="56"/>
        <v>0</v>
      </c>
      <c r="P86" s="7">
        <f t="shared" si="60"/>
        <v>0</v>
      </c>
      <c r="Q86" s="7">
        <v>0</v>
      </c>
      <c r="R86" s="7">
        <f t="shared" si="57"/>
        <v>0</v>
      </c>
      <c r="S86" s="7"/>
      <c r="T86" s="7"/>
      <c r="U86" s="7">
        <f t="shared" si="62"/>
        <v>0</v>
      </c>
      <c r="V86" s="7">
        <f t="shared" si="61"/>
        <v>0</v>
      </c>
      <c r="W86" s="7"/>
      <c r="X86" s="159">
        <f t="shared" si="63"/>
        <v>0</v>
      </c>
      <c r="Z86" s="182"/>
    </row>
    <row r="87" spans="1:26" x14ac:dyDescent="0.3">
      <c r="A87" s="7">
        <f t="shared" si="54"/>
        <v>0</v>
      </c>
      <c r="B87" s="7">
        <f t="shared" si="54"/>
        <v>0</v>
      </c>
      <c r="C87" s="7">
        <f t="shared" si="54"/>
        <v>0</v>
      </c>
      <c r="D87" s="7">
        <f t="shared" si="54"/>
        <v>0</v>
      </c>
      <c r="E87" s="7">
        <f t="shared" si="54"/>
        <v>0</v>
      </c>
      <c r="F87" s="7">
        <f t="shared" si="54"/>
        <v>0</v>
      </c>
      <c r="G87" s="7">
        <f t="shared" si="54"/>
        <v>0</v>
      </c>
      <c r="H87" s="7">
        <f t="shared" si="54"/>
        <v>0</v>
      </c>
      <c r="I87" s="7">
        <f t="shared" si="54"/>
        <v>0</v>
      </c>
      <c r="J87" s="7">
        <f t="shared" si="54"/>
        <v>0</v>
      </c>
      <c r="K87" s="7">
        <f t="shared" si="54"/>
        <v>0</v>
      </c>
      <c r="L87" s="7">
        <f t="shared" si="54"/>
        <v>0</v>
      </c>
      <c r="M87" s="13" t="s">
        <v>477</v>
      </c>
      <c r="N87" s="7">
        <f t="shared" si="55"/>
        <v>0</v>
      </c>
      <c r="O87" s="7">
        <f t="shared" si="56"/>
        <v>0</v>
      </c>
      <c r="P87" s="7">
        <f t="shared" si="60"/>
        <v>0</v>
      </c>
      <c r="Q87" s="7">
        <v>0</v>
      </c>
      <c r="R87" s="7">
        <f t="shared" si="57"/>
        <v>0</v>
      </c>
      <c r="S87" s="7"/>
      <c r="T87" s="7"/>
      <c r="U87" s="7">
        <f t="shared" si="62"/>
        <v>0</v>
      </c>
      <c r="V87" s="7">
        <f t="shared" si="61"/>
        <v>0</v>
      </c>
      <c r="W87" s="7"/>
      <c r="X87" s="159">
        <f t="shared" si="63"/>
        <v>0</v>
      </c>
      <c r="Z87" s="182"/>
    </row>
    <row r="88" spans="1:26" x14ac:dyDescent="0.3">
      <c r="A88" s="7">
        <f t="shared" si="54"/>
        <v>0</v>
      </c>
      <c r="B88" s="7">
        <f t="shared" si="54"/>
        <v>0</v>
      </c>
      <c r="C88" s="7">
        <f t="shared" si="54"/>
        <v>0</v>
      </c>
      <c r="D88" s="7">
        <f t="shared" ref="A88:L89" si="64">$Q88/12</f>
        <v>0</v>
      </c>
      <c r="E88" s="7">
        <f t="shared" si="64"/>
        <v>0</v>
      </c>
      <c r="F88" s="7">
        <f t="shared" si="64"/>
        <v>0</v>
      </c>
      <c r="G88" s="7">
        <f t="shared" si="64"/>
        <v>0</v>
      </c>
      <c r="H88" s="7">
        <f t="shared" si="64"/>
        <v>0</v>
      </c>
      <c r="I88" s="7">
        <f t="shared" si="64"/>
        <v>0</v>
      </c>
      <c r="J88" s="7">
        <f t="shared" si="64"/>
        <v>0</v>
      </c>
      <c r="K88" s="7">
        <f t="shared" si="64"/>
        <v>0</v>
      </c>
      <c r="L88" s="7">
        <f t="shared" si="64"/>
        <v>0</v>
      </c>
      <c r="M88" s="13" t="s">
        <v>478</v>
      </c>
      <c r="N88" s="7">
        <f t="shared" si="55"/>
        <v>0</v>
      </c>
      <c r="O88" s="7">
        <f t="shared" si="56"/>
        <v>0</v>
      </c>
      <c r="P88" s="7">
        <f t="shared" si="60"/>
        <v>0</v>
      </c>
      <c r="Q88" s="7">
        <v>0</v>
      </c>
      <c r="R88" s="7">
        <f t="shared" si="57"/>
        <v>0</v>
      </c>
      <c r="S88" s="7"/>
      <c r="T88" s="7"/>
      <c r="U88" s="7">
        <f t="shared" si="62"/>
        <v>0</v>
      </c>
      <c r="V88" s="7">
        <f t="shared" si="61"/>
        <v>0</v>
      </c>
      <c r="W88" s="7"/>
      <c r="X88" s="159">
        <f t="shared" si="63"/>
        <v>0</v>
      </c>
      <c r="Z88" s="182"/>
    </row>
    <row r="89" spans="1:26" x14ac:dyDescent="0.3">
      <c r="A89" s="11">
        <f t="shared" si="64"/>
        <v>0</v>
      </c>
      <c r="B89" s="11">
        <f t="shared" si="64"/>
        <v>0</v>
      </c>
      <c r="C89" s="11">
        <f t="shared" si="64"/>
        <v>0</v>
      </c>
      <c r="D89" s="11">
        <f t="shared" si="64"/>
        <v>0</v>
      </c>
      <c r="E89" s="11">
        <f t="shared" si="64"/>
        <v>0</v>
      </c>
      <c r="F89" s="11">
        <f t="shared" si="64"/>
        <v>0</v>
      </c>
      <c r="G89" s="11">
        <f t="shared" si="64"/>
        <v>0</v>
      </c>
      <c r="H89" s="11">
        <f t="shared" si="64"/>
        <v>0</v>
      </c>
      <c r="I89" s="11">
        <f t="shared" si="64"/>
        <v>0</v>
      </c>
      <c r="J89" s="11">
        <f t="shared" si="64"/>
        <v>0</v>
      </c>
      <c r="K89" s="11">
        <f t="shared" si="64"/>
        <v>0</v>
      </c>
      <c r="L89" s="11">
        <f t="shared" si="64"/>
        <v>0</v>
      </c>
      <c r="M89" s="238" t="s">
        <v>479</v>
      </c>
      <c r="N89" s="11">
        <f t="shared" si="55"/>
        <v>0</v>
      </c>
      <c r="O89" s="11">
        <f t="shared" si="56"/>
        <v>0</v>
      </c>
      <c r="P89" s="11">
        <f t="shared" si="60"/>
        <v>0</v>
      </c>
      <c r="Q89" s="11">
        <v>0</v>
      </c>
      <c r="R89" s="11">
        <f t="shared" si="57"/>
        <v>0</v>
      </c>
      <c r="S89" s="11"/>
      <c r="T89" s="11"/>
      <c r="U89" s="11">
        <f t="shared" si="62"/>
        <v>0</v>
      </c>
      <c r="V89" s="11">
        <f t="shared" si="61"/>
        <v>0</v>
      </c>
      <c r="W89" s="11"/>
      <c r="X89" s="160">
        <f t="shared" si="63"/>
        <v>0</v>
      </c>
      <c r="Z89" s="182"/>
    </row>
    <row r="90" spans="1:26" ht="15" thickBot="1" x14ac:dyDescent="0.35">
      <c r="A90" s="93"/>
      <c r="B90" s="93"/>
      <c r="C90" s="93"/>
      <c r="D90" s="94"/>
      <c r="E90" s="91"/>
      <c r="F90" s="91"/>
      <c r="G90" s="91"/>
      <c r="H90" s="91"/>
      <c r="I90" s="91"/>
      <c r="J90" s="91"/>
      <c r="K90" s="92"/>
      <c r="L90" s="92"/>
      <c r="M90" s="13"/>
      <c r="N90" s="91">
        <f t="shared" ref="N90:N128" si="65">SUM(A90:J90)</f>
        <v>0</v>
      </c>
      <c r="O90" s="91">
        <f t="shared" ref="O90:O128" si="66">SUM(K90:L90)</f>
        <v>0</v>
      </c>
      <c r="P90" s="91">
        <f t="shared" si="60"/>
        <v>0</v>
      </c>
      <c r="Q90" s="93"/>
      <c r="R90" s="93"/>
      <c r="S90" s="93"/>
      <c r="T90" s="93"/>
      <c r="U90" s="93">
        <f t="shared" si="62"/>
        <v>0</v>
      </c>
      <c r="V90" s="93">
        <f t="shared" si="61"/>
        <v>0</v>
      </c>
      <c r="W90" s="93"/>
      <c r="X90" s="208"/>
      <c r="Z90" s="182"/>
    </row>
    <row r="91" spans="1:26" x14ac:dyDescent="0.3">
      <c r="A91" s="4">
        <f>SUM(A67:A89)</f>
        <v>24495.590446299968</v>
      </c>
      <c r="B91" s="4">
        <f t="shared" ref="B91:L91" si="67">SUM(B67:B89)</f>
        <v>24495.590446299968</v>
      </c>
      <c r="C91" s="4">
        <f t="shared" si="67"/>
        <v>24495.590446299968</v>
      </c>
      <c r="D91" s="4">
        <f t="shared" si="67"/>
        <v>24495.590446299968</v>
      </c>
      <c r="E91" s="4">
        <f t="shared" si="67"/>
        <v>30106.582446299966</v>
      </c>
      <c r="F91" s="4">
        <f t="shared" si="67"/>
        <v>24495.590446299968</v>
      </c>
      <c r="G91" s="4">
        <f t="shared" si="67"/>
        <v>24495.590446299968</v>
      </c>
      <c r="H91" s="4">
        <f t="shared" si="67"/>
        <v>24495.590446299968</v>
      </c>
      <c r="I91" s="4">
        <f t="shared" si="67"/>
        <v>24495.590446299968</v>
      </c>
      <c r="J91" s="4">
        <f t="shared" si="67"/>
        <v>24495.590446299968</v>
      </c>
      <c r="K91" s="4">
        <f t="shared" si="67"/>
        <v>24495.590446299968</v>
      </c>
      <c r="L91" s="4">
        <f t="shared" si="67"/>
        <v>24495.590446299968</v>
      </c>
      <c r="M91" s="13" t="s">
        <v>155</v>
      </c>
      <c r="N91" s="4">
        <f t="shared" ref="N91:O91" si="68">SUM(N67:N89)</f>
        <v>0</v>
      </c>
      <c r="O91" s="4">
        <f t="shared" si="68"/>
        <v>299558.07735559967</v>
      </c>
      <c r="P91" s="4">
        <f t="shared" ref="P91:Q91" si="69">SUM(P67:P89)</f>
        <v>299558.07735559967</v>
      </c>
      <c r="Q91" s="4">
        <f t="shared" si="69"/>
        <v>299558.07735559967</v>
      </c>
      <c r="R91" s="4">
        <f>SUM(R67:R89)</f>
        <v>0</v>
      </c>
      <c r="S91" s="4">
        <f t="shared" ref="S91:W91" si="70">SUM(S67:S89)</f>
        <v>0</v>
      </c>
      <c r="T91" s="4">
        <f>SUM(T67:T89)</f>
        <v>0</v>
      </c>
      <c r="U91" s="4">
        <f t="shared" si="62"/>
        <v>299558.07735559967</v>
      </c>
      <c r="V91" s="4">
        <f t="shared" si="61"/>
        <v>0</v>
      </c>
      <c r="W91" s="4">
        <f t="shared" si="70"/>
        <v>0</v>
      </c>
      <c r="X91" s="162">
        <f t="shared" si="63"/>
        <v>0</v>
      </c>
      <c r="Z91" s="182"/>
    </row>
    <row r="92" spans="1:26" x14ac:dyDescent="0.3">
      <c r="A92" s="81"/>
      <c r="B92" s="81"/>
      <c r="C92" s="81"/>
      <c r="D92" s="82"/>
      <c r="E92" s="86"/>
      <c r="F92" s="86"/>
      <c r="G92" s="86"/>
      <c r="H92" s="87"/>
      <c r="I92" s="87"/>
      <c r="J92" s="87"/>
      <c r="K92" s="84"/>
      <c r="L92" s="84"/>
      <c r="M92" s="80"/>
      <c r="N92" s="86">
        <f t="shared" si="65"/>
        <v>0</v>
      </c>
      <c r="O92" s="86">
        <f t="shared" si="66"/>
        <v>0</v>
      </c>
      <c r="P92" s="86">
        <f t="shared" si="60"/>
        <v>0</v>
      </c>
      <c r="Q92" s="81"/>
      <c r="R92" s="81"/>
      <c r="S92" s="81"/>
      <c r="T92" s="81"/>
      <c r="U92" s="81">
        <f t="shared" si="62"/>
        <v>0</v>
      </c>
      <c r="V92" s="81">
        <f t="shared" si="61"/>
        <v>0</v>
      </c>
      <c r="W92" s="81"/>
      <c r="X92" s="204"/>
      <c r="Z92" s="182"/>
    </row>
    <row r="93" spans="1:26" x14ac:dyDescent="0.3">
      <c r="A93" s="8">
        <f>1230*1.048</f>
        <v>1289.04</v>
      </c>
      <c r="B93" s="8"/>
      <c r="C93" s="8">
        <f>1230*1.048</f>
        <v>1289.04</v>
      </c>
      <c r="D93" s="8"/>
      <c r="E93" s="8"/>
      <c r="F93" s="8"/>
      <c r="G93" s="8"/>
      <c r="H93" s="8"/>
      <c r="I93" s="8"/>
      <c r="J93" s="8"/>
      <c r="K93" s="8"/>
      <c r="L93" s="8"/>
      <c r="M93" s="238" t="s">
        <v>480</v>
      </c>
      <c r="N93" s="8">
        <f t="shared" ref="N93:N100" si="71">SUM(0)</f>
        <v>0</v>
      </c>
      <c r="O93" s="8">
        <f t="shared" ref="O93:O100" si="72">SUM(A93:L93)</f>
        <v>2578.08</v>
      </c>
      <c r="P93" s="8">
        <f t="shared" si="60"/>
        <v>2578.08</v>
      </c>
      <c r="Q93" s="8">
        <v>2578.08</v>
      </c>
      <c r="R93" s="8">
        <f t="shared" ref="R93:R100" si="73">Q93-P93</f>
        <v>0</v>
      </c>
      <c r="S93" s="8"/>
      <c r="T93" s="8">
        <v>2460</v>
      </c>
      <c r="U93" s="8">
        <f t="shared" si="62"/>
        <v>5038.08</v>
      </c>
      <c r="V93" s="8">
        <f t="shared" si="61"/>
        <v>2460</v>
      </c>
      <c r="W93" s="8"/>
      <c r="X93" s="158">
        <f t="shared" si="63"/>
        <v>0</v>
      </c>
      <c r="Z93" s="182"/>
    </row>
    <row r="94" spans="1:26" x14ac:dyDescent="0.3">
      <c r="A94" s="7">
        <f>435*1.048</f>
        <v>455.88</v>
      </c>
      <c r="B94" s="7"/>
      <c r="C94" s="7">
        <f>435*1.048</f>
        <v>455.88</v>
      </c>
      <c r="D94" s="7"/>
      <c r="E94" s="7"/>
      <c r="F94" s="7"/>
      <c r="G94" s="7"/>
      <c r="H94" s="7"/>
      <c r="I94" s="7"/>
      <c r="J94" s="7"/>
      <c r="K94" s="7"/>
      <c r="L94" s="7"/>
      <c r="M94" s="13" t="s">
        <v>481</v>
      </c>
      <c r="N94" s="7">
        <f t="shared" si="71"/>
        <v>0</v>
      </c>
      <c r="O94" s="7">
        <f t="shared" si="72"/>
        <v>911.76</v>
      </c>
      <c r="P94" s="7">
        <f t="shared" si="60"/>
        <v>911.76</v>
      </c>
      <c r="Q94" s="7">
        <v>911.76</v>
      </c>
      <c r="R94" s="7">
        <f t="shared" si="73"/>
        <v>0</v>
      </c>
      <c r="S94" s="7"/>
      <c r="T94" s="7">
        <v>870</v>
      </c>
      <c r="U94" s="7">
        <f t="shared" si="62"/>
        <v>1781.76</v>
      </c>
      <c r="V94" s="7">
        <f t="shared" si="61"/>
        <v>870</v>
      </c>
      <c r="W94" s="7"/>
      <c r="X94" s="159">
        <f t="shared" si="63"/>
        <v>0</v>
      </c>
      <c r="Z94" s="182"/>
    </row>
    <row r="95" spans="1:26" x14ac:dyDescent="0.3">
      <c r="A95" s="7">
        <f t="shared" ref="A95:L95" si="74">$Q95/12</f>
        <v>0</v>
      </c>
      <c r="B95" s="7">
        <f t="shared" si="74"/>
        <v>0</v>
      </c>
      <c r="C95" s="7">
        <f t="shared" si="74"/>
        <v>0</v>
      </c>
      <c r="D95" s="7">
        <f t="shared" si="74"/>
        <v>0</v>
      </c>
      <c r="E95" s="7">
        <f t="shared" si="74"/>
        <v>0</v>
      </c>
      <c r="F95" s="7">
        <f t="shared" si="74"/>
        <v>0</v>
      </c>
      <c r="G95" s="7">
        <f t="shared" si="74"/>
        <v>0</v>
      </c>
      <c r="H95" s="7">
        <f t="shared" si="74"/>
        <v>0</v>
      </c>
      <c r="I95" s="7">
        <f t="shared" si="74"/>
        <v>0</v>
      </c>
      <c r="J95" s="7">
        <f t="shared" si="74"/>
        <v>0</v>
      </c>
      <c r="K95" s="7">
        <f t="shared" si="74"/>
        <v>0</v>
      </c>
      <c r="L95" s="7">
        <f t="shared" si="74"/>
        <v>0</v>
      </c>
      <c r="M95" s="13" t="s">
        <v>482</v>
      </c>
      <c r="N95" s="7">
        <f t="shared" si="71"/>
        <v>0</v>
      </c>
      <c r="O95" s="7">
        <f t="shared" si="72"/>
        <v>0</v>
      </c>
      <c r="P95" s="7">
        <f t="shared" si="60"/>
        <v>0</v>
      </c>
      <c r="Q95" s="7">
        <v>0</v>
      </c>
      <c r="R95" s="7">
        <f t="shared" si="73"/>
        <v>0</v>
      </c>
      <c r="S95" s="7"/>
      <c r="T95" s="7"/>
      <c r="U95" s="7">
        <f t="shared" si="62"/>
        <v>0</v>
      </c>
      <c r="V95" s="7">
        <f t="shared" si="61"/>
        <v>0</v>
      </c>
      <c r="W95" s="7"/>
      <c r="X95" s="159">
        <f t="shared" si="63"/>
        <v>0</v>
      </c>
      <c r="Z95" s="182"/>
    </row>
    <row r="96" spans="1:26" x14ac:dyDescent="0.3">
      <c r="A96" s="7">
        <f>323*1.048</f>
        <v>338.50400000000002</v>
      </c>
      <c r="B96" s="7">
        <f t="shared" ref="B96:L96" si="75">323*1.048</f>
        <v>338.50400000000002</v>
      </c>
      <c r="C96" s="7">
        <f t="shared" si="75"/>
        <v>338.50400000000002</v>
      </c>
      <c r="D96" s="7">
        <f t="shared" si="75"/>
        <v>338.50400000000002</v>
      </c>
      <c r="E96" s="7">
        <f t="shared" si="75"/>
        <v>338.50400000000002</v>
      </c>
      <c r="F96" s="7">
        <f t="shared" si="75"/>
        <v>338.50400000000002</v>
      </c>
      <c r="G96" s="7">
        <f t="shared" si="75"/>
        <v>338.50400000000002</v>
      </c>
      <c r="H96" s="7">
        <f t="shared" si="75"/>
        <v>338.50400000000002</v>
      </c>
      <c r="I96" s="7">
        <f t="shared" si="75"/>
        <v>338.50400000000002</v>
      </c>
      <c r="J96" s="7">
        <f t="shared" si="75"/>
        <v>338.50400000000002</v>
      </c>
      <c r="K96" s="7">
        <f t="shared" si="75"/>
        <v>338.50400000000002</v>
      </c>
      <c r="L96" s="7">
        <f t="shared" si="75"/>
        <v>338.50400000000002</v>
      </c>
      <c r="M96" s="13" t="s">
        <v>483</v>
      </c>
      <c r="N96" s="7">
        <f t="shared" si="71"/>
        <v>0</v>
      </c>
      <c r="O96" s="7">
        <f t="shared" si="72"/>
        <v>4062.0479999999993</v>
      </c>
      <c r="P96" s="7">
        <f t="shared" si="60"/>
        <v>4062.0479999999993</v>
      </c>
      <c r="Q96" s="7">
        <v>4062.0479999999993</v>
      </c>
      <c r="R96" s="7">
        <f t="shared" si="73"/>
        <v>0</v>
      </c>
      <c r="S96" s="7"/>
      <c r="T96" s="7">
        <v>2941</v>
      </c>
      <c r="U96" s="7">
        <f t="shared" si="62"/>
        <v>7003.0479999999989</v>
      </c>
      <c r="V96" s="7">
        <f t="shared" si="61"/>
        <v>2940.9999999999995</v>
      </c>
      <c r="W96" s="7" t="s">
        <v>291</v>
      </c>
      <c r="X96" s="159">
        <f t="shared" si="63"/>
        <v>0</v>
      </c>
      <c r="Z96" s="182"/>
    </row>
    <row r="97" spans="1:26" x14ac:dyDescent="0.3">
      <c r="A97" s="7">
        <f>13883*1.048</f>
        <v>14549.384</v>
      </c>
      <c r="B97" s="7">
        <f t="shared" ref="B97:K97" si="76">13883*1.048</f>
        <v>14549.384</v>
      </c>
      <c r="C97" s="7">
        <f t="shared" si="76"/>
        <v>14549.384</v>
      </c>
      <c r="D97" s="7">
        <f t="shared" si="76"/>
        <v>14549.384</v>
      </c>
      <c r="E97" s="7">
        <f t="shared" si="76"/>
        <v>14549.384</v>
      </c>
      <c r="F97" s="7">
        <f t="shared" si="76"/>
        <v>14549.384</v>
      </c>
      <c r="G97" s="7">
        <f t="shared" si="76"/>
        <v>14549.384</v>
      </c>
      <c r="H97" s="7">
        <f t="shared" si="76"/>
        <v>14549.384</v>
      </c>
      <c r="I97" s="7">
        <f t="shared" si="76"/>
        <v>14549.384</v>
      </c>
      <c r="J97" s="7">
        <f t="shared" si="76"/>
        <v>14549.384</v>
      </c>
      <c r="K97" s="7">
        <f t="shared" si="76"/>
        <v>14549.384</v>
      </c>
      <c r="L97" s="7">
        <f>(13883*1.048)-7.84318861278007</f>
        <v>14541.54081138722</v>
      </c>
      <c r="M97" s="13" t="s">
        <v>484</v>
      </c>
      <c r="N97" s="7">
        <f t="shared" si="71"/>
        <v>0</v>
      </c>
      <c r="O97" s="7">
        <f t="shared" si="72"/>
        <v>174584.76481138723</v>
      </c>
      <c r="P97" s="7">
        <f t="shared" si="60"/>
        <v>174584.76481138723</v>
      </c>
      <c r="Q97" s="7">
        <v>174584.76481138723</v>
      </c>
      <c r="R97" s="7">
        <f t="shared" si="73"/>
        <v>0</v>
      </c>
      <c r="S97" s="7"/>
      <c r="T97" s="7"/>
      <c r="U97" s="7">
        <f t="shared" si="62"/>
        <v>174584.76481138723</v>
      </c>
      <c r="V97" s="7">
        <f t="shared" si="61"/>
        <v>0</v>
      </c>
      <c r="W97" s="7"/>
      <c r="X97" s="159">
        <f t="shared" si="63"/>
        <v>0</v>
      </c>
      <c r="Z97" s="182"/>
    </row>
    <row r="98" spans="1:26" x14ac:dyDescent="0.3">
      <c r="A98" s="7">
        <f>149*1.048</f>
        <v>156.15200000000002</v>
      </c>
      <c r="B98" s="7">
        <f t="shared" ref="B98:K98" si="77">149*1.048</f>
        <v>156.15200000000002</v>
      </c>
      <c r="C98" s="7">
        <f t="shared" si="77"/>
        <v>156.15200000000002</v>
      </c>
      <c r="D98" s="7">
        <f t="shared" si="77"/>
        <v>156.15200000000002</v>
      </c>
      <c r="E98" s="7">
        <f t="shared" si="77"/>
        <v>156.15200000000002</v>
      </c>
      <c r="F98" s="7">
        <f t="shared" si="77"/>
        <v>156.15200000000002</v>
      </c>
      <c r="G98" s="7">
        <f t="shared" si="77"/>
        <v>156.15200000000002</v>
      </c>
      <c r="H98" s="7">
        <f t="shared" si="77"/>
        <v>156.15200000000002</v>
      </c>
      <c r="I98" s="7">
        <f t="shared" si="77"/>
        <v>156.15200000000002</v>
      </c>
      <c r="J98" s="7">
        <f t="shared" si="77"/>
        <v>156.15200000000002</v>
      </c>
      <c r="K98" s="7">
        <f t="shared" si="77"/>
        <v>156.15200000000002</v>
      </c>
      <c r="L98" s="7">
        <f>(149*1.048)-6.32819551599914</f>
        <v>149.82380448400087</v>
      </c>
      <c r="M98" s="13" t="s">
        <v>485</v>
      </c>
      <c r="N98" s="7">
        <f t="shared" si="71"/>
        <v>0</v>
      </c>
      <c r="O98" s="7">
        <f t="shared" si="72"/>
        <v>1867.4958044840012</v>
      </c>
      <c r="P98" s="7">
        <f t="shared" si="60"/>
        <v>1867.4958044840012</v>
      </c>
      <c r="Q98" s="7">
        <v>1867.4958044840012</v>
      </c>
      <c r="R98" s="7">
        <f t="shared" si="73"/>
        <v>0</v>
      </c>
      <c r="S98" s="7"/>
      <c r="T98" s="7"/>
      <c r="U98" s="7">
        <f t="shared" si="62"/>
        <v>1867.4958044840012</v>
      </c>
      <c r="V98" s="7">
        <f t="shared" si="61"/>
        <v>0</v>
      </c>
      <c r="W98" s="7"/>
      <c r="X98" s="159">
        <f t="shared" si="63"/>
        <v>0</v>
      </c>
      <c r="Z98" s="182"/>
    </row>
    <row r="99" spans="1:26" x14ac:dyDescent="0.3">
      <c r="A99" s="7">
        <f>38571*1.048</f>
        <v>40422.408000000003</v>
      </c>
      <c r="B99" s="7">
        <f t="shared" ref="B99:K99" si="78">38571*1.048</f>
        <v>40422.408000000003</v>
      </c>
      <c r="C99" s="7">
        <f t="shared" si="78"/>
        <v>40422.408000000003</v>
      </c>
      <c r="D99" s="7">
        <f t="shared" si="78"/>
        <v>40422.408000000003</v>
      </c>
      <c r="E99" s="7">
        <f t="shared" si="78"/>
        <v>40422.408000000003</v>
      </c>
      <c r="F99" s="7">
        <f t="shared" si="78"/>
        <v>40422.408000000003</v>
      </c>
      <c r="G99" s="7">
        <f t="shared" si="78"/>
        <v>40422.408000000003</v>
      </c>
      <c r="H99" s="7">
        <f t="shared" si="78"/>
        <v>40422.408000000003</v>
      </c>
      <c r="I99" s="7">
        <f t="shared" si="78"/>
        <v>40422.408000000003</v>
      </c>
      <c r="J99" s="7">
        <f t="shared" si="78"/>
        <v>40422.408000000003</v>
      </c>
      <c r="K99" s="7">
        <f t="shared" si="78"/>
        <v>40422.408000000003</v>
      </c>
      <c r="L99" s="7">
        <f>(38571*1.048)--1.30999999999767</f>
        <v>40423.718000000001</v>
      </c>
      <c r="M99" s="13" t="s">
        <v>486</v>
      </c>
      <c r="N99" s="7">
        <f t="shared" si="71"/>
        <v>0</v>
      </c>
      <c r="O99" s="7">
        <f t="shared" si="72"/>
        <v>485070.20600000001</v>
      </c>
      <c r="P99" s="7">
        <f t="shared" si="60"/>
        <v>485070.20600000001</v>
      </c>
      <c r="Q99" s="7">
        <v>485070.20600000001</v>
      </c>
      <c r="R99" s="7">
        <f t="shared" si="73"/>
        <v>0</v>
      </c>
      <c r="S99" s="7"/>
      <c r="T99" s="7">
        <v>-11071</v>
      </c>
      <c r="U99" s="7">
        <f t="shared" si="62"/>
        <v>473999.20600000001</v>
      </c>
      <c r="V99" s="7">
        <f t="shared" si="61"/>
        <v>-11071</v>
      </c>
      <c r="W99" s="7" t="s">
        <v>292</v>
      </c>
      <c r="X99" s="159">
        <f t="shared" si="63"/>
        <v>0</v>
      </c>
      <c r="Z99" s="182"/>
    </row>
    <row r="100" spans="1:26" x14ac:dyDescent="0.3">
      <c r="A100" s="11">
        <f>2400*1.048</f>
        <v>2515.2000000000003</v>
      </c>
      <c r="B100" s="11"/>
      <c r="C100" s="11">
        <f>2400*1.048</f>
        <v>2515.2000000000003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238" t="s">
        <v>487</v>
      </c>
      <c r="N100" s="11">
        <f t="shared" si="71"/>
        <v>0</v>
      </c>
      <c r="O100" s="11">
        <f t="shared" si="72"/>
        <v>5030.4000000000005</v>
      </c>
      <c r="P100" s="11">
        <f t="shared" si="60"/>
        <v>5030.4000000000005</v>
      </c>
      <c r="Q100" s="11">
        <v>5030.4000000000005</v>
      </c>
      <c r="R100" s="11">
        <f t="shared" si="73"/>
        <v>0</v>
      </c>
      <c r="S100" s="11"/>
      <c r="T100" s="11">
        <v>4800</v>
      </c>
      <c r="U100" s="11">
        <f t="shared" si="62"/>
        <v>9830.4000000000015</v>
      </c>
      <c r="V100" s="11">
        <f t="shared" si="61"/>
        <v>4800.0000000000009</v>
      </c>
      <c r="W100" s="11"/>
      <c r="X100" s="160">
        <f t="shared" si="63"/>
        <v>0</v>
      </c>
      <c r="Z100" s="182"/>
    </row>
    <row r="101" spans="1:26" ht="15" thickBot="1" x14ac:dyDescent="0.35">
      <c r="A101" s="89"/>
      <c r="B101" s="89"/>
      <c r="C101" s="89"/>
      <c r="D101" s="90"/>
      <c r="E101" s="91"/>
      <c r="F101" s="91"/>
      <c r="G101" s="91"/>
      <c r="H101" s="91"/>
      <c r="I101" s="91"/>
      <c r="J101" s="91"/>
      <c r="K101" s="92"/>
      <c r="L101" s="92"/>
      <c r="M101" s="13"/>
      <c r="N101" s="91">
        <f t="shared" si="65"/>
        <v>0</v>
      </c>
      <c r="O101" s="91">
        <f t="shared" si="66"/>
        <v>0</v>
      </c>
      <c r="P101" s="91">
        <f t="shared" si="60"/>
        <v>0</v>
      </c>
      <c r="Q101" s="89"/>
      <c r="R101" s="89"/>
      <c r="S101" s="89"/>
      <c r="T101" s="89"/>
      <c r="U101" s="89">
        <f t="shared" si="62"/>
        <v>0</v>
      </c>
      <c r="V101" s="89">
        <f t="shared" si="61"/>
        <v>0</v>
      </c>
      <c r="W101" s="89"/>
      <c r="X101" s="207"/>
      <c r="Z101" s="182"/>
    </row>
    <row r="102" spans="1:26" x14ac:dyDescent="0.3">
      <c r="A102" s="4">
        <f>SUM(A93:A100)</f>
        <v>59726.567999999999</v>
      </c>
      <c r="B102" s="4">
        <f t="shared" ref="B102:L102" si="79">SUM(B93:B100)</f>
        <v>55466.448000000004</v>
      </c>
      <c r="C102" s="4">
        <f t="shared" si="79"/>
        <v>59726.567999999999</v>
      </c>
      <c r="D102" s="4">
        <f t="shared" si="79"/>
        <v>55466.448000000004</v>
      </c>
      <c r="E102" s="4">
        <f t="shared" si="79"/>
        <v>55466.448000000004</v>
      </c>
      <c r="F102" s="4">
        <f t="shared" si="79"/>
        <v>55466.448000000004</v>
      </c>
      <c r="G102" s="4">
        <f t="shared" si="79"/>
        <v>55466.448000000004</v>
      </c>
      <c r="H102" s="4">
        <f t="shared" si="79"/>
        <v>55466.448000000004</v>
      </c>
      <c r="I102" s="4">
        <f t="shared" si="79"/>
        <v>55466.448000000004</v>
      </c>
      <c r="J102" s="4">
        <f t="shared" si="79"/>
        <v>55466.448000000004</v>
      </c>
      <c r="K102" s="4">
        <f t="shared" si="79"/>
        <v>55466.448000000004</v>
      </c>
      <c r="L102" s="4">
        <f t="shared" si="79"/>
        <v>55453.586615871223</v>
      </c>
      <c r="M102" s="13" t="s">
        <v>166</v>
      </c>
      <c r="N102" s="4">
        <f t="shared" ref="N102:O102" si="80">SUM(N93:N100)</f>
        <v>0</v>
      </c>
      <c r="O102" s="4">
        <f t="shared" si="80"/>
        <v>674104.75461587124</v>
      </c>
      <c r="P102" s="4">
        <f t="shared" ref="P102:Q102" si="81">SUM(P93:P100)</f>
        <v>674104.75461587124</v>
      </c>
      <c r="Q102" s="4">
        <f t="shared" si="81"/>
        <v>674104.75461587124</v>
      </c>
      <c r="R102" s="4">
        <f t="shared" ref="R102:W102" si="82">SUM(R93:R100)</f>
        <v>0</v>
      </c>
      <c r="S102" s="4">
        <f t="shared" ref="S102" si="83">SUM(S93:S100)</f>
        <v>0</v>
      </c>
      <c r="T102" s="4">
        <f>SUM(T93:T100)</f>
        <v>0</v>
      </c>
      <c r="U102" s="4">
        <f t="shared" si="62"/>
        <v>674104.75461587124</v>
      </c>
      <c r="V102" s="4">
        <f t="shared" si="61"/>
        <v>0</v>
      </c>
      <c r="W102" s="4">
        <f t="shared" si="82"/>
        <v>0</v>
      </c>
      <c r="X102" s="162">
        <f t="shared" si="63"/>
        <v>0</v>
      </c>
      <c r="Z102" s="182"/>
    </row>
    <row r="103" spans="1:26" x14ac:dyDescent="0.3">
      <c r="A103" s="81"/>
      <c r="B103" s="81"/>
      <c r="C103" s="81"/>
      <c r="D103" s="82"/>
      <c r="E103" s="86"/>
      <c r="F103" s="86"/>
      <c r="G103" s="86"/>
      <c r="H103" s="87"/>
      <c r="I103" s="87"/>
      <c r="J103" s="87"/>
      <c r="K103" s="84"/>
      <c r="L103" s="84"/>
      <c r="M103" s="80"/>
      <c r="N103" s="86">
        <f t="shared" si="65"/>
        <v>0</v>
      </c>
      <c r="O103" s="86">
        <f t="shared" si="66"/>
        <v>0</v>
      </c>
      <c r="P103" s="86">
        <f t="shared" si="60"/>
        <v>0</v>
      </c>
      <c r="Q103" s="81">
        <v>0</v>
      </c>
      <c r="R103" s="81"/>
      <c r="S103" s="81"/>
      <c r="T103" s="81"/>
      <c r="U103" s="81">
        <f t="shared" si="62"/>
        <v>0</v>
      </c>
      <c r="V103" s="81">
        <f t="shared" si="61"/>
        <v>0</v>
      </c>
      <c r="W103" s="81"/>
      <c r="X103" s="204"/>
      <c r="Z103" s="182"/>
    </row>
    <row r="104" spans="1:26" x14ac:dyDescent="0.3">
      <c r="A104" s="8">
        <f>167*1.048</f>
        <v>175.01600000000002</v>
      </c>
      <c r="B104" s="8">
        <f t="shared" ref="B104:L104" si="84">167*1.048</f>
        <v>175.01600000000002</v>
      </c>
      <c r="C104" s="8">
        <f t="shared" si="84"/>
        <v>175.01600000000002</v>
      </c>
      <c r="D104" s="8">
        <f t="shared" si="84"/>
        <v>175.01600000000002</v>
      </c>
      <c r="E104" s="8">
        <f t="shared" si="84"/>
        <v>175.01600000000002</v>
      </c>
      <c r="F104" s="8">
        <f t="shared" si="84"/>
        <v>175.01600000000002</v>
      </c>
      <c r="G104" s="8">
        <f t="shared" si="84"/>
        <v>175.01600000000002</v>
      </c>
      <c r="H104" s="8">
        <f t="shared" si="84"/>
        <v>175.01600000000002</v>
      </c>
      <c r="I104" s="8">
        <f t="shared" si="84"/>
        <v>175.01600000000002</v>
      </c>
      <c r="J104" s="8">
        <f t="shared" si="84"/>
        <v>175.01600000000002</v>
      </c>
      <c r="K104" s="8">
        <f t="shared" si="84"/>
        <v>175.01600000000002</v>
      </c>
      <c r="L104" s="8">
        <f t="shared" si="84"/>
        <v>175.01600000000002</v>
      </c>
      <c r="M104" s="238" t="s">
        <v>488</v>
      </c>
      <c r="N104" s="8">
        <f t="shared" ref="N104:N106" si="85">SUM(0)</f>
        <v>0</v>
      </c>
      <c r="O104" s="8">
        <f t="shared" ref="O104:O106" si="86">SUM(A104:L104)</f>
        <v>2100.1920000000005</v>
      </c>
      <c r="P104" s="8">
        <f t="shared" si="60"/>
        <v>2100.1920000000005</v>
      </c>
      <c r="Q104" s="8">
        <v>2100.1920000000005</v>
      </c>
      <c r="R104" s="8">
        <f t="shared" ref="R104:R106" si="87">Q104-P104</f>
        <v>0</v>
      </c>
      <c r="S104" s="8"/>
      <c r="T104" s="8"/>
      <c r="U104" s="8">
        <f t="shared" si="62"/>
        <v>2100.1920000000005</v>
      </c>
      <c r="V104" s="8">
        <f t="shared" si="61"/>
        <v>0</v>
      </c>
      <c r="W104" s="8"/>
      <c r="X104" s="158">
        <f t="shared" si="63"/>
        <v>0</v>
      </c>
      <c r="Z104" s="182"/>
    </row>
    <row r="105" spans="1:26" x14ac:dyDescent="0.3">
      <c r="A105" s="7">
        <f t="shared" ref="A105:K105" si="88">$Q105/12</f>
        <v>0</v>
      </c>
      <c r="B105" s="7">
        <f t="shared" si="88"/>
        <v>0</v>
      </c>
      <c r="C105" s="7">
        <f t="shared" si="88"/>
        <v>0</v>
      </c>
      <c r="D105" s="7">
        <f t="shared" si="88"/>
        <v>0</v>
      </c>
      <c r="E105" s="7">
        <f t="shared" si="88"/>
        <v>0</v>
      </c>
      <c r="F105" s="7">
        <f t="shared" si="88"/>
        <v>0</v>
      </c>
      <c r="G105" s="7">
        <f t="shared" si="88"/>
        <v>0</v>
      </c>
      <c r="H105" s="7">
        <f t="shared" si="88"/>
        <v>0</v>
      </c>
      <c r="I105" s="7">
        <f t="shared" si="88"/>
        <v>0</v>
      </c>
      <c r="J105" s="7">
        <f t="shared" si="88"/>
        <v>0</v>
      </c>
      <c r="K105" s="7">
        <f t="shared" si="88"/>
        <v>0</v>
      </c>
      <c r="L105" s="7"/>
      <c r="M105" s="13" t="s">
        <v>489</v>
      </c>
      <c r="N105" s="7">
        <f t="shared" si="85"/>
        <v>0</v>
      </c>
      <c r="O105" s="7">
        <f t="shared" si="86"/>
        <v>0</v>
      </c>
      <c r="P105" s="7">
        <f t="shared" si="60"/>
        <v>0</v>
      </c>
      <c r="Q105" s="7">
        <v>0</v>
      </c>
      <c r="R105" s="7">
        <f t="shared" si="87"/>
        <v>0</v>
      </c>
      <c r="S105" s="7"/>
      <c r="T105" s="7"/>
      <c r="U105" s="7">
        <f t="shared" si="62"/>
        <v>0</v>
      </c>
      <c r="V105" s="7">
        <f t="shared" si="61"/>
        <v>0</v>
      </c>
      <c r="W105" s="7"/>
      <c r="X105" s="159">
        <f t="shared" si="63"/>
        <v>0</v>
      </c>
      <c r="Z105" s="182"/>
    </row>
    <row r="106" spans="1:26" x14ac:dyDescent="0.3">
      <c r="A106" s="11">
        <f>311*1.048</f>
        <v>325.928</v>
      </c>
      <c r="B106" s="11">
        <f t="shared" ref="B106:K106" si="89">311*1.048</f>
        <v>325.928</v>
      </c>
      <c r="C106" s="11">
        <f t="shared" si="89"/>
        <v>325.928</v>
      </c>
      <c r="D106" s="11">
        <f t="shared" si="89"/>
        <v>325.928</v>
      </c>
      <c r="E106" s="11">
        <f t="shared" si="89"/>
        <v>325.928</v>
      </c>
      <c r="F106" s="11">
        <f t="shared" si="89"/>
        <v>325.928</v>
      </c>
      <c r="G106" s="11">
        <f t="shared" si="89"/>
        <v>325.928</v>
      </c>
      <c r="H106" s="11">
        <f t="shared" si="89"/>
        <v>325.928</v>
      </c>
      <c r="I106" s="11">
        <f t="shared" si="89"/>
        <v>325.928</v>
      </c>
      <c r="J106" s="11">
        <f t="shared" si="89"/>
        <v>325.928</v>
      </c>
      <c r="K106" s="11">
        <f t="shared" si="89"/>
        <v>325.928</v>
      </c>
      <c r="L106" s="11">
        <f>(311*1.048)-1.04799999999886</f>
        <v>324.88000000000113</v>
      </c>
      <c r="M106" s="13" t="s">
        <v>490</v>
      </c>
      <c r="N106" s="11">
        <f t="shared" si="85"/>
        <v>0</v>
      </c>
      <c r="O106" s="11">
        <f t="shared" si="86"/>
        <v>3910.0880000000002</v>
      </c>
      <c r="P106" s="11">
        <f t="shared" si="60"/>
        <v>3910.0880000000002</v>
      </c>
      <c r="Q106" s="11">
        <v>3910.0880000000002</v>
      </c>
      <c r="R106" s="11">
        <f t="shared" si="87"/>
        <v>0</v>
      </c>
      <c r="S106" s="11"/>
      <c r="T106" s="11"/>
      <c r="U106" s="11">
        <f t="shared" si="62"/>
        <v>3910.0880000000002</v>
      </c>
      <c r="V106" s="11">
        <f t="shared" si="61"/>
        <v>0</v>
      </c>
      <c r="W106" s="11"/>
      <c r="X106" s="160">
        <f t="shared" si="63"/>
        <v>0</v>
      </c>
      <c r="Z106" s="182"/>
    </row>
    <row r="107" spans="1:26" ht="15" thickBot="1" x14ac:dyDescent="0.35">
      <c r="A107" s="89"/>
      <c r="B107" s="89"/>
      <c r="C107" s="89"/>
      <c r="D107" s="90"/>
      <c r="E107" s="91"/>
      <c r="F107" s="91"/>
      <c r="G107" s="91"/>
      <c r="H107" s="91"/>
      <c r="I107" s="91"/>
      <c r="J107" s="91"/>
      <c r="K107" s="92"/>
      <c r="L107" s="92"/>
      <c r="M107" s="13"/>
      <c r="N107" s="91">
        <f t="shared" si="65"/>
        <v>0</v>
      </c>
      <c r="O107" s="91">
        <f t="shared" si="66"/>
        <v>0</v>
      </c>
      <c r="P107" s="91">
        <f t="shared" si="60"/>
        <v>0</v>
      </c>
      <c r="Q107" s="89"/>
      <c r="R107" s="89"/>
      <c r="S107" s="89"/>
      <c r="T107" s="89"/>
      <c r="U107" s="89">
        <f t="shared" si="62"/>
        <v>0</v>
      </c>
      <c r="V107" s="89">
        <f t="shared" si="61"/>
        <v>0</v>
      </c>
      <c r="W107" s="89"/>
      <c r="X107" s="207"/>
      <c r="Z107" s="182"/>
    </row>
    <row r="108" spans="1:26" x14ac:dyDescent="0.3">
      <c r="A108" s="4">
        <f>SUM(A104:A106)</f>
        <v>500.94400000000002</v>
      </c>
      <c r="B108" s="4">
        <f t="shared" ref="B108:L108" si="90">SUM(B104:B106)</f>
        <v>500.94400000000002</v>
      </c>
      <c r="C108" s="4">
        <f t="shared" si="90"/>
        <v>500.94400000000002</v>
      </c>
      <c r="D108" s="4">
        <f t="shared" si="90"/>
        <v>500.94400000000002</v>
      </c>
      <c r="E108" s="4">
        <f t="shared" si="90"/>
        <v>500.94400000000002</v>
      </c>
      <c r="F108" s="4">
        <f t="shared" si="90"/>
        <v>500.94400000000002</v>
      </c>
      <c r="G108" s="4">
        <f t="shared" si="90"/>
        <v>500.94400000000002</v>
      </c>
      <c r="H108" s="4">
        <f t="shared" si="90"/>
        <v>500.94400000000002</v>
      </c>
      <c r="I108" s="4">
        <f t="shared" si="90"/>
        <v>500.94400000000002</v>
      </c>
      <c r="J108" s="4">
        <f t="shared" si="90"/>
        <v>500.94400000000002</v>
      </c>
      <c r="K108" s="4">
        <f t="shared" si="90"/>
        <v>500.94400000000002</v>
      </c>
      <c r="L108" s="4">
        <f t="shared" si="90"/>
        <v>499.89600000000115</v>
      </c>
      <c r="M108" s="13" t="s">
        <v>170</v>
      </c>
      <c r="N108" s="4">
        <f t="shared" ref="N108:O108" si="91">SUM(N104:N106)</f>
        <v>0</v>
      </c>
      <c r="O108" s="4">
        <f t="shared" si="91"/>
        <v>6010.2800000000007</v>
      </c>
      <c r="P108" s="4">
        <f t="shared" ref="P108:Q108" si="92">SUM(P104:P106)</f>
        <v>6010.2800000000007</v>
      </c>
      <c r="Q108" s="4">
        <f t="shared" si="92"/>
        <v>6010.2800000000007</v>
      </c>
      <c r="R108" s="4">
        <f t="shared" ref="R108:W108" si="93">SUM(R104:R106)</f>
        <v>0</v>
      </c>
      <c r="S108" s="4">
        <f t="shared" ref="S108" si="94">SUM(S104:S106)</f>
        <v>0</v>
      </c>
      <c r="T108" s="4">
        <f>SUM(T104:T106)</f>
        <v>0</v>
      </c>
      <c r="U108" s="4">
        <f t="shared" si="62"/>
        <v>6010.2800000000007</v>
      </c>
      <c r="V108" s="4">
        <f t="shared" si="61"/>
        <v>0</v>
      </c>
      <c r="W108" s="4">
        <f t="shared" si="93"/>
        <v>0</v>
      </c>
      <c r="X108" s="162">
        <f t="shared" si="63"/>
        <v>0</v>
      </c>
      <c r="Z108" s="182"/>
    </row>
    <row r="109" spans="1:26" x14ac:dyDescent="0.3">
      <c r="A109" s="81"/>
      <c r="B109" s="81"/>
      <c r="C109" s="81"/>
      <c r="D109" s="82"/>
      <c r="E109" s="81"/>
      <c r="F109" s="81"/>
      <c r="G109" s="81"/>
      <c r="H109" s="87"/>
      <c r="I109" s="87"/>
      <c r="J109" s="87"/>
      <c r="K109" s="88"/>
      <c r="L109" s="88"/>
      <c r="M109" s="80"/>
      <c r="N109" s="81">
        <f t="shared" si="65"/>
        <v>0</v>
      </c>
      <c r="O109" s="81">
        <f t="shared" si="66"/>
        <v>0</v>
      </c>
      <c r="P109" s="81">
        <f t="shared" si="60"/>
        <v>0</v>
      </c>
      <c r="Q109" s="81"/>
      <c r="R109" s="81"/>
      <c r="S109" s="81"/>
      <c r="T109" s="81"/>
      <c r="U109" s="81">
        <f t="shared" si="62"/>
        <v>0</v>
      </c>
      <c r="V109" s="81">
        <f t="shared" si="61"/>
        <v>0</v>
      </c>
      <c r="W109" s="81"/>
      <c r="X109" s="204"/>
      <c r="Z109" s="182"/>
    </row>
    <row r="110" spans="1:26" x14ac:dyDescent="0.3">
      <c r="A110" s="4">
        <f>A28+A46+A65+A91+A102+A108</f>
        <v>457586.83044629998</v>
      </c>
      <c r="B110" s="4">
        <f t="shared" ref="B110:L110" si="95">B28+B46+B65+B91+B102+B108</f>
        <v>748841.91812630009</v>
      </c>
      <c r="C110" s="4">
        <f t="shared" si="95"/>
        <v>928686.88204629999</v>
      </c>
      <c r="D110" s="4">
        <f t="shared" si="95"/>
        <v>1121198.4246063</v>
      </c>
      <c r="E110" s="4">
        <f t="shared" si="95"/>
        <v>701250.27836630004</v>
      </c>
      <c r="F110" s="4">
        <f t="shared" si="95"/>
        <v>453326.71044629999</v>
      </c>
      <c r="G110" s="4">
        <f t="shared" si="95"/>
        <v>453326.71044629999</v>
      </c>
      <c r="H110" s="4">
        <f t="shared" si="95"/>
        <v>453326.71044629999</v>
      </c>
      <c r="I110" s="4">
        <f t="shared" si="95"/>
        <v>453326.71044629999</v>
      </c>
      <c r="J110" s="4">
        <f t="shared" si="95"/>
        <v>453326.71044629999</v>
      </c>
      <c r="K110" s="4">
        <f t="shared" si="95"/>
        <v>453326.71044629999</v>
      </c>
      <c r="L110" s="4">
        <f t="shared" si="95"/>
        <v>453323.32010397117</v>
      </c>
      <c r="M110" s="238" t="s">
        <v>171</v>
      </c>
      <c r="N110" s="4">
        <f t="shared" ref="N110:O110" si="96">N28+N46+N65+N91+N102+N108</f>
        <v>0</v>
      </c>
      <c r="O110" s="4">
        <f t="shared" si="96"/>
        <v>7130847.9163732715</v>
      </c>
      <c r="P110" s="4">
        <f t="shared" ref="P110:Q110" si="97">P28+P46+P65+P91+P102+P108</f>
        <v>7130847.9163732715</v>
      </c>
      <c r="Q110" s="4">
        <f t="shared" si="97"/>
        <v>7130847.9163732715</v>
      </c>
      <c r="R110" s="4">
        <f t="shared" ref="R110:W110" si="98">R28+R46+R65+R91+R102+R108</f>
        <v>0</v>
      </c>
      <c r="S110" s="4">
        <f t="shared" si="98"/>
        <v>0</v>
      </c>
      <c r="T110" s="4">
        <f>T28+T46+T65+T91+T102+T108</f>
        <v>931765.35999999987</v>
      </c>
      <c r="U110" s="4">
        <f t="shared" si="62"/>
        <v>8062613.2763732709</v>
      </c>
      <c r="V110" s="4">
        <f t="shared" si="61"/>
        <v>931765.3599999994</v>
      </c>
      <c r="W110" s="4">
        <f t="shared" si="98"/>
        <v>0</v>
      </c>
      <c r="X110" s="162">
        <f t="shared" si="63"/>
        <v>0</v>
      </c>
      <c r="Z110" s="182"/>
    </row>
    <row r="111" spans="1:26" x14ac:dyDescent="0.3">
      <c r="A111" s="81"/>
      <c r="B111" s="81"/>
      <c r="C111" s="81"/>
      <c r="D111" s="82"/>
      <c r="E111" s="81"/>
      <c r="F111" s="81"/>
      <c r="G111" s="81"/>
      <c r="H111" s="87"/>
      <c r="I111" s="87"/>
      <c r="J111" s="87"/>
      <c r="K111" s="88"/>
      <c r="L111" s="88"/>
      <c r="M111" s="122"/>
      <c r="N111" s="81">
        <f t="shared" si="65"/>
        <v>0</v>
      </c>
      <c r="O111" s="81">
        <f t="shared" si="66"/>
        <v>0</v>
      </c>
      <c r="P111" s="81">
        <f t="shared" si="60"/>
        <v>0</v>
      </c>
      <c r="Q111" s="81"/>
      <c r="R111" s="81"/>
      <c r="S111" s="81"/>
      <c r="T111" s="81"/>
      <c r="U111" s="81">
        <f t="shared" si="62"/>
        <v>0</v>
      </c>
      <c r="V111" s="81">
        <f t="shared" si="61"/>
        <v>0</v>
      </c>
      <c r="W111" s="81"/>
      <c r="X111" s="204"/>
      <c r="Z111" s="182"/>
    </row>
    <row r="112" spans="1:26" x14ac:dyDescent="0.3">
      <c r="A112" s="4">
        <f>A18+A110</f>
        <v>875186.02432630002</v>
      </c>
      <c r="B112" s="4">
        <f t="shared" ref="B112:L112" si="99">B18+B110</f>
        <v>1207635.4242863001</v>
      </c>
      <c r="C112" s="4">
        <f t="shared" si="99"/>
        <v>1392563.3349263</v>
      </c>
      <c r="D112" s="4">
        <f t="shared" si="99"/>
        <v>1573703.9307662998</v>
      </c>
      <c r="E112" s="4">
        <f t="shared" si="99"/>
        <v>1160043.7845263002</v>
      </c>
      <c r="F112" s="4">
        <f t="shared" si="99"/>
        <v>905832.21660629997</v>
      </c>
      <c r="G112" s="4">
        <f t="shared" si="99"/>
        <v>905832.21660629997</v>
      </c>
      <c r="H112" s="4">
        <f t="shared" si="99"/>
        <v>1029704.8266063</v>
      </c>
      <c r="I112" s="4">
        <f t="shared" si="99"/>
        <v>905832.21660629997</v>
      </c>
      <c r="J112" s="4">
        <f t="shared" si="99"/>
        <v>905832.21660629997</v>
      </c>
      <c r="K112" s="4">
        <f t="shared" si="99"/>
        <v>905832.21660629997</v>
      </c>
      <c r="L112" s="4">
        <f t="shared" si="99"/>
        <v>913436.29826397123</v>
      </c>
      <c r="M112" s="13" t="s">
        <v>240</v>
      </c>
      <c r="N112" s="4">
        <f t="shared" ref="N112:O112" si="100">N18+N110</f>
        <v>0</v>
      </c>
      <c r="O112" s="4">
        <f t="shared" si="100"/>
        <v>12681434.706733271</v>
      </c>
      <c r="P112" s="4">
        <f t="shared" ref="P112:Q112" si="101">P18+P110</f>
        <v>12681434.706733271</v>
      </c>
      <c r="Q112" s="4">
        <f t="shared" si="101"/>
        <v>12681434.706733271</v>
      </c>
      <c r="R112" s="4">
        <f t="shared" ref="R112:W112" si="102">R18+R110</f>
        <v>0</v>
      </c>
      <c r="S112" s="224">
        <f t="shared" ref="S112" si="103">S28+S46+S65+S91+S102+S108+S18</f>
        <v>214523</v>
      </c>
      <c r="T112" s="224">
        <f>T28+T46+T65+T91+T102+T108+T18</f>
        <v>-53564.000000000116</v>
      </c>
      <c r="U112" s="224">
        <f t="shared" si="62"/>
        <v>12842393.706733271</v>
      </c>
      <c r="V112" s="224">
        <f t="shared" si="61"/>
        <v>160959</v>
      </c>
      <c r="W112" s="4">
        <f t="shared" si="102"/>
        <v>0</v>
      </c>
      <c r="X112" s="162">
        <f t="shared" si="63"/>
        <v>0</v>
      </c>
      <c r="Z112" s="182"/>
    </row>
    <row r="113" spans="1:26" x14ac:dyDescent="0.3">
      <c r="A113" s="81"/>
      <c r="B113" s="81"/>
      <c r="C113" s="81"/>
      <c r="D113" s="82"/>
      <c r="E113" s="81"/>
      <c r="F113" s="81"/>
      <c r="G113" s="81"/>
      <c r="H113" s="87"/>
      <c r="I113" s="87"/>
      <c r="J113" s="87"/>
      <c r="K113" s="88"/>
      <c r="L113" s="88"/>
      <c r="M113" s="122"/>
      <c r="N113" s="81">
        <f t="shared" si="65"/>
        <v>0</v>
      </c>
      <c r="O113" s="81">
        <f t="shared" si="66"/>
        <v>0</v>
      </c>
      <c r="P113" s="81">
        <f t="shared" si="60"/>
        <v>0</v>
      </c>
      <c r="Q113" s="81"/>
      <c r="R113" s="81"/>
      <c r="S113" s="81"/>
      <c r="T113" s="81"/>
      <c r="U113" s="81">
        <f t="shared" si="62"/>
        <v>0</v>
      </c>
      <c r="V113" s="81">
        <f t="shared" si="61"/>
        <v>0</v>
      </c>
      <c r="W113" s="81"/>
      <c r="X113" s="204"/>
      <c r="Z113" s="182"/>
    </row>
    <row r="114" spans="1:26" x14ac:dyDescent="0.3">
      <c r="A114" s="8">
        <f t="shared" ref="A114:L125" si="104">$Q114/12</f>
        <v>0</v>
      </c>
      <c r="B114" s="8">
        <f t="shared" si="104"/>
        <v>0</v>
      </c>
      <c r="C114" s="8">
        <f t="shared" si="104"/>
        <v>0</v>
      </c>
      <c r="D114" s="8">
        <f t="shared" si="104"/>
        <v>0</v>
      </c>
      <c r="E114" s="8">
        <f t="shared" si="104"/>
        <v>0</v>
      </c>
      <c r="F114" s="8">
        <f t="shared" si="104"/>
        <v>0</v>
      </c>
      <c r="G114" s="8">
        <f t="shared" si="104"/>
        <v>0</v>
      </c>
      <c r="H114" s="8">
        <f t="shared" si="104"/>
        <v>0</v>
      </c>
      <c r="I114" s="8">
        <f t="shared" si="104"/>
        <v>0</v>
      </c>
      <c r="J114" s="8">
        <f t="shared" si="104"/>
        <v>0</v>
      </c>
      <c r="K114" s="8">
        <f t="shared" si="104"/>
        <v>0</v>
      </c>
      <c r="L114" s="8">
        <f t="shared" si="104"/>
        <v>0</v>
      </c>
      <c r="M114" s="377" t="s">
        <v>491</v>
      </c>
      <c r="N114" s="8">
        <f t="shared" ref="N114:N125" si="105">SUM(0)</f>
        <v>0</v>
      </c>
      <c r="O114" s="8">
        <f t="shared" ref="O114:O125" si="106">SUM(A114:L114)</f>
        <v>0</v>
      </c>
      <c r="P114" s="8">
        <f t="shared" si="60"/>
        <v>0</v>
      </c>
      <c r="Q114" s="8">
        <v>0</v>
      </c>
      <c r="R114" s="8">
        <f t="shared" ref="R114:R125" si="107">Q114-P114</f>
        <v>0</v>
      </c>
      <c r="S114" s="8"/>
      <c r="T114" s="8">
        <f>40000+231011</f>
        <v>271011</v>
      </c>
      <c r="U114" s="8">
        <f t="shared" si="62"/>
        <v>271011</v>
      </c>
      <c r="V114" s="8">
        <f t="shared" si="61"/>
        <v>271011</v>
      </c>
      <c r="W114" s="8"/>
      <c r="X114" s="158">
        <f t="shared" si="63"/>
        <v>0</v>
      </c>
      <c r="Z114" s="182"/>
    </row>
    <row r="115" spans="1:26" x14ac:dyDescent="0.3">
      <c r="A115" s="7">
        <f t="shared" si="104"/>
        <v>0</v>
      </c>
      <c r="B115" s="7">
        <f t="shared" si="104"/>
        <v>0</v>
      </c>
      <c r="C115" s="7">
        <f t="shared" si="104"/>
        <v>0</v>
      </c>
      <c r="D115" s="7">
        <f t="shared" si="104"/>
        <v>0</v>
      </c>
      <c r="E115" s="7">
        <f t="shared" si="104"/>
        <v>0</v>
      </c>
      <c r="F115" s="7">
        <f t="shared" si="104"/>
        <v>0</v>
      </c>
      <c r="G115" s="7">
        <f t="shared" si="104"/>
        <v>0</v>
      </c>
      <c r="H115" s="7">
        <f t="shared" si="104"/>
        <v>0</v>
      </c>
      <c r="I115" s="7">
        <f t="shared" si="104"/>
        <v>0</v>
      </c>
      <c r="J115" s="7">
        <f t="shared" si="104"/>
        <v>0</v>
      </c>
      <c r="K115" s="7">
        <f t="shared" si="104"/>
        <v>0</v>
      </c>
      <c r="L115" s="7">
        <f t="shared" si="104"/>
        <v>0</v>
      </c>
      <c r="M115" s="13" t="s">
        <v>492</v>
      </c>
      <c r="N115" s="7">
        <f t="shared" si="105"/>
        <v>0</v>
      </c>
      <c r="O115" s="7">
        <f t="shared" si="106"/>
        <v>0</v>
      </c>
      <c r="P115" s="7">
        <f t="shared" si="60"/>
        <v>0</v>
      </c>
      <c r="Q115" s="7">
        <v>0</v>
      </c>
      <c r="R115" s="7">
        <f t="shared" si="107"/>
        <v>0</v>
      </c>
      <c r="S115" s="7"/>
      <c r="T115" s="7"/>
      <c r="U115" s="7">
        <f t="shared" si="62"/>
        <v>0</v>
      </c>
      <c r="V115" s="7">
        <f t="shared" si="61"/>
        <v>0</v>
      </c>
      <c r="W115" s="7"/>
      <c r="X115" s="159">
        <f t="shared" si="63"/>
        <v>0</v>
      </c>
      <c r="Z115" s="182"/>
    </row>
    <row r="116" spans="1:26" x14ac:dyDescent="0.3">
      <c r="A116" s="7">
        <f t="shared" si="104"/>
        <v>0</v>
      </c>
      <c r="B116" s="7">
        <f t="shared" si="104"/>
        <v>0</v>
      </c>
      <c r="C116" s="7">
        <f t="shared" si="104"/>
        <v>0</v>
      </c>
      <c r="D116" s="7">
        <f t="shared" si="104"/>
        <v>0</v>
      </c>
      <c r="E116" s="7">
        <f t="shared" si="104"/>
        <v>0</v>
      </c>
      <c r="F116" s="7">
        <f t="shared" si="104"/>
        <v>0</v>
      </c>
      <c r="G116" s="7">
        <f t="shared" si="104"/>
        <v>0</v>
      </c>
      <c r="H116" s="7">
        <f t="shared" si="104"/>
        <v>0</v>
      </c>
      <c r="I116" s="7">
        <f t="shared" si="104"/>
        <v>0</v>
      </c>
      <c r="J116" s="7">
        <f t="shared" si="104"/>
        <v>0</v>
      </c>
      <c r="K116" s="7">
        <f t="shared" si="104"/>
        <v>0</v>
      </c>
      <c r="L116" s="7">
        <f t="shared" si="104"/>
        <v>0</v>
      </c>
      <c r="M116" s="13" t="s">
        <v>493</v>
      </c>
      <c r="N116" s="7">
        <f t="shared" si="105"/>
        <v>0</v>
      </c>
      <c r="O116" s="7">
        <f t="shared" si="106"/>
        <v>0</v>
      </c>
      <c r="P116" s="7">
        <f t="shared" si="60"/>
        <v>0</v>
      </c>
      <c r="Q116" s="7">
        <v>0</v>
      </c>
      <c r="R116" s="7">
        <f t="shared" si="107"/>
        <v>0</v>
      </c>
      <c r="S116" s="7"/>
      <c r="T116" s="7"/>
      <c r="U116" s="7">
        <f t="shared" si="62"/>
        <v>0</v>
      </c>
      <c r="V116" s="7">
        <f t="shared" si="61"/>
        <v>0</v>
      </c>
      <c r="W116" s="7"/>
      <c r="X116" s="159">
        <f t="shared" si="63"/>
        <v>0</v>
      </c>
      <c r="Z116" s="182"/>
    </row>
    <row r="117" spans="1:26" x14ac:dyDescent="0.3">
      <c r="A117" s="7">
        <f t="shared" si="104"/>
        <v>0</v>
      </c>
      <c r="B117" s="7">
        <f t="shared" si="104"/>
        <v>0</v>
      </c>
      <c r="C117" s="7">
        <f t="shared" si="104"/>
        <v>0</v>
      </c>
      <c r="D117" s="7">
        <f t="shared" si="104"/>
        <v>0</v>
      </c>
      <c r="E117" s="7">
        <f t="shared" si="104"/>
        <v>0</v>
      </c>
      <c r="F117" s="7">
        <f t="shared" si="104"/>
        <v>0</v>
      </c>
      <c r="G117" s="7">
        <f t="shared" si="104"/>
        <v>0</v>
      </c>
      <c r="H117" s="7">
        <f t="shared" si="104"/>
        <v>0</v>
      </c>
      <c r="I117" s="7">
        <f t="shared" si="104"/>
        <v>0</v>
      </c>
      <c r="J117" s="7">
        <f t="shared" si="104"/>
        <v>0</v>
      </c>
      <c r="K117" s="7">
        <f t="shared" si="104"/>
        <v>0</v>
      </c>
      <c r="L117" s="7">
        <f t="shared" si="104"/>
        <v>0</v>
      </c>
      <c r="M117" s="238" t="s">
        <v>494</v>
      </c>
      <c r="N117" s="7">
        <f t="shared" si="105"/>
        <v>0</v>
      </c>
      <c r="O117" s="7">
        <f t="shared" si="106"/>
        <v>0</v>
      </c>
      <c r="P117" s="7">
        <f t="shared" si="60"/>
        <v>0</v>
      </c>
      <c r="Q117" s="7">
        <v>0</v>
      </c>
      <c r="R117" s="7">
        <f t="shared" si="107"/>
        <v>0</v>
      </c>
      <c r="S117" s="7"/>
      <c r="T117" s="7"/>
      <c r="U117" s="7">
        <f t="shared" si="62"/>
        <v>0</v>
      </c>
      <c r="V117" s="7">
        <f t="shared" si="61"/>
        <v>0</v>
      </c>
      <c r="W117" s="7"/>
      <c r="X117" s="159">
        <f t="shared" si="63"/>
        <v>0</v>
      </c>
      <c r="Z117" s="182"/>
    </row>
    <row r="118" spans="1:26" x14ac:dyDescent="0.3">
      <c r="A118" s="7">
        <f t="shared" si="104"/>
        <v>0</v>
      </c>
      <c r="B118" s="7">
        <f t="shared" si="104"/>
        <v>0</v>
      </c>
      <c r="C118" s="7">
        <f t="shared" si="104"/>
        <v>0</v>
      </c>
      <c r="D118" s="7">
        <f t="shared" si="104"/>
        <v>0</v>
      </c>
      <c r="E118" s="7">
        <f t="shared" si="104"/>
        <v>0</v>
      </c>
      <c r="F118" s="7">
        <f t="shared" si="104"/>
        <v>0</v>
      </c>
      <c r="G118" s="7">
        <f t="shared" si="104"/>
        <v>0</v>
      </c>
      <c r="H118" s="7">
        <f t="shared" si="104"/>
        <v>0</v>
      </c>
      <c r="I118" s="7">
        <f t="shared" si="104"/>
        <v>0</v>
      </c>
      <c r="J118" s="7">
        <f t="shared" si="104"/>
        <v>0</v>
      </c>
      <c r="K118" s="7">
        <f t="shared" si="104"/>
        <v>0</v>
      </c>
      <c r="L118" s="7">
        <f t="shared" si="104"/>
        <v>0</v>
      </c>
      <c r="M118" s="13" t="s">
        <v>495</v>
      </c>
      <c r="N118" s="7">
        <f t="shared" si="105"/>
        <v>0</v>
      </c>
      <c r="O118" s="7">
        <f t="shared" si="106"/>
        <v>0</v>
      </c>
      <c r="P118" s="7">
        <f t="shared" si="60"/>
        <v>0</v>
      </c>
      <c r="Q118" s="7">
        <v>0</v>
      </c>
      <c r="R118" s="7">
        <f t="shared" si="107"/>
        <v>0</v>
      </c>
      <c r="S118" s="7"/>
      <c r="T118" s="7"/>
      <c r="U118" s="7">
        <f t="shared" si="62"/>
        <v>0</v>
      </c>
      <c r="V118" s="7">
        <f t="shared" si="61"/>
        <v>0</v>
      </c>
      <c r="W118" s="7"/>
      <c r="X118" s="159">
        <f t="shared" si="63"/>
        <v>0</v>
      </c>
      <c r="Z118" s="182"/>
    </row>
    <row r="119" spans="1:26" x14ac:dyDescent="0.3">
      <c r="A119" s="7">
        <f t="shared" si="104"/>
        <v>0</v>
      </c>
      <c r="B119" s="7">
        <f t="shared" si="104"/>
        <v>0</v>
      </c>
      <c r="C119" s="7">
        <f t="shared" si="104"/>
        <v>0</v>
      </c>
      <c r="D119" s="7">
        <f t="shared" si="104"/>
        <v>0</v>
      </c>
      <c r="E119" s="7">
        <f t="shared" si="104"/>
        <v>0</v>
      </c>
      <c r="F119" s="7">
        <f t="shared" si="104"/>
        <v>0</v>
      </c>
      <c r="G119" s="7">
        <f t="shared" si="104"/>
        <v>0</v>
      </c>
      <c r="H119" s="7">
        <f t="shared" si="104"/>
        <v>0</v>
      </c>
      <c r="I119" s="7">
        <f t="shared" si="104"/>
        <v>0</v>
      </c>
      <c r="J119" s="7">
        <f t="shared" si="104"/>
        <v>0</v>
      </c>
      <c r="K119" s="7">
        <f t="shared" si="104"/>
        <v>0</v>
      </c>
      <c r="L119" s="7">
        <f t="shared" si="104"/>
        <v>0</v>
      </c>
      <c r="M119" s="13" t="s">
        <v>496</v>
      </c>
      <c r="N119" s="7">
        <f t="shared" si="105"/>
        <v>0</v>
      </c>
      <c r="O119" s="7">
        <f t="shared" si="106"/>
        <v>0</v>
      </c>
      <c r="P119" s="7">
        <f t="shared" si="60"/>
        <v>0</v>
      </c>
      <c r="Q119" s="7">
        <v>0</v>
      </c>
      <c r="R119" s="7">
        <f t="shared" si="107"/>
        <v>0</v>
      </c>
      <c r="S119" s="7"/>
      <c r="T119" s="7"/>
      <c r="U119" s="7">
        <f t="shared" si="62"/>
        <v>0</v>
      </c>
      <c r="V119" s="7">
        <f t="shared" si="61"/>
        <v>0</v>
      </c>
      <c r="W119" s="7"/>
      <c r="X119" s="159">
        <f t="shared" si="63"/>
        <v>0</v>
      </c>
      <c r="Z119" s="182"/>
    </row>
    <row r="120" spans="1:26" x14ac:dyDescent="0.3">
      <c r="A120" s="7">
        <f t="shared" si="104"/>
        <v>0</v>
      </c>
      <c r="B120" s="7">
        <f t="shared" si="104"/>
        <v>0</v>
      </c>
      <c r="C120" s="7">
        <f t="shared" si="104"/>
        <v>0</v>
      </c>
      <c r="D120" s="7">
        <f t="shared" si="104"/>
        <v>0</v>
      </c>
      <c r="E120" s="7">
        <f t="shared" si="104"/>
        <v>0</v>
      </c>
      <c r="F120" s="7">
        <f t="shared" si="104"/>
        <v>0</v>
      </c>
      <c r="G120" s="7">
        <f t="shared" si="104"/>
        <v>0</v>
      </c>
      <c r="H120" s="7">
        <f t="shared" si="104"/>
        <v>0</v>
      </c>
      <c r="I120" s="7">
        <f t="shared" si="104"/>
        <v>0</v>
      </c>
      <c r="J120" s="7">
        <f t="shared" si="104"/>
        <v>0</v>
      </c>
      <c r="K120" s="7">
        <f t="shared" si="104"/>
        <v>0</v>
      </c>
      <c r="L120" s="7">
        <f t="shared" si="104"/>
        <v>0</v>
      </c>
      <c r="M120" s="238" t="s">
        <v>497</v>
      </c>
      <c r="N120" s="7">
        <f t="shared" si="105"/>
        <v>0</v>
      </c>
      <c r="O120" s="7">
        <f t="shared" si="106"/>
        <v>0</v>
      </c>
      <c r="P120" s="7">
        <f t="shared" si="60"/>
        <v>0</v>
      </c>
      <c r="Q120" s="7">
        <v>0</v>
      </c>
      <c r="R120" s="7">
        <f t="shared" si="107"/>
        <v>0</v>
      </c>
      <c r="S120" s="7"/>
      <c r="T120" s="7"/>
      <c r="U120" s="7">
        <f t="shared" si="62"/>
        <v>0</v>
      </c>
      <c r="V120" s="7">
        <f t="shared" si="61"/>
        <v>0</v>
      </c>
      <c r="W120" s="7"/>
      <c r="X120" s="159">
        <f t="shared" si="63"/>
        <v>0</v>
      </c>
      <c r="Z120" s="182"/>
    </row>
    <row r="121" spans="1:26" x14ac:dyDescent="0.3">
      <c r="A121" s="7">
        <f t="shared" si="104"/>
        <v>0</v>
      </c>
      <c r="B121" s="7">
        <f t="shared" si="104"/>
        <v>0</v>
      </c>
      <c r="C121" s="7">
        <f t="shared" si="104"/>
        <v>0</v>
      </c>
      <c r="D121" s="7">
        <f t="shared" si="104"/>
        <v>0</v>
      </c>
      <c r="E121" s="7">
        <f t="shared" si="104"/>
        <v>0</v>
      </c>
      <c r="F121" s="7">
        <f t="shared" si="104"/>
        <v>0</v>
      </c>
      <c r="G121" s="7">
        <f t="shared" si="104"/>
        <v>0</v>
      </c>
      <c r="H121" s="7">
        <f t="shared" si="104"/>
        <v>0</v>
      </c>
      <c r="I121" s="7">
        <f t="shared" si="104"/>
        <v>0</v>
      </c>
      <c r="J121" s="7">
        <f t="shared" si="104"/>
        <v>0</v>
      </c>
      <c r="K121" s="7">
        <f t="shared" si="104"/>
        <v>0</v>
      </c>
      <c r="L121" s="7">
        <f t="shared" si="104"/>
        <v>0</v>
      </c>
      <c r="M121" s="13" t="s">
        <v>498</v>
      </c>
      <c r="N121" s="7">
        <f t="shared" si="105"/>
        <v>0</v>
      </c>
      <c r="O121" s="7">
        <f t="shared" si="106"/>
        <v>0</v>
      </c>
      <c r="P121" s="7">
        <f t="shared" si="60"/>
        <v>0</v>
      </c>
      <c r="Q121" s="7">
        <v>0</v>
      </c>
      <c r="R121" s="7">
        <f t="shared" si="107"/>
        <v>0</v>
      </c>
      <c r="S121" s="7"/>
      <c r="T121" s="7"/>
      <c r="U121" s="7">
        <f t="shared" si="62"/>
        <v>0</v>
      </c>
      <c r="V121" s="7">
        <f t="shared" si="61"/>
        <v>0</v>
      </c>
      <c r="W121" s="7"/>
      <c r="X121" s="159">
        <f t="shared" si="63"/>
        <v>0</v>
      </c>
      <c r="Z121" s="182"/>
    </row>
    <row r="122" spans="1:26" x14ac:dyDescent="0.3">
      <c r="A122" s="7">
        <f>30248*1.048</f>
        <v>31699.904000000002</v>
      </c>
      <c r="B122" s="7">
        <f t="shared" ref="B122:K122" si="108">30248*1.048</f>
        <v>31699.904000000002</v>
      </c>
      <c r="C122" s="7">
        <f t="shared" si="108"/>
        <v>31699.904000000002</v>
      </c>
      <c r="D122" s="7">
        <f t="shared" si="108"/>
        <v>31699.904000000002</v>
      </c>
      <c r="E122" s="7">
        <f t="shared" si="108"/>
        <v>31699.904000000002</v>
      </c>
      <c r="F122" s="7">
        <f t="shared" si="108"/>
        <v>31699.904000000002</v>
      </c>
      <c r="G122" s="7">
        <f t="shared" si="108"/>
        <v>31699.904000000002</v>
      </c>
      <c r="H122" s="7">
        <f t="shared" si="108"/>
        <v>31699.904000000002</v>
      </c>
      <c r="I122" s="7">
        <f t="shared" si="108"/>
        <v>31699.904000000002</v>
      </c>
      <c r="J122" s="7">
        <f t="shared" si="108"/>
        <v>31699.904000000002</v>
      </c>
      <c r="K122" s="7">
        <f t="shared" si="108"/>
        <v>31699.904000000002</v>
      </c>
      <c r="L122" s="7">
        <f>30248*1.048-4</f>
        <v>31695.904000000002</v>
      </c>
      <c r="M122" s="13" t="s">
        <v>499</v>
      </c>
      <c r="N122" s="7">
        <f t="shared" si="105"/>
        <v>0</v>
      </c>
      <c r="O122" s="7">
        <f t="shared" si="106"/>
        <v>380394.848</v>
      </c>
      <c r="P122" s="7">
        <f t="shared" si="60"/>
        <v>380394.848</v>
      </c>
      <c r="Q122" s="7">
        <v>380394.848</v>
      </c>
      <c r="R122" s="7">
        <f t="shared" si="107"/>
        <v>0</v>
      </c>
      <c r="S122" s="7"/>
      <c r="T122" s="7">
        <v>13564</v>
      </c>
      <c r="U122" s="7">
        <f t="shared" si="62"/>
        <v>393958.848</v>
      </c>
      <c r="V122" s="7">
        <f t="shared" si="61"/>
        <v>13564</v>
      </c>
      <c r="W122" s="7" t="s">
        <v>293</v>
      </c>
      <c r="X122" s="159">
        <f t="shared" si="63"/>
        <v>0</v>
      </c>
      <c r="Z122" s="182"/>
    </row>
    <row r="123" spans="1:26" x14ac:dyDescent="0.3">
      <c r="A123" s="7">
        <f>100513*1.048</f>
        <v>105337.62400000001</v>
      </c>
      <c r="B123" s="7">
        <f t="shared" ref="B123:K123" si="109">100513*1.048</f>
        <v>105337.62400000001</v>
      </c>
      <c r="C123" s="7">
        <f t="shared" si="109"/>
        <v>105337.62400000001</v>
      </c>
      <c r="D123" s="7">
        <f t="shared" si="109"/>
        <v>105337.62400000001</v>
      </c>
      <c r="E123" s="7">
        <f t="shared" si="109"/>
        <v>105337.62400000001</v>
      </c>
      <c r="F123" s="7">
        <f t="shared" si="109"/>
        <v>105337.62400000001</v>
      </c>
      <c r="G123" s="7">
        <f t="shared" si="109"/>
        <v>105337.62400000001</v>
      </c>
      <c r="H123" s="7">
        <f t="shared" si="109"/>
        <v>105337.62400000001</v>
      </c>
      <c r="I123" s="7">
        <f t="shared" si="109"/>
        <v>105337.62400000001</v>
      </c>
      <c r="J123" s="7">
        <f t="shared" si="109"/>
        <v>105337.62400000001</v>
      </c>
      <c r="K123" s="7">
        <f t="shared" si="109"/>
        <v>105337.62400000001</v>
      </c>
      <c r="L123" s="7">
        <f>100513*1.048+2</f>
        <v>105339.62400000001</v>
      </c>
      <c r="M123" s="238" t="s">
        <v>500</v>
      </c>
      <c r="N123" s="7">
        <f t="shared" si="105"/>
        <v>0</v>
      </c>
      <c r="O123" s="7">
        <f t="shared" si="106"/>
        <v>1264053.4880000006</v>
      </c>
      <c r="P123" s="7">
        <f t="shared" si="60"/>
        <v>1264053.4880000006</v>
      </c>
      <c r="Q123" s="7">
        <v>1264053.4880000006</v>
      </c>
      <c r="R123" s="7">
        <f t="shared" si="107"/>
        <v>0</v>
      </c>
      <c r="S123" s="7"/>
      <c r="T123" s="7"/>
      <c r="U123" s="7">
        <f t="shared" si="62"/>
        <v>1264053.4880000006</v>
      </c>
      <c r="V123" s="7">
        <f t="shared" si="61"/>
        <v>0</v>
      </c>
      <c r="W123" s="7"/>
      <c r="X123" s="159">
        <f t="shared" si="63"/>
        <v>0</v>
      </c>
      <c r="Z123" s="182"/>
    </row>
    <row r="124" spans="1:26" x14ac:dyDescent="0.3">
      <c r="A124" s="7">
        <f t="shared" si="104"/>
        <v>0</v>
      </c>
      <c r="B124" s="7">
        <f t="shared" si="104"/>
        <v>0</v>
      </c>
      <c r="C124" s="7">
        <f t="shared" si="104"/>
        <v>0</v>
      </c>
      <c r="D124" s="7">
        <f t="shared" si="104"/>
        <v>0</v>
      </c>
      <c r="E124" s="7">
        <f t="shared" si="104"/>
        <v>0</v>
      </c>
      <c r="F124" s="7">
        <f t="shared" si="104"/>
        <v>0</v>
      </c>
      <c r="G124" s="7">
        <f t="shared" si="104"/>
        <v>0</v>
      </c>
      <c r="H124" s="7">
        <f t="shared" si="104"/>
        <v>0</v>
      </c>
      <c r="I124" s="7">
        <f t="shared" si="104"/>
        <v>0</v>
      </c>
      <c r="J124" s="7">
        <f t="shared" si="104"/>
        <v>0</v>
      </c>
      <c r="K124" s="7">
        <f t="shared" si="104"/>
        <v>0</v>
      </c>
      <c r="L124" s="7">
        <f t="shared" si="104"/>
        <v>0</v>
      </c>
      <c r="M124" s="13" t="s">
        <v>501</v>
      </c>
      <c r="N124" s="7">
        <f t="shared" si="105"/>
        <v>0</v>
      </c>
      <c r="O124" s="7">
        <f t="shared" si="106"/>
        <v>0</v>
      </c>
      <c r="P124" s="7">
        <f t="shared" si="60"/>
        <v>0</v>
      </c>
      <c r="Q124" s="7">
        <v>0</v>
      </c>
      <c r="R124" s="7">
        <f t="shared" si="107"/>
        <v>0</v>
      </c>
      <c r="S124" s="7"/>
      <c r="T124" s="7"/>
      <c r="U124" s="7">
        <f t="shared" si="62"/>
        <v>0</v>
      </c>
      <c r="V124" s="7">
        <f t="shared" si="61"/>
        <v>0</v>
      </c>
      <c r="W124" s="7"/>
      <c r="X124" s="159">
        <f t="shared" si="63"/>
        <v>0</v>
      </c>
      <c r="Z124" s="182"/>
    </row>
    <row r="125" spans="1:26" x14ac:dyDescent="0.3">
      <c r="A125" s="11">
        <f t="shared" si="104"/>
        <v>0</v>
      </c>
      <c r="B125" s="11">
        <f t="shared" si="104"/>
        <v>0</v>
      </c>
      <c r="C125" s="11">
        <f t="shared" si="104"/>
        <v>0</v>
      </c>
      <c r="D125" s="11">
        <f t="shared" si="104"/>
        <v>0</v>
      </c>
      <c r="E125" s="11">
        <f t="shared" si="104"/>
        <v>0</v>
      </c>
      <c r="F125" s="11">
        <f t="shared" si="104"/>
        <v>0</v>
      </c>
      <c r="G125" s="11">
        <f t="shared" si="104"/>
        <v>0</v>
      </c>
      <c r="H125" s="11">
        <f t="shared" si="104"/>
        <v>0</v>
      </c>
      <c r="I125" s="11">
        <f t="shared" si="104"/>
        <v>0</v>
      </c>
      <c r="J125" s="11">
        <f t="shared" si="104"/>
        <v>0</v>
      </c>
      <c r="K125" s="11">
        <f t="shared" si="104"/>
        <v>0</v>
      </c>
      <c r="L125" s="11">
        <f t="shared" si="104"/>
        <v>0</v>
      </c>
      <c r="M125" s="13" t="s">
        <v>184</v>
      </c>
      <c r="N125" s="11">
        <f t="shared" si="105"/>
        <v>0</v>
      </c>
      <c r="O125" s="11">
        <f t="shared" si="106"/>
        <v>0</v>
      </c>
      <c r="P125" s="11">
        <f t="shared" si="60"/>
        <v>0</v>
      </c>
      <c r="Q125" s="11">
        <v>0</v>
      </c>
      <c r="R125" s="11">
        <f t="shared" si="107"/>
        <v>0</v>
      </c>
      <c r="S125" s="11"/>
      <c r="T125" s="11"/>
      <c r="U125" s="11">
        <f t="shared" si="62"/>
        <v>0</v>
      </c>
      <c r="V125" s="11">
        <f t="shared" si="61"/>
        <v>0</v>
      </c>
      <c r="W125" s="11"/>
      <c r="X125" s="160">
        <f t="shared" si="63"/>
        <v>0</v>
      </c>
      <c r="Z125" s="182"/>
    </row>
    <row r="126" spans="1:26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13"/>
      <c r="N126" s="7">
        <f t="shared" si="65"/>
        <v>0</v>
      </c>
      <c r="O126" s="7">
        <f t="shared" si="66"/>
        <v>0</v>
      </c>
      <c r="P126" s="7">
        <f t="shared" si="60"/>
        <v>0</v>
      </c>
      <c r="Q126" s="7">
        <v>0</v>
      </c>
      <c r="R126" s="7"/>
      <c r="S126" s="7"/>
      <c r="T126" s="7"/>
      <c r="U126" s="7">
        <f t="shared" si="62"/>
        <v>0</v>
      </c>
      <c r="V126" s="7">
        <f t="shared" si="61"/>
        <v>0</v>
      </c>
      <c r="W126" s="7"/>
      <c r="X126" s="159"/>
      <c r="Z126" s="182"/>
    </row>
    <row r="127" spans="1:26" x14ac:dyDescent="0.3">
      <c r="A127" s="4">
        <f>SUM(A114:A125)</f>
        <v>137037.52800000002</v>
      </c>
      <c r="B127" s="4">
        <f t="shared" ref="B127:L127" si="110">SUM(B114:B125)</f>
        <v>137037.52800000002</v>
      </c>
      <c r="C127" s="4">
        <f t="shared" si="110"/>
        <v>137037.52800000002</v>
      </c>
      <c r="D127" s="4">
        <f t="shared" si="110"/>
        <v>137037.52800000002</v>
      </c>
      <c r="E127" s="4">
        <f t="shared" si="110"/>
        <v>137037.52800000002</v>
      </c>
      <c r="F127" s="4">
        <f t="shared" si="110"/>
        <v>137037.52800000002</v>
      </c>
      <c r="G127" s="4">
        <f t="shared" si="110"/>
        <v>137037.52800000002</v>
      </c>
      <c r="H127" s="4">
        <f t="shared" si="110"/>
        <v>137037.52800000002</v>
      </c>
      <c r="I127" s="4">
        <f t="shared" si="110"/>
        <v>137037.52800000002</v>
      </c>
      <c r="J127" s="4">
        <f t="shared" si="110"/>
        <v>137037.52800000002</v>
      </c>
      <c r="K127" s="4">
        <f t="shared" si="110"/>
        <v>137037.52800000002</v>
      </c>
      <c r="L127" s="4">
        <f t="shared" si="110"/>
        <v>137035.52800000002</v>
      </c>
      <c r="M127" s="13" t="s">
        <v>185</v>
      </c>
      <c r="N127" s="4">
        <f t="shared" ref="N127:O127" si="111">SUM(N114:N125)</f>
        <v>0</v>
      </c>
      <c r="O127" s="4">
        <f t="shared" si="111"/>
        <v>1644448.3360000006</v>
      </c>
      <c r="P127" s="4">
        <f t="shared" ref="P127:Q127" si="112">SUM(P114:P125)</f>
        <v>1644448.3360000006</v>
      </c>
      <c r="Q127" s="4">
        <f t="shared" si="112"/>
        <v>1644448.3360000006</v>
      </c>
      <c r="R127" s="4">
        <f t="shared" ref="R127:W127" si="113">SUM(R114:R125)</f>
        <v>0</v>
      </c>
      <c r="S127" s="4">
        <f t="shared" ref="S127" si="114">SUM(S114:S125)</f>
        <v>0</v>
      </c>
      <c r="T127" s="4">
        <f>SUM(T114:T125)</f>
        <v>284575</v>
      </c>
      <c r="U127" s="4">
        <f t="shared" si="62"/>
        <v>1929023.3360000006</v>
      </c>
      <c r="V127" s="4">
        <f t="shared" si="61"/>
        <v>284575</v>
      </c>
      <c r="W127" s="4">
        <f t="shared" si="113"/>
        <v>0</v>
      </c>
      <c r="X127" s="162">
        <f t="shared" si="63"/>
        <v>0</v>
      </c>
      <c r="Z127" s="182"/>
    </row>
    <row r="128" spans="1:26" x14ac:dyDescent="0.3">
      <c r="A128" s="82"/>
      <c r="B128" s="81"/>
      <c r="C128" s="81"/>
      <c r="D128" s="82"/>
      <c r="E128" s="86"/>
      <c r="F128" s="86"/>
      <c r="G128" s="86"/>
      <c r="H128" s="86"/>
      <c r="I128" s="87"/>
      <c r="J128" s="87"/>
      <c r="K128" s="88"/>
      <c r="L128" s="88"/>
      <c r="M128" s="122"/>
      <c r="N128" s="86">
        <f t="shared" si="65"/>
        <v>0</v>
      </c>
      <c r="O128" s="86">
        <f t="shared" si="66"/>
        <v>0</v>
      </c>
      <c r="P128" s="86">
        <f t="shared" si="60"/>
        <v>0</v>
      </c>
      <c r="Q128" s="81"/>
      <c r="R128" s="81"/>
      <c r="S128" s="81"/>
      <c r="T128" s="81"/>
      <c r="U128" s="81">
        <f t="shared" si="62"/>
        <v>0</v>
      </c>
      <c r="V128" s="81">
        <f t="shared" si="61"/>
        <v>0</v>
      </c>
      <c r="W128" s="81"/>
      <c r="X128" s="204"/>
      <c r="Z128" s="182"/>
    </row>
    <row r="129" spans="1:26" x14ac:dyDescent="0.3">
      <c r="A129" s="4">
        <f>A112+A127</f>
        <v>1012223.5523263001</v>
      </c>
      <c r="B129" s="4">
        <f t="shared" ref="B129:L129" si="115">B112+B127</f>
        <v>1344672.9522863</v>
      </c>
      <c r="C129" s="4">
        <f t="shared" si="115"/>
        <v>1529600.8629262999</v>
      </c>
      <c r="D129" s="4">
        <f t="shared" si="115"/>
        <v>1710741.4587662998</v>
      </c>
      <c r="E129" s="4">
        <f t="shared" si="115"/>
        <v>1297081.3125263001</v>
      </c>
      <c r="F129" s="4">
        <f t="shared" si="115"/>
        <v>1042869.7446063</v>
      </c>
      <c r="G129" s="4">
        <f t="shared" si="115"/>
        <v>1042869.7446063</v>
      </c>
      <c r="H129" s="4">
        <f t="shared" si="115"/>
        <v>1166742.3546062999</v>
      </c>
      <c r="I129" s="4">
        <f t="shared" si="115"/>
        <v>1042869.7446063</v>
      </c>
      <c r="J129" s="4">
        <f t="shared" si="115"/>
        <v>1042869.7446063</v>
      </c>
      <c r="K129" s="4">
        <f t="shared" si="115"/>
        <v>1042869.7446063</v>
      </c>
      <c r="L129" s="4">
        <f t="shared" si="115"/>
        <v>1050471.8262639712</v>
      </c>
      <c r="M129" s="378" t="s">
        <v>186</v>
      </c>
      <c r="N129" s="4">
        <f t="shared" ref="N129:O129" si="116">N112+N127</f>
        <v>0</v>
      </c>
      <c r="O129" s="4">
        <f t="shared" si="116"/>
        <v>14325883.042733273</v>
      </c>
      <c r="P129" s="4">
        <f t="shared" ref="P129:Q129" si="117">P112+P127</f>
        <v>14325883.042733273</v>
      </c>
      <c r="Q129" s="4">
        <f t="shared" si="117"/>
        <v>14325883.042733273</v>
      </c>
      <c r="R129" s="4">
        <f>R112+R127</f>
        <v>0</v>
      </c>
      <c r="S129" s="4">
        <f t="shared" ref="S129" si="118">S112+S127</f>
        <v>214523</v>
      </c>
      <c r="T129" s="4">
        <f>T112+T127</f>
        <v>231010.99999999988</v>
      </c>
      <c r="U129" s="4">
        <f>S129+Q129+T129</f>
        <v>14771417.042733273</v>
      </c>
      <c r="V129" s="4">
        <f t="shared" si="61"/>
        <v>445534</v>
      </c>
      <c r="W129" s="4">
        <f>W112+W127</f>
        <v>0</v>
      </c>
      <c r="X129" s="162">
        <f t="shared" si="63"/>
        <v>0</v>
      </c>
      <c r="Z129" s="182"/>
    </row>
    <row r="131" spans="1:26" x14ac:dyDescent="0.3">
      <c r="Q131" s="167"/>
    </row>
    <row r="132" spans="1:26" x14ac:dyDescent="0.3">
      <c r="Q132" s="167"/>
      <c r="R132" s="353" t="s">
        <v>376</v>
      </c>
      <c r="S132" s="353"/>
    </row>
  </sheetData>
  <mergeCells count="3">
    <mergeCell ref="A3:L3"/>
    <mergeCell ref="N3:W3"/>
    <mergeCell ref="M4:M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3:AB134"/>
  <sheetViews>
    <sheetView zoomScale="60" zoomScaleNormal="60" workbookViewId="0">
      <pane xSplit="13" ySplit="6" topLeftCell="N109" activePane="bottomRight" state="frozen"/>
      <selection pane="topRight" activeCell="N1" sqref="N1"/>
      <selection pane="bottomLeft" activeCell="A7" sqref="A7"/>
      <selection pane="bottomRight" activeCell="P129" sqref="P129:Q129"/>
    </sheetView>
  </sheetViews>
  <sheetFormatPr defaultRowHeight="14.4" x14ac:dyDescent="0.3"/>
  <cols>
    <col min="1" max="1" width="13.33203125" bestFit="1" customWidth="1"/>
    <col min="2" max="2" width="12.88671875" bestFit="1" customWidth="1"/>
    <col min="3" max="4" width="14.88671875" bestFit="1" customWidth="1"/>
    <col min="5" max="6" width="13.33203125" bestFit="1" customWidth="1"/>
    <col min="7" max="8" width="14.88671875" bestFit="1" customWidth="1"/>
    <col min="9" max="10" width="13.33203125" bestFit="1" customWidth="1"/>
    <col min="11" max="12" width="14.44140625" bestFit="1" customWidth="1"/>
    <col min="13" max="13" width="61.33203125" bestFit="1" customWidth="1"/>
    <col min="14" max="14" width="13.6640625" customWidth="1"/>
    <col min="15" max="15" width="14.5546875" bestFit="1" customWidth="1"/>
    <col min="16" max="16" width="15.6640625" customWidth="1"/>
    <col min="17" max="17" width="17" bestFit="1" customWidth="1"/>
    <col min="18" max="18" width="13.6640625" hidden="1" customWidth="1"/>
    <col min="19" max="19" width="13.6640625" style="167" hidden="1" customWidth="1"/>
    <col min="20" max="20" width="14.33203125" hidden="1" customWidth="1"/>
    <col min="21" max="21" width="20.88671875" hidden="1" customWidth="1"/>
    <col min="22" max="22" width="13.6640625" hidden="1" customWidth="1"/>
    <col min="23" max="23" width="35" hidden="1" customWidth="1"/>
    <col min="24" max="24" width="10.33203125" customWidth="1"/>
    <col min="28" max="28" width="12.88671875" customWidth="1"/>
  </cols>
  <sheetData>
    <row r="3" spans="1:24" x14ac:dyDescent="0.3">
      <c r="A3" s="408" t="s">
        <v>231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14" t="s">
        <v>69</v>
      </c>
      <c r="N3" s="424" t="s">
        <v>226</v>
      </c>
      <c r="O3" s="425"/>
      <c r="P3" s="425"/>
      <c r="Q3" s="425"/>
      <c r="R3" s="425"/>
      <c r="S3" s="425"/>
      <c r="T3" s="425"/>
      <c r="U3" s="425"/>
      <c r="V3" s="425"/>
      <c r="W3" s="425"/>
      <c r="X3" s="213"/>
    </row>
    <row r="4" spans="1:24" ht="65.25" customHeight="1" x14ac:dyDescent="0.3">
      <c r="A4" s="125">
        <v>44287</v>
      </c>
      <c r="B4" s="125">
        <v>44317</v>
      </c>
      <c r="C4" s="125">
        <v>44348</v>
      </c>
      <c r="D4" s="125">
        <v>44378</v>
      </c>
      <c r="E4" s="125">
        <v>44409</v>
      </c>
      <c r="F4" s="125">
        <v>44440</v>
      </c>
      <c r="G4" s="125">
        <v>44470</v>
      </c>
      <c r="H4" s="125">
        <v>44501</v>
      </c>
      <c r="I4" s="125">
        <v>44531</v>
      </c>
      <c r="J4" s="125">
        <v>44562</v>
      </c>
      <c r="K4" s="125">
        <v>44593</v>
      </c>
      <c r="L4" s="125">
        <v>44621</v>
      </c>
      <c r="M4" s="429" t="s">
        <v>263</v>
      </c>
      <c r="N4" s="243" t="s">
        <v>411</v>
      </c>
      <c r="O4" s="243" t="s">
        <v>413</v>
      </c>
      <c r="P4" s="243" t="s">
        <v>407</v>
      </c>
      <c r="Q4" s="243" t="s">
        <v>407</v>
      </c>
      <c r="R4" s="243" t="s">
        <v>228</v>
      </c>
      <c r="S4" s="243" t="s">
        <v>378</v>
      </c>
      <c r="T4" s="243" t="s">
        <v>294</v>
      </c>
      <c r="U4" s="243" t="s">
        <v>74</v>
      </c>
      <c r="V4" s="243" t="s">
        <v>295</v>
      </c>
      <c r="W4" s="243" t="s">
        <v>229</v>
      </c>
      <c r="X4" s="373" t="s">
        <v>271</v>
      </c>
    </row>
    <row r="5" spans="1:24" ht="27.6" customHeight="1" x14ac:dyDescent="0.3">
      <c r="A5" s="10" t="s">
        <v>1</v>
      </c>
      <c r="B5" s="10" t="s">
        <v>1</v>
      </c>
      <c r="C5" s="10" t="s">
        <v>1</v>
      </c>
      <c r="D5" s="10" t="s">
        <v>1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430"/>
      <c r="N5" s="201" t="s">
        <v>2</v>
      </c>
      <c r="O5" s="10" t="s">
        <v>1</v>
      </c>
      <c r="P5" s="289" t="s">
        <v>502</v>
      </c>
      <c r="Q5" s="289" t="s">
        <v>241</v>
      </c>
      <c r="R5" s="10" t="s">
        <v>399</v>
      </c>
      <c r="S5" s="289" t="s">
        <v>235</v>
      </c>
      <c r="T5" s="289" t="s">
        <v>235</v>
      </c>
      <c r="U5" s="289" t="s">
        <v>235</v>
      </c>
      <c r="V5" s="10" t="s">
        <v>399</v>
      </c>
      <c r="W5" s="10" t="s">
        <v>400</v>
      </c>
      <c r="X5" s="10" t="s">
        <v>13</v>
      </c>
    </row>
    <row r="6" spans="1:2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24"/>
      <c r="N6" s="1"/>
      <c r="O6" s="1"/>
      <c r="P6" s="1"/>
      <c r="Q6" s="1"/>
      <c r="R6" s="1"/>
      <c r="S6" s="1"/>
      <c r="T6" s="1"/>
      <c r="U6" s="1"/>
      <c r="V6" s="1"/>
      <c r="W6" s="1"/>
      <c r="X6" s="214"/>
    </row>
    <row r="7" spans="1:24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238" t="s">
        <v>414</v>
      </c>
      <c r="N7" s="8">
        <f>SUM(0)</f>
        <v>0</v>
      </c>
      <c r="O7" s="8">
        <f>SUM(A7:L7)</f>
        <v>0</v>
      </c>
      <c r="P7" s="8">
        <f>SUM(N7:O7)</f>
        <v>0</v>
      </c>
      <c r="Q7" s="8">
        <v>0</v>
      </c>
      <c r="R7" s="8">
        <f>Q7-P7</f>
        <v>0</v>
      </c>
      <c r="S7" s="8"/>
      <c r="T7" s="8"/>
      <c r="U7" s="8">
        <v>0</v>
      </c>
      <c r="V7" s="8">
        <f>U7-P7</f>
        <v>0</v>
      </c>
      <c r="W7" s="8"/>
      <c r="X7" s="215"/>
    </row>
    <row r="8" spans="1:24" x14ac:dyDescent="0.3">
      <c r="A8" s="168">
        <f>(643856.15+229.69+790)*1.058</f>
        <v>682278.63872000005</v>
      </c>
      <c r="B8" s="168">
        <f>(643856.15+229.69+790)*1.058</f>
        <v>682278.63872000005</v>
      </c>
      <c r="C8" s="168">
        <f>(653809.91)*1.058</f>
        <v>691730.88478000008</v>
      </c>
      <c r="D8" s="168">
        <f t="shared" ref="D8:K8" si="0">(653809.91)*1.058</f>
        <v>691730.88478000008</v>
      </c>
      <c r="E8" s="168">
        <f t="shared" si="0"/>
        <v>691730.88478000008</v>
      </c>
      <c r="F8" s="168">
        <f t="shared" si="0"/>
        <v>691730.88478000008</v>
      </c>
      <c r="G8" s="168">
        <f t="shared" si="0"/>
        <v>691730.88478000008</v>
      </c>
      <c r="H8" s="168">
        <f t="shared" si="0"/>
        <v>691730.88478000008</v>
      </c>
      <c r="I8" s="168">
        <f t="shared" si="0"/>
        <v>691730.88478000008</v>
      </c>
      <c r="J8" s="168">
        <f t="shared" si="0"/>
        <v>691730.88478000008</v>
      </c>
      <c r="K8" s="168">
        <f t="shared" si="0"/>
        <v>691730.88478000008</v>
      </c>
      <c r="L8" s="168">
        <f>((653809.91)*1.058)+309.18</f>
        <v>692040.06478000013</v>
      </c>
      <c r="M8" s="13" t="s">
        <v>415</v>
      </c>
      <c r="N8" s="7">
        <f t="shared" ref="N8:N16" si="1">SUM(0)</f>
        <v>0</v>
      </c>
      <c r="O8" s="7">
        <f t="shared" ref="O8:O16" si="2">SUM(A8:L8)</f>
        <v>8282175.3052399997</v>
      </c>
      <c r="P8" s="7">
        <f t="shared" ref="P8:P71" si="3">SUM(N8:O8)</f>
        <v>8282175.3052399997</v>
      </c>
      <c r="Q8" s="7">
        <v>8282175.3052399997</v>
      </c>
      <c r="R8" s="7">
        <f t="shared" ref="R8:R16" si="4">Q8-P8</f>
        <v>0</v>
      </c>
      <c r="S8" s="7"/>
      <c r="T8" s="7"/>
      <c r="U8" s="7">
        <v>7173751.495529999</v>
      </c>
      <c r="V8" s="7">
        <f t="shared" ref="V8:V71" si="5">U8-P8</f>
        <v>-1108423.8097100006</v>
      </c>
      <c r="W8" s="7"/>
      <c r="X8" s="216">
        <f>IFERROR(N8/Q8,0)</f>
        <v>0</v>
      </c>
    </row>
    <row r="9" spans="1:24" x14ac:dyDescent="0.3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>
        <v>12407.062400000001</v>
      </c>
      <c r="M9" s="13" t="s">
        <v>416</v>
      </c>
      <c r="N9" s="7">
        <f t="shared" si="1"/>
        <v>0</v>
      </c>
      <c r="O9" s="7">
        <f t="shared" si="2"/>
        <v>12407.062400000001</v>
      </c>
      <c r="P9" s="7">
        <f t="shared" si="3"/>
        <v>12407.062400000001</v>
      </c>
      <c r="Q9" s="7">
        <v>12407.062400000001</v>
      </c>
      <c r="R9" s="7">
        <f t="shared" si="4"/>
        <v>0</v>
      </c>
      <c r="S9" s="7"/>
      <c r="T9" s="7"/>
      <c r="U9" s="7">
        <v>9326</v>
      </c>
      <c r="V9" s="7">
        <f t="shared" si="5"/>
        <v>-3081.0624000000007</v>
      </c>
      <c r="W9" s="7"/>
      <c r="X9" s="216">
        <f t="shared" ref="X9:X72" si="6">IFERROR(N9/Q9,0)</f>
        <v>0</v>
      </c>
    </row>
    <row r="10" spans="1:24" x14ac:dyDescent="0.3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3" t="s">
        <v>417</v>
      </c>
      <c r="N10" s="7">
        <f t="shared" si="1"/>
        <v>0</v>
      </c>
      <c r="O10" s="7">
        <f t="shared" si="2"/>
        <v>0</v>
      </c>
      <c r="P10" s="7">
        <f t="shared" si="3"/>
        <v>0</v>
      </c>
      <c r="Q10" s="7">
        <v>0</v>
      </c>
      <c r="R10" s="7">
        <f t="shared" si="4"/>
        <v>0</v>
      </c>
      <c r="S10" s="7"/>
      <c r="T10" s="7"/>
      <c r="U10" s="7">
        <v>0</v>
      </c>
      <c r="V10" s="7">
        <f t="shared" si="5"/>
        <v>0</v>
      </c>
      <c r="W10" s="7"/>
      <c r="X10" s="216">
        <f t="shared" si="6"/>
        <v>0</v>
      </c>
    </row>
    <row r="11" spans="1:24" x14ac:dyDescent="0.3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3" t="s">
        <v>418</v>
      </c>
      <c r="N11" s="7">
        <f t="shared" si="1"/>
        <v>0</v>
      </c>
      <c r="O11" s="7">
        <f t="shared" si="2"/>
        <v>0</v>
      </c>
      <c r="P11" s="7">
        <f t="shared" si="3"/>
        <v>0</v>
      </c>
      <c r="Q11" s="7">
        <v>0</v>
      </c>
      <c r="R11" s="7">
        <f t="shared" si="4"/>
        <v>0</v>
      </c>
      <c r="S11" s="7"/>
      <c r="T11" s="7"/>
      <c r="U11" s="7">
        <v>0</v>
      </c>
      <c r="V11" s="7">
        <f t="shared" si="5"/>
        <v>0</v>
      </c>
      <c r="W11" s="7"/>
      <c r="X11" s="216">
        <f t="shared" si="6"/>
        <v>0</v>
      </c>
    </row>
    <row r="12" spans="1:24" x14ac:dyDescent="0.3">
      <c r="A12" s="168">
        <f>2576.64*1.048</f>
        <v>2700.3187199999998</v>
      </c>
      <c r="B12" s="168">
        <f t="shared" ref="B12:L12" si="7">2576.64*1.048</f>
        <v>2700.3187199999998</v>
      </c>
      <c r="C12" s="168">
        <f t="shared" si="7"/>
        <v>2700.3187199999998</v>
      </c>
      <c r="D12" s="168">
        <f t="shared" si="7"/>
        <v>2700.3187199999998</v>
      </c>
      <c r="E12" s="168">
        <f t="shared" si="7"/>
        <v>2700.3187199999998</v>
      </c>
      <c r="F12" s="168">
        <f t="shared" si="7"/>
        <v>2700.3187199999998</v>
      </c>
      <c r="G12" s="168">
        <f t="shared" si="7"/>
        <v>2700.3187199999998</v>
      </c>
      <c r="H12" s="168">
        <f t="shared" si="7"/>
        <v>2700.3187199999998</v>
      </c>
      <c r="I12" s="168">
        <f t="shared" si="7"/>
        <v>2700.3187199999998</v>
      </c>
      <c r="J12" s="168">
        <f t="shared" si="7"/>
        <v>2700.3187199999998</v>
      </c>
      <c r="K12" s="168">
        <f t="shared" si="7"/>
        <v>2700.3187199999998</v>
      </c>
      <c r="L12" s="168">
        <f t="shared" si="7"/>
        <v>2700.3187199999998</v>
      </c>
      <c r="M12" s="13" t="s">
        <v>419</v>
      </c>
      <c r="N12" s="7">
        <f t="shared" si="1"/>
        <v>0</v>
      </c>
      <c r="O12" s="7">
        <f t="shared" si="2"/>
        <v>32403.824639999995</v>
      </c>
      <c r="P12" s="7">
        <f t="shared" si="3"/>
        <v>32403.824639999995</v>
      </c>
      <c r="Q12" s="7">
        <v>32403.824639999995</v>
      </c>
      <c r="R12" s="7">
        <f t="shared" si="4"/>
        <v>0</v>
      </c>
      <c r="S12" s="7"/>
      <c r="T12" s="7"/>
      <c r="U12" s="7">
        <v>29476.63953</v>
      </c>
      <c r="V12" s="7">
        <f t="shared" si="5"/>
        <v>-2927.1851099999949</v>
      </c>
      <c r="W12" s="7"/>
      <c r="X12" s="216">
        <f t="shared" si="6"/>
        <v>0</v>
      </c>
    </row>
    <row r="13" spans="1:24" x14ac:dyDescent="0.3">
      <c r="A13" s="168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3" t="s">
        <v>420</v>
      </c>
      <c r="N13" s="7">
        <f t="shared" si="1"/>
        <v>0</v>
      </c>
      <c r="O13" s="7">
        <f t="shared" si="2"/>
        <v>0</v>
      </c>
      <c r="P13" s="7">
        <f t="shared" si="3"/>
        <v>0</v>
      </c>
      <c r="Q13" s="7">
        <v>0</v>
      </c>
      <c r="R13" s="7">
        <f t="shared" si="4"/>
        <v>0</v>
      </c>
      <c r="S13" s="7"/>
      <c r="T13" s="7"/>
      <c r="U13" s="7">
        <v>0</v>
      </c>
      <c r="V13" s="7">
        <f t="shared" si="5"/>
        <v>0</v>
      </c>
      <c r="W13" s="7"/>
      <c r="X13" s="216">
        <f t="shared" si="6"/>
        <v>0</v>
      </c>
    </row>
    <row r="14" spans="1:24" x14ac:dyDescent="0.3">
      <c r="A14" s="168"/>
      <c r="B14" s="168"/>
      <c r="C14" s="168"/>
      <c r="D14" s="168"/>
      <c r="E14" s="168"/>
      <c r="F14" s="168"/>
      <c r="G14" s="168"/>
      <c r="H14" s="168">
        <f>418905.18</f>
        <v>418905.18</v>
      </c>
      <c r="I14" s="168"/>
      <c r="J14" s="168"/>
      <c r="K14" s="168"/>
      <c r="L14" s="168">
        <v>0</v>
      </c>
      <c r="M14" s="13" t="s">
        <v>421</v>
      </c>
      <c r="N14" s="7">
        <f t="shared" si="1"/>
        <v>0</v>
      </c>
      <c r="O14" s="7">
        <f t="shared" si="2"/>
        <v>418905.18</v>
      </c>
      <c r="P14" s="7">
        <f t="shared" si="3"/>
        <v>418905.18</v>
      </c>
      <c r="Q14" s="7">
        <v>418905.18</v>
      </c>
      <c r="R14" s="7">
        <f t="shared" si="4"/>
        <v>0</v>
      </c>
      <c r="S14" s="7"/>
      <c r="T14" s="7"/>
      <c r="U14" s="7">
        <v>499043.58229773899</v>
      </c>
      <c r="V14" s="7">
        <f t="shared" si="5"/>
        <v>80138.402297738998</v>
      </c>
      <c r="W14" s="7"/>
      <c r="X14" s="216">
        <f t="shared" si="6"/>
        <v>0</v>
      </c>
    </row>
    <row r="15" spans="1:24" x14ac:dyDescent="0.3">
      <c r="A15" s="168"/>
      <c r="B15" s="168"/>
      <c r="C15" s="168"/>
      <c r="D15" s="168"/>
      <c r="E15" s="168">
        <f>3000*1.048</f>
        <v>3144</v>
      </c>
      <c r="F15" s="168"/>
      <c r="G15" s="168"/>
      <c r="H15" s="168"/>
      <c r="I15" s="168"/>
      <c r="J15" s="168"/>
      <c r="K15" s="168"/>
      <c r="L15" s="168"/>
      <c r="M15" s="13" t="s">
        <v>422</v>
      </c>
      <c r="N15" s="7">
        <f t="shared" si="1"/>
        <v>0</v>
      </c>
      <c r="O15" s="7">
        <f t="shared" si="2"/>
        <v>3144</v>
      </c>
      <c r="P15" s="7">
        <f t="shared" si="3"/>
        <v>3144</v>
      </c>
      <c r="Q15" s="7">
        <v>3144</v>
      </c>
      <c r="R15" s="7">
        <f t="shared" si="4"/>
        <v>0</v>
      </c>
      <c r="S15" s="7"/>
      <c r="T15" s="7"/>
      <c r="U15" s="7">
        <v>45000</v>
      </c>
      <c r="V15" s="7">
        <f t="shared" si="5"/>
        <v>41856</v>
      </c>
      <c r="W15" s="7"/>
      <c r="X15" s="216">
        <f t="shared" si="6"/>
        <v>0</v>
      </c>
    </row>
    <row r="16" spans="1:24" x14ac:dyDescent="0.3">
      <c r="A16" s="217"/>
      <c r="B16" s="217">
        <v>0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13" t="s">
        <v>423</v>
      </c>
      <c r="N16" s="11">
        <f t="shared" si="1"/>
        <v>0</v>
      </c>
      <c r="O16" s="11">
        <f t="shared" si="2"/>
        <v>0</v>
      </c>
      <c r="P16" s="11">
        <f t="shared" si="3"/>
        <v>0</v>
      </c>
      <c r="Q16" s="11">
        <v>0</v>
      </c>
      <c r="R16" s="11">
        <f t="shared" si="4"/>
        <v>0</v>
      </c>
      <c r="S16" s="11"/>
      <c r="T16" s="11"/>
      <c r="U16" s="11">
        <v>0</v>
      </c>
      <c r="V16" s="11">
        <f t="shared" si="5"/>
        <v>0</v>
      </c>
      <c r="W16" s="11"/>
      <c r="X16" s="218">
        <f t="shared" si="6"/>
        <v>0</v>
      </c>
    </row>
    <row r="17" spans="1:28" x14ac:dyDescent="0.3">
      <c r="A17" s="219"/>
      <c r="B17" s="219"/>
      <c r="C17" s="219"/>
      <c r="D17" s="220"/>
      <c r="E17" s="221"/>
      <c r="F17" s="221"/>
      <c r="G17" s="221"/>
      <c r="H17" s="221"/>
      <c r="I17" s="221"/>
      <c r="J17" s="221"/>
      <c r="K17" s="222"/>
      <c r="L17" s="222"/>
      <c r="M17" s="13"/>
      <c r="N17" s="83">
        <f t="shared" ref="N17:N66" si="8">SUM(A17:J17)</f>
        <v>0</v>
      </c>
      <c r="O17" s="83">
        <f t="shared" ref="O17:O66" si="9">SUM(K17:L17)</f>
        <v>0</v>
      </c>
      <c r="P17" s="83">
        <f t="shared" si="3"/>
        <v>0</v>
      </c>
      <c r="Q17" s="83">
        <v>0</v>
      </c>
      <c r="R17" s="81"/>
      <c r="S17" s="81"/>
      <c r="T17" s="81"/>
      <c r="U17" s="81">
        <v>0</v>
      </c>
      <c r="V17" s="81">
        <f t="shared" si="5"/>
        <v>0</v>
      </c>
      <c r="W17" s="81"/>
      <c r="X17" s="223"/>
    </row>
    <row r="18" spans="1:28" x14ac:dyDescent="0.3">
      <c r="A18" s="224">
        <f>SUM(A7:A16)</f>
        <v>684978.95744000003</v>
      </c>
      <c r="B18" s="224">
        <f t="shared" ref="B18:L18" si="10">SUM(B7:B16)</f>
        <v>684978.95744000003</v>
      </c>
      <c r="C18" s="224">
        <f t="shared" si="10"/>
        <v>694431.20350000006</v>
      </c>
      <c r="D18" s="224">
        <f t="shared" si="10"/>
        <v>694431.20350000006</v>
      </c>
      <c r="E18" s="224">
        <f t="shared" si="10"/>
        <v>697575.20350000006</v>
      </c>
      <c r="F18" s="224">
        <f t="shared" si="10"/>
        <v>694431.20350000006</v>
      </c>
      <c r="G18" s="224">
        <f t="shared" si="10"/>
        <v>694431.20350000006</v>
      </c>
      <c r="H18" s="224">
        <f t="shared" si="10"/>
        <v>1113336.3835</v>
      </c>
      <c r="I18" s="224">
        <f t="shared" si="10"/>
        <v>694431.20350000006</v>
      </c>
      <c r="J18" s="224">
        <f t="shared" si="10"/>
        <v>694431.20350000006</v>
      </c>
      <c r="K18" s="224">
        <f t="shared" si="10"/>
        <v>694431.20350000006</v>
      </c>
      <c r="L18" s="224">
        <f t="shared" si="10"/>
        <v>707147.44590000017</v>
      </c>
      <c r="M18" s="13" t="s">
        <v>89</v>
      </c>
      <c r="N18" s="4">
        <f t="shared" ref="N18:O18" si="11">SUM(N7:N17)</f>
        <v>0</v>
      </c>
      <c r="O18" s="4">
        <f t="shared" si="11"/>
        <v>8749035.3722799998</v>
      </c>
      <c r="P18" s="4">
        <f t="shared" ref="P18:Q18" si="12">SUM(P7:P17)</f>
        <v>8749035.3722799998</v>
      </c>
      <c r="Q18" s="4">
        <f t="shared" si="12"/>
        <v>8749035.3722799998</v>
      </c>
      <c r="R18" s="4">
        <f>SUM(R8:R16)</f>
        <v>0</v>
      </c>
      <c r="S18" s="4">
        <v>0</v>
      </c>
      <c r="T18" s="4">
        <v>0</v>
      </c>
      <c r="U18" s="4">
        <v>7756597.7173577379</v>
      </c>
      <c r="V18" s="4">
        <f t="shared" si="5"/>
        <v>-992437.65492226183</v>
      </c>
      <c r="W18" s="4">
        <f t="shared" ref="W18" si="13">SUM(W8:W16)</f>
        <v>0</v>
      </c>
      <c r="X18" s="225">
        <f t="shared" si="6"/>
        <v>0</v>
      </c>
      <c r="AA18" s="167"/>
      <c r="AB18" s="182"/>
    </row>
    <row r="19" spans="1:28" x14ac:dyDescent="0.3">
      <c r="A19" s="219"/>
      <c r="B19" s="219"/>
      <c r="C19" s="219"/>
      <c r="D19" s="219"/>
      <c r="E19" s="220"/>
      <c r="F19" s="220"/>
      <c r="G19" s="220"/>
      <c r="H19" s="226"/>
      <c r="I19" s="226"/>
      <c r="J19" s="226"/>
      <c r="K19" s="227"/>
      <c r="L19" s="227"/>
      <c r="M19" s="122"/>
      <c r="N19" s="86">
        <f t="shared" si="8"/>
        <v>0</v>
      </c>
      <c r="O19" s="86">
        <f t="shared" si="9"/>
        <v>0</v>
      </c>
      <c r="P19" s="86">
        <f t="shared" si="3"/>
        <v>0</v>
      </c>
      <c r="Q19" s="81">
        <v>0</v>
      </c>
      <c r="R19" s="81"/>
      <c r="S19" s="81"/>
      <c r="T19" s="81"/>
      <c r="U19" s="81">
        <v>0</v>
      </c>
      <c r="V19" s="81">
        <f t="shared" si="5"/>
        <v>0</v>
      </c>
      <c r="W19" s="81"/>
      <c r="X19" s="223"/>
    </row>
    <row r="20" spans="1:28" x14ac:dyDescent="0.3">
      <c r="A20" s="8">
        <f t="shared" ref="A20:L26" si="14">$Q20/12</f>
        <v>0</v>
      </c>
      <c r="B20" s="8">
        <f t="shared" si="14"/>
        <v>0</v>
      </c>
      <c r="C20" s="8">
        <f t="shared" si="14"/>
        <v>0</v>
      </c>
      <c r="D20" s="8">
        <f t="shared" si="14"/>
        <v>0</v>
      </c>
      <c r="E20" s="8">
        <f t="shared" si="14"/>
        <v>0</v>
      </c>
      <c r="F20" s="8">
        <f t="shared" si="14"/>
        <v>0</v>
      </c>
      <c r="G20" s="8">
        <f t="shared" si="14"/>
        <v>0</v>
      </c>
      <c r="H20" s="8">
        <f t="shared" si="14"/>
        <v>0</v>
      </c>
      <c r="I20" s="8">
        <f t="shared" si="14"/>
        <v>0</v>
      </c>
      <c r="J20" s="8">
        <f t="shared" si="14"/>
        <v>0</v>
      </c>
      <c r="K20" s="8">
        <f t="shared" si="14"/>
        <v>0</v>
      </c>
      <c r="L20" s="8">
        <f>$Q20/12</f>
        <v>0</v>
      </c>
      <c r="M20" s="238" t="s">
        <v>424</v>
      </c>
      <c r="N20" s="8">
        <f t="shared" ref="N20:N26" si="15">SUM(0)</f>
        <v>0</v>
      </c>
      <c r="O20" s="8">
        <f t="shared" ref="O20:O26" si="16">SUM(A20:L20)</f>
        <v>0</v>
      </c>
      <c r="P20" s="8">
        <f t="shared" si="3"/>
        <v>0</v>
      </c>
      <c r="Q20" s="8">
        <v>0</v>
      </c>
      <c r="R20" s="8">
        <f t="shared" ref="R20:R26" si="17">Q20-P20</f>
        <v>0</v>
      </c>
      <c r="S20" s="8"/>
      <c r="T20" s="8"/>
      <c r="U20" s="8">
        <v>0</v>
      </c>
      <c r="V20" s="8">
        <f t="shared" si="5"/>
        <v>0</v>
      </c>
      <c r="W20" s="8"/>
      <c r="X20" s="215">
        <f t="shared" si="6"/>
        <v>0</v>
      </c>
    </row>
    <row r="21" spans="1:28" ht="69" x14ac:dyDescent="0.3">
      <c r="A21" s="7">
        <f>135655*1.048</f>
        <v>142166.44</v>
      </c>
      <c r="B21" s="7">
        <f t="shared" ref="B21:K21" si="18">135655*1.048</f>
        <v>142166.44</v>
      </c>
      <c r="C21" s="7">
        <f t="shared" si="18"/>
        <v>142166.44</v>
      </c>
      <c r="D21" s="7">
        <f t="shared" si="18"/>
        <v>142166.44</v>
      </c>
      <c r="E21" s="7">
        <f t="shared" si="18"/>
        <v>142166.44</v>
      </c>
      <c r="F21" s="7">
        <f t="shared" si="18"/>
        <v>142166.44</v>
      </c>
      <c r="G21" s="7">
        <f t="shared" si="18"/>
        <v>142166.44</v>
      </c>
      <c r="H21" s="7">
        <f t="shared" si="18"/>
        <v>142166.44</v>
      </c>
      <c r="I21" s="7">
        <f t="shared" si="18"/>
        <v>142166.44</v>
      </c>
      <c r="J21" s="7">
        <f t="shared" si="18"/>
        <v>142166.44</v>
      </c>
      <c r="K21" s="7">
        <f t="shared" si="18"/>
        <v>142166.44</v>
      </c>
      <c r="L21" s="7">
        <f>142166+10764</f>
        <v>152930</v>
      </c>
      <c r="M21" s="13" t="s">
        <v>425</v>
      </c>
      <c r="N21" s="7">
        <f t="shared" si="15"/>
        <v>0</v>
      </c>
      <c r="O21" s="7">
        <f t="shared" si="16"/>
        <v>1716760.8399999996</v>
      </c>
      <c r="P21" s="7">
        <f t="shared" si="3"/>
        <v>1716760.8399999996</v>
      </c>
      <c r="Q21" s="7">
        <v>1716760.8399999996</v>
      </c>
      <c r="R21" s="7">
        <f t="shared" si="17"/>
        <v>0</v>
      </c>
      <c r="S21" s="7">
        <v>4059000</v>
      </c>
      <c r="T21" s="7">
        <v>-715404</v>
      </c>
      <c r="U21" s="7">
        <v>4943596</v>
      </c>
      <c r="V21" s="7">
        <f t="shared" si="5"/>
        <v>3226835.16</v>
      </c>
      <c r="W21" s="359" t="s">
        <v>396</v>
      </c>
      <c r="X21" s="216">
        <f t="shared" si="6"/>
        <v>0</v>
      </c>
    </row>
    <row r="22" spans="1:28" x14ac:dyDescent="0.3">
      <c r="A22" s="7">
        <f t="shared" si="14"/>
        <v>0</v>
      </c>
      <c r="B22" s="7">
        <f t="shared" si="14"/>
        <v>0</v>
      </c>
      <c r="C22" s="7">
        <f t="shared" si="14"/>
        <v>0</v>
      </c>
      <c r="D22" s="7">
        <f t="shared" si="14"/>
        <v>0</v>
      </c>
      <c r="E22" s="7">
        <f t="shared" si="14"/>
        <v>0</v>
      </c>
      <c r="F22" s="7">
        <f t="shared" si="14"/>
        <v>0</v>
      </c>
      <c r="G22" s="7">
        <f t="shared" si="14"/>
        <v>0</v>
      </c>
      <c r="H22" s="7">
        <f t="shared" si="14"/>
        <v>0</v>
      </c>
      <c r="I22" s="7">
        <f t="shared" si="14"/>
        <v>0</v>
      </c>
      <c r="J22" s="7">
        <f t="shared" si="14"/>
        <v>0</v>
      </c>
      <c r="K22" s="7">
        <f t="shared" si="14"/>
        <v>0</v>
      </c>
      <c r="L22" s="7">
        <f t="shared" si="14"/>
        <v>0</v>
      </c>
      <c r="M22" s="13" t="s">
        <v>426</v>
      </c>
      <c r="N22" s="7">
        <f t="shared" si="15"/>
        <v>0</v>
      </c>
      <c r="O22" s="7">
        <f t="shared" si="16"/>
        <v>0</v>
      </c>
      <c r="P22" s="7">
        <f t="shared" si="3"/>
        <v>0</v>
      </c>
      <c r="Q22" s="7">
        <v>0</v>
      </c>
      <c r="R22" s="7">
        <f t="shared" si="17"/>
        <v>0</v>
      </c>
      <c r="S22" s="7"/>
      <c r="T22" s="7"/>
      <c r="U22" s="7">
        <v>0</v>
      </c>
      <c r="V22" s="7">
        <f t="shared" si="5"/>
        <v>0</v>
      </c>
      <c r="W22" s="7"/>
      <c r="X22" s="216">
        <f t="shared" si="6"/>
        <v>0</v>
      </c>
    </row>
    <row r="23" spans="1:28" x14ac:dyDescent="0.3">
      <c r="A23" s="7">
        <f t="shared" si="14"/>
        <v>0</v>
      </c>
      <c r="B23" s="7">
        <f t="shared" si="14"/>
        <v>0</v>
      </c>
      <c r="C23" s="7">
        <f t="shared" si="14"/>
        <v>0</v>
      </c>
      <c r="D23" s="7">
        <f t="shared" si="14"/>
        <v>0</v>
      </c>
      <c r="E23" s="7">
        <f t="shared" si="14"/>
        <v>0</v>
      </c>
      <c r="F23" s="7">
        <f t="shared" si="14"/>
        <v>0</v>
      </c>
      <c r="G23" s="7">
        <f t="shared" si="14"/>
        <v>0</v>
      </c>
      <c r="H23" s="7">
        <f t="shared" si="14"/>
        <v>0</v>
      </c>
      <c r="I23" s="7">
        <f t="shared" si="14"/>
        <v>0</v>
      </c>
      <c r="J23" s="7">
        <f t="shared" si="14"/>
        <v>0</v>
      </c>
      <c r="K23" s="7">
        <f t="shared" si="14"/>
        <v>0</v>
      </c>
      <c r="L23" s="7">
        <f t="shared" si="14"/>
        <v>0</v>
      </c>
      <c r="M23" s="125" t="s">
        <v>427</v>
      </c>
      <c r="N23" s="7">
        <f t="shared" si="15"/>
        <v>0</v>
      </c>
      <c r="O23" s="7">
        <f t="shared" si="16"/>
        <v>0</v>
      </c>
      <c r="P23" s="7">
        <f t="shared" si="3"/>
        <v>0</v>
      </c>
      <c r="Q23" s="7">
        <v>0</v>
      </c>
      <c r="R23" s="7">
        <f t="shared" si="17"/>
        <v>0</v>
      </c>
      <c r="S23" s="7"/>
      <c r="T23" s="7"/>
      <c r="U23" s="7">
        <v>0</v>
      </c>
      <c r="V23" s="7">
        <f t="shared" si="5"/>
        <v>0</v>
      </c>
      <c r="W23" s="7"/>
      <c r="X23" s="216">
        <f t="shared" si="6"/>
        <v>0</v>
      </c>
    </row>
    <row r="24" spans="1:28" x14ac:dyDescent="0.3">
      <c r="A24" s="7">
        <f t="shared" si="14"/>
        <v>0</v>
      </c>
      <c r="B24" s="7">
        <f t="shared" si="14"/>
        <v>0</v>
      </c>
      <c r="C24" s="7">
        <f t="shared" si="14"/>
        <v>0</v>
      </c>
      <c r="D24" s="7">
        <f t="shared" si="14"/>
        <v>0</v>
      </c>
      <c r="E24" s="7">
        <f t="shared" si="14"/>
        <v>0</v>
      </c>
      <c r="F24" s="7">
        <f t="shared" si="14"/>
        <v>0</v>
      </c>
      <c r="G24" s="7">
        <f t="shared" si="14"/>
        <v>0</v>
      </c>
      <c r="H24" s="7">
        <f t="shared" si="14"/>
        <v>0</v>
      </c>
      <c r="I24" s="7">
        <f t="shared" si="14"/>
        <v>0</v>
      </c>
      <c r="J24" s="7">
        <f t="shared" si="14"/>
        <v>0</v>
      </c>
      <c r="K24" s="7">
        <f t="shared" si="14"/>
        <v>0</v>
      </c>
      <c r="L24" s="7">
        <f t="shared" si="14"/>
        <v>0</v>
      </c>
      <c r="M24" s="125" t="s">
        <v>428</v>
      </c>
      <c r="N24" s="7">
        <f t="shared" si="15"/>
        <v>0</v>
      </c>
      <c r="O24" s="7">
        <f t="shared" si="16"/>
        <v>0</v>
      </c>
      <c r="P24" s="7">
        <f t="shared" si="3"/>
        <v>0</v>
      </c>
      <c r="Q24" s="7">
        <v>0</v>
      </c>
      <c r="R24" s="7">
        <f t="shared" si="17"/>
        <v>0</v>
      </c>
      <c r="S24" s="7"/>
      <c r="T24" s="7"/>
      <c r="U24" s="7">
        <v>0</v>
      </c>
      <c r="V24" s="7">
        <f t="shared" si="5"/>
        <v>0</v>
      </c>
      <c r="W24" s="7"/>
      <c r="X24" s="216">
        <f t="shared" si="6"/>
        <v>0</v>
      </c>
    </row>
    <row r="25" spans="1:28" x14ac:dyDescent="0.3">
      <c r="A25" s="7">
        <f t="shared" si="14"/>
        <v>0</v>
      </c>
      <c r="B25" s="7">
        <f t="shared" si="14"/>
        <v>0</v>
      </c>
      <c r="C25" s="7">
        <f t="shared" si="14"/>
        <v>0</v>
      </c>
      <c r="D25" s="7">
        <f t="shared" si="14"/>
        <v>0</v>
      </c>
      <c r="E25" s="7">
        <f t="shared" si="14"/>
        <v>0</v>
      </c>
      <c r="F25" s="7">
        <f t="shared" si="14"/>
        <v>0</v>
      </c>
      <c r="G25" s="7">
        <f t="shared" si="14"/>
        <v>0</v>
      </c>
      <c r="H25" s="7">
        <f t="shared" si="14"/>
        <v>0</v>
      </c>
      <c r="I25" s="7">
        <f t="shared" si="14"/>
        <v>0</v>
      </c>
      <c r="J25" s="7">
        <f t="shared" si="14"/>
        <v>0</v>
      </c>
      <c r="K25" s="7">
        <f t="shared" si="14"/>
        <v>0</v>
      </c>
      <c r="L25" s="7">
        <f t="shared" si="14"/>
        <v>0</v>
      </c>
      <c r="M25" s="13" t="s">
        <v>429</v>
      </c>
      <c r="N25" s="7">
        <f t="shared" si="15"/>
        <v>0</v>
      </c>
      <c r="O25" s="7">
        <f t="shared" si="16"/>
        <v>0</v>
      </c>
      <c r="P25" s="7">
        <f t="shared" si="3"/>
        <v>0</v>
      </c>
      <c r="Q25" s="7">
        <v>0</v>
      </c>
      <c r="R25" s="7">
        <f t="shared" si="17"/>
        <v>0</v>
      </c>
      <c r="S25" s="7"/>
      <c r="T25" s="7"/>
      <c r="U25" s="7">
        <v>0</v>
      </c>
      <c r="V25" s="7">
        <f t="shared" si="5"/>
        <v>0</v>
      </c>
      <c r="W25" s="7"/>
      <c r="X25" s="216">
        <f t="shared" si="6"/>
        <v>0</v>
      </c>
    </row>
    <row r="26" spans="1:28" x14ac:dyDescent="0.3">
      <c r="A26" s="11">
        <f t="shared" si="14"/>
        <v>0</v>
      </c>
      <c r="B26" s="11">
        <f t="shared" si="14"/>
        <v>0</v>
      </c>
      <c r="C26" s="11">
        <f t="shared" si="14"/>
        <v>0</v>
      </c>
      <c r="D26" s="11">
        <f t="shared" si="14"/>
        <v>0</v>
      </c>
      <c r="E26" s="11">
        <f t="shared" si="14"/>
        <v>0</v>
      </c>
      <c r="F26" s="11">
        <f t="shared" si="14"/>
        <v>0</v>
      </c>
      <c r="G26" s="11">
        <f t="shared" si="14"/>
        <v>0</v>
      </c>
      <c r="H26" s="11">
        <f t="shared" si="14"/>
        <v>0</v>
      </c>
      <c r="I26" s="11">
        <f t="shared" si="14"/>
        <v>0</v>
      </c>
      <c r="J26" s="11">
        <f t="shared" si="14"/>
        <v>0</v>
      </c>
      <c r="K26" s="11">
        <f t="shared" si="14"/>
        <v>0</v>
      </c>
      <c r="L26" s="11">
        <f t="shared" si="14"/>
        <v>0</v>
      </c>
      <c r="M26" s="13" t="s">
        <v>430</v>
      </c>
      <c r="N26" s="11">
        <f t="shared" si="15"/>
        <v>0</v>
      </c>
      <c r="O26" s="11">
        <f t="shared" si="16"/>
        <v>0</v>
      </c>
      <c r="P26" s="11">
        <f t="shared" si="3"/>
        <v>0</v>
      </c>
      <c r="Q26" s="11">
        <v>0</v>
      </c>
      <c r="R26" s="11">
        <f t="shared" si="17"/>
        <v>0</v>
      </c>
      <c r="S26" s="11"/>
      <c r="T26" s="11"/>
      <c r="U26" s="11">
        <v>0</v>
      </c>
      <c r="V26" s="11">
        <f t="shared" si="5"/>
        <v>0</v>
      </c>
      <c r="W26" s="11"/>
      <c r="X26" s="218">
        <f t="shared" si="6"/>
        <v>0</v>
      </c>
    </row>
    <row r="27" spans="1:28" x14ac:dyDescent="0.3">
      <c r="A27" s="219"/>
      <c r="B27" s="219"/>
      <c r="C27" s="219"/>
      <c r="D27" s="220"/>
      <c r="E27" s="221"/>
      <c r="F27" s="221"/>
      <c r="G27" s="221"/>
      <c r="H27" s="221"/>
      <c r="I27" s="221"/>
      <c r="J27" s="221"/>
      <c r="K27" s="222"/>
      <c r="L27" s="222"/>
      <c r="M27" s="13"/>
      <c r="N27" s="83">
        <f t="shared" si="8"/>
        <v>0</v>
      </c>
      <c r="O27" s="83">
        <f t="shared" si="9"/>
        <v>0</v>
      </c>
      <c r="P27" s="83">
        <f t="shared" si="3"/>
        <v>0</v>
      </c>
      <c r="Q27" s="81">
        <v>0</v>
      </c>
      <c r="R27" s="81"/>
      <c r="S27" s="81"/>
      <c r="T27" s="81"/>
      <c r="U27" s="81">
        <v>0</v>
      </c>
      <c r="V27" s="81">
        <f t="shared" si="5"/>
        <v>0</v>
      </c>
      <c r="W27" s="81"/>
      <c r="X27" s="223">
        <f t="shared" si="6"/>
        <v>0</v>
      </c>
    </row>
    <row r="28" spans="1:28" x14ac:dyDescent="0.3">
      <c r="A28" s="224">
        <f>SUM(A20:A26)</f>
        <v>142166.44</v>
      </c>
      <c r="B28" s="224">
        <f t="shared" ref="B28:L28" si="19">SUM(B20:B26)</f>
        <v>142166.44</v>
      </c>
      <c r="C28" s="224">
        <f t="shared" si="19"/>
        <v>142166.44</v>
      </c>
      <c r="D28" s="224">
        <f t="shared" si="19"/>
        <v>142166.44</v>
      </c>
      <c r="E28" s="224">
        <f t="shared" si="19"/>
        <v>142166.44</v>
      </c>
      <c r="F28" s="224">
        <f t="shared" si="19"/>
        <v>142166.44</v>
      </c>
      <c r="G28" s="224">
        <f t="shared" si="19"/>
        <v>142166.44</v>
      </c>
      <c r="H28" s="224">
        <f t="shared" si="19"/>
        <v>142166.44</v>
      </c>
      <c r="I28" s="224">
        <f t="shared" si="19"/>
        <v>142166.44</v>
      </c>
      <c r="J28" s="224">
        <f t="shared" si="19"/>
        <v>142166.44</v>
      </c>
      <c r="K28" s="224">
        <f t="shared" si="19"/>
        <v>142166.44</v>
      </c>
      <c r="L28" s="224">
        <f t="shared" si="19"/>
        <v>152930</v>
      </c>
      <c r="M28" s="13" t="s">
        <v>97</v>
      </c>
      <c r="N28" s="4">
        <f t="shared" ref="N28:O28" si="20">SUM(N20:N26)</f>
        <v>0</v>
      </c>
      <c r="O28" s="4">
        <f t="shared" si="20"/>
        <v>1716760.8399999996</v>
      </c>
      <c r="P28" s="4">
        <f t="shared" ref="P28:Q28" si="21">SUM(P20:P26)</f>
        <v>1716760.8399999996</v>
      </c>
      <c r="Q28" s="4">
        <f t="shared" si="21"/>
        <v>1716760.8399999996</v>
      </c>
      <c r="R28" s="4">
        <f t="shared" ref="R28:W28" si="22">SUM(R20:R26)</f>
        <v>0</v>
      </c>
      <c r="S28" s="4">
        <v>4059000</v>
      </c>
      <c r="T28" s="4">
        <v>-715404</v>
      </c>
      <c r="U28" s="4">
        <v>4943596</v>
      </c>
      <c r="V28" s="4">
        <f t="shared" si="5"/>
        <v>3226835.16</v>
      </c>
      <c r="W28" s="4">
        <f t="shared" si="22"/>
        <v>0</v>
      </c>
      <c r="X28" s="225">
        <f t="shared" si="6"/>
        <v>0</v>
      </c>
    </row>
    <row r="29" spans="1:28" x14ac:dyDescent="0.3">
      <c r="A29" s="219"/>
      <c r="B29" s="219"/>
      <c r="C29" s="219"/>
      <c r="D29" s="219"/>
      <c r="E29" s="220"/>
      <c r="F29" s="220"/>
      <c r="G29" s="220"/>
      <c r="H29" s="226"/>
      <c r="I29" s="226"/>
      <c r="J29" s="226"/>
      <c r="K29" s="222"/>
      <c r="L29" s="222"/>
      <c r="M29" s="80"/>
      <c r="N29" s="86">
        <f t="shared" si="8"/>
        <v>0</v>
      </c>
      <c r="O29" s="86">
        <f t="shared" si="9"/>
        <v>0</v>
      </c>
      <c r="P29" s="86">
        <f t="shared" si="3"/>
        <v>0</v>
      </c>
      <c r="Q29" s="81">
        <v>0</v>
      </c>
      <c r="R29" s="81"/>
      <c r="S29" s="81"/>
      <c r="T29" s="81"/>
      <c r="U29" s="81">
        <v>0</v>
      </c>
      <c r="V29" s="81">
        <f t="shared" si="5"/>
        <v>0</v>
      </c>
      <c r="W29" s="81"/>
      <c r="X29" s="223">
        <f t="shared" si="6"/>
        <v>0</v>
      </c>
    </row>
    <row r="30" spans="1:28" x14ac:dyDescent="0.3">
      <c r="A30" s="228">
        <f t="shared" ref="A30:L44" si="23">$Q30/12</f>
        <v>0</v>
      </c>
      <c r="B30" s="228">
        <f t="shared" si="23"/>
        <v>0</v>
      </c>
      <c r="C30" s="228">
        <f t="shared" si="23"/>
        <v>0</v>
      </c>
      <c r="D30" s="228">
        <f t="shared" si="23"/>
        <v>0</v>
      </c>
      <c r="E30" s="228">
        <f t="shared" si="23"/>
        <v>0</v>
      </c>
      <c r="F30" s="228">
        <f t="shared" si="23"/>
        <v>0</v>
      </c>
      <c r="G30" s="228">
        <f t="shared" si="23"/>
        <v>0</v>
      </c>
      <c r="H30" s="228">
        <f t="shared" si="23"/>
        <v>0</v>
      </c>
      <c r="I30" s="228">
        <f t="shared" si="23"/>
        <v>0</v>
      </c>
      <c r="J30" s="228">
        <f t="shared" si="23"/>
        <v>0</v>
      </c>
      <c r="K30" s="228">
        <f t="shared" si="23"/>
        <v>0</v>
      </c>
      <c r="L30" s="228">
        <f>$Q30/12</f>
        <v>0</v>
      </c>
      <c r="M30" s="238" t="s">
        <v>431</v>
      </c>
      <c r="N30" s="8">
        <f t="shared" ref="N30:N44" si="24">SUM(0)</f>
        <v>0</v>
      </c>
      <c r="O30" s="8">
        <f t="shared" ref="O30:O44" si="25">SUM(A30:L30)</f>
        <v>0</v>
      </c>
      <c r="P30" s="8">
        <f t="shared" si="3"/>
        <v>0</v>
      </c>
      <c r="Q30" s="8">
        <v>0</v>
      </c>
      <c r="R30" s="8">
        <f t="shared" ref="R30:R44" si="26">Q30-P30</f>
        <v>0</v>
      </c>
      <c r="S30" s="8"/>
      <c r="T30" s="8"/>
      <c r="U30" s="8">
        <v>0</v>
      </c>
      <c r="V30" s="8">
        <f t="shared" si="5"/>
        <v>0</v>
      </c>
      <c r="W30" s="8"/>
      <c r="X30" s="215">
        <f t="shared" si="6"/>
        <v>0</v>
      </c>
    </row>
    <row r="31" spans="1:28" x14ac:dyDescent="0.3">
      <c r="A31" s="168">
        <f t="shared" si="23"/>
        <v>0</v>
      </c>
      <c r="B31" s="168">
        <f t="shared" si="23"/>
        <v>0</v>
      </c>
      <c r="C31" s="168">
        <f t="shared" si="23"/>
        <v>0</v>
      </c>
      <c r="D31" s="168">
        <f t="shared" si="23"/>
        <v>0</v>
      </c>
      <c r="E31" s="168">
        <f t="shared" si="23"/>
        <v>0</v>
      </c>
      <c r="F31" s="168">
        <f t="shared" si="23"/>
        <v>0</v>
      </c>
      <c r="G31" s="168">
        <f t="shared" si="23"/>
        <v>0</v>
      </c>
      <c r="H31" s="168">
        <f t="shared" si="23"/>
        <v>0</v>
      </c>
      <c r="I31" s="168">
        <f t="shared" si="23"/>
        <v>0</v>
      </c>
      <c r="J31" s="168">
        <f t="shared" si="23"/>
        <v>0</v>
      </c>
      <c r="K31" s="168">
        <f t="shared" si="23"/>
        <v>0</v>
      </c>
      <c r="L31" s="168">
        <f t="shared" si="23"/>
        <v>0</v>
      </c>
      <c r="M31" s="13" t="s">
        <v>432</v>
      </c>
      <c r="N31" s="7">
        <f t="shared" si="24"/>
        <v>0</v>
      </c>
      <c r="O31" s="7">
        <f t="shared" si="25"/>
        <v>0</v>
      </c>
      <c r="P31" s="7">
        <f t="shared" si="3"/>
        <v>0</v>
      </c>
      <c r="Q31" s="7">
        <v>0</v>
      </c>
      <c r="R31" s="7">
        <f t="shared" si="26"/>
        <v>0</v>
      </c>
      <c r="S31" s="7"/>
      <c r="T31" s="7"/>
      <c r="U31" s="7">
        <v>0</v>
      </c>
      <c r="V31" s="7">
        <f t="shared" si="5"/>
        <v>0</v>
      </c>
      <c r="W31" s="7"/>
      <c r="X31" s="216">
        <f t="shared" si="6"/>
        <v>0</v>
      </c>
    </row>
    <row r="32" spans="1:28" x14ac:dyDescent="0.3">
      <c r="A32" s="168">
        <f t="shared" si="23"/>
        <v>0</v>
      </c>
      <c r="B32" s="168">
        <f t="shared" si="23"/>
        <v>0</v>
      </c>
      <c r="C32" s="168">
        <f t="shared" si="23"/>
        <v>0</v>
      </c>
      <c r="D32" s="168">
        <f t="shared" si="23"/>
        <v>0</v>
      </c>
      <c r="E32" s="168">
        <f t="shared" si="23"/>
        <v>0</v>
      </c>
      <c r="F32" s="168">
        <f t="shared" si="23"/>
        <v>0</v>
      </c>
      <c r="G32" s="168">
        <f t="shared" si="23"/>
        <v>0</v>
      </c>
      <c r="H32" s="168">
        <f t="shared" si="23"/>
        <v>0</v>
      </c>
      <c r="I32" s="168">
        <f t="shared" si="23"/>
        <v>0</v>
      </c>
      <c r="J32" s="168">
        <f t="shared" si="23"/>
        <v>0</v>
      </c>
      <c r="K32" s="168">
        <f t="shared" si="23"/>
        <v>0</v>
      </c>
      <c r="L32" s="168">
        <f t="shared" si="23"/>
        <v>0</v>
      </c>
      <c r="M32" s="13" t="s">
        <v>433</v>
      </c>
      <c r="N32" s="7">
        <f t="shared" si="24"/>
        <v>0</v>
      </c>
      <c r="O32" s="7">
        <f t="shared" si="25"/>
        <v>0</v>
      </c>
      <c r="P32" s="7">
        <f t="shared" si="3"/>
        <v>0</v>
      </c>
      <c r="Q32" s="7">
        <v>0</v>
      </c>
      <c r="R32" s="7">
        <f t="shared" si="26"/>
        <v>0</v>
      </c>
      <c r="S32" s="7"/>
      <c r="T32" s="7"/>
      <c r="U32" s="7">
        <v>0</v>
      </c>
      <c r="V32" s="7">
        <f t="shared" si="5"/>
        <v>0</v>
      </c>
      <c r="W32" s="7"/>
      <c r="X32" s="216">
        <f t="shared" si="6"/>
        <v>0</v>
      </c>
    </row>
    <row r="33" spans="1:24" x14ac:dyDescent="0.3">
      <c r="A33" s="168">
        <f t="shared" si="23"/>
        <v>0</v>
      </c>
      <c r="B33" s="168">
        <f t="shared" si="23"/>
        <v>0</v>
      </c>
      <c r="C33" s="168">
        <f t="shared" si="23"/>
        <v>0</v>
      </c>
      <c r="D33" s="168">
        <f t="shared" si="23"/>
        <v>0</v>
      </c>
      <c r="E33" s="168">
        <f t="shared" si="23"/>
        <v>0</v>
      </c>
      <c r="F33" s="168">
        <f t="shared" si="23"/>
        <v>0</v>
      </c>
      <c r="G33" s="168">
        <f t="shared" si="23"/>
        <v>0</v>
      </c>
      <c r="H33" s="168">
        <f t="shared" si="23"/>
        <v>0</v>
      </c>
      <c r="I33" s="168">
        <f t="shared" si="23"/>
        <v>0</v>
      </c>
      <c r="J33" s="168">
        <f t="shared" si="23"/>
        <v>0</v>
      </c>
      <c r="K33" s="168">
        <f t="shared" si="23"/>
        <v>0</v>
      </c>
      <c r="L33" s="168">
        <f t="shared" si="23"/>
        <v>0</v>
      </c>
      <c r="M33" s="13" t="s">
        <v>434</v>
      </c>
      <c r="N33" s="7">
        <f t="shared" si="24"/>
        <v>0</v>
      </c>
      <c r="O33" s="7">
        <f t="shared" si="25"/>
        <v>0</v>
      </c>
      <c r="P33" s="7">
        <f t="shared" si="3"/>
        <v>0</v>
      </c>
      <c r="Q33" s="7">
        <v>0</v>
      </c>
      <c r="R33" s="7">
        <f t="shared" si="26"/>
        <v>0</v>
      </c>
      <c r="S33" s="7"/>
      <c r="T33" s="7"/>
      <c r="U33" s="7">
        <v>0</v>
      </c>
      <c r="V33" s="7">
        <f t="shared" si="5"/>
        <v>0</v>
      </c>
      <c r="W33" s="7"/>
      <c r="X33" s="216">
        <f t="shared" si="6"/>
        <v>0</v>
      </c>
    </row>
    <row r="34" spans="1:24" x14ac:dyDescent="0.3">
      <c r="A34" s="168">
        <f t="shared" si="23"/>
        <v>0</v>
      </c>
      <c r="B34" s="168">
        <f t="shared" si="23"/>
        <v>0</v>
      </c>
      <c r="C34" s="168">
        <f t="shared" si="23"/>
        <v>0</v>
      </c>
      <c r="D34" s="168">
        <f t="shared" si="23"/>
        <v>0</v>
      </c>
      <c r="E34" s="168">
        <f t="shared" si="23"/>
        <v>0</v>
      </c>
      <c r="F34" s="168">
        <f t="shared" si="23"/>
        <v>0</v>
      </c>
      <c r="G34" s="168">
        <f t="shared" si="23"/>
        <v>0</v>
      </c>
      <c r="H34" s="168">
        <f t="shared" si="23"/>
        <v>0</v>
      </c>
      <c r="I34" s="168">
        <f t="shared" si="23"/>
        <v>0</v>
      </c>
      <c r="J34" s="168">
        <f t="shared" si="23"/>
        <v>0</v>
      </c>
      <c r="K34" s="168">
        <f t="shared" si="23"/>
        <v>0</v>
      </c>
      <c r="L34" s="168">
        <f t="shared" si="23"/>
        <v>0</v>
      </c>
      <c r="M34" s="13" t="s">
        <v>435</v>
      </c>
      <c r="N34" s="7">
        <f t="shared" si="24"/>
        <v>0</v>
      </c>
      <c r="O34" s="7">
        <f t="shared" si="25"/>
        <v>0</v>
      </c>
      <c r="P34" s="7">
        <f t="shared" si="3"/>
        <v>0</v>
      </c>
      <c r="Q34" s="7">
        <v>0</v>
      </c>
      <c r="R34" s="7">
        <f t="shared" si="26"/>
        <v>0</v>
      </c>
      <c r="S34" s="7"/>
      <c r="T34" s="7">
        <v>-8969</v>
      </c>
      <c r="U34" s="7">
        <v>54947.046999999999</v>
      </c>
      <c r="V34" s="7">
        <f t="shared" si="5"/>
        <v>54947.046999999999</v>
      </c>
      <c r="W34" s="7"/>
      <c r="X34" s="216">
        <f t="shared" si="6"/>
        <v>0</v>
      </c>
    </row>
    <row r="35" spans="1:24" x14ac:dyDescent="0.3">
      <c r="A35" s="168">
        <f t="shared" si="23"/>
        <v>0</v>
      </c>
      <c r="B35" s="168">
        <f t="shared" si="23"/>
        <v>0</v>
      </c>
      <c r="C35" s="168">
        <f t="shared" si="23"/>
        <v>0</v>
      </c>
      <c r="D35" s="168">
        <f t="shared" si="23"/>
        <v>0</v>
      </c>
      <c r="E35" s="168">
        <f t="shared" si="23"/>
        <v>0</v>
      </c>
      <c r="F35" s="168">
        <f t="shared" si="23"/>
        <v>0</v>
      </c>
      <c r="G35" s="168">
        <f t="shared" si="23"/>
        <v>0</v>
      </c>
      <c r="H35" s="168">
        <f t="shared" si="23"/>
        <v>0</v>
      </c>
      <c r="I35" s="168">
        <f t="shared" si="23"/>
        <v>0</v>
      </c>
      <c r="J35" s="168">
        <f t="shared" si="23"/>
        <v>0</v>
      </c>
      <c r="K35" s="168">
        <f t="shared" si="23"/>
        <v>0</v>
      </c>
      <c r="L35" s="168">
        <f t="shared" si="23"/>
        <v>0</v>
      </c>
      <c r="M35" s="13" t="s">
        <v>436</v>
      </c>
      <c r="N35" s="7">
        <f t="shared" si="24"/>
        <v>0</v>
      </c>
      <c r="O35" s="7">
        <f t="shared" si="25"/>
        <v>0</v>
      </c>
      <c r="P35" s="7">
        <f t="shared" si="3"/>
        <v>0</v>
      </c>
      <c r="Q35" s="7">
        <v>0</v>
      </c>
      <c r="R35" s="7">
        <f t="shared" si="26"/>
        <v>0</v>
      </c>
      <c r="S35" s="7"/>
      <c r="T35" s="7"/>
      <c r="U35" s="7">
        <v>0</v>
      </c>
      <c r="V35" s="7">
        <f t="shared" si="5"/>
        <v>0</v>
      </c>
      <c r="W35" s="7"/>
      <c r="X35" s="216">
        <f t="shared" si="6"/>
        <v>0</v>
      </c>
    </row>
    <row r="36" spans="1:24" x14ac:dyDescent="0.3">
      <c r="A36" s="168">
        <f t="shared" si="23"/>
        <v>0</v>
      </c>
      <c r="B36" s="168">
        <f t="shared" si="23"/>
        <v>0</v>
      </c>
      <c r="C36" s="168">
        <f t="shared" si="23"/>
        <v>0</v>
      </c>
      <c r="D36" s="168">
        <f t="shared" si="23"/>
        <v>0</v>
      </c>
      <c r="E36" s="168">
        <f t="shared" si="23"/>
        <v>0</v>
      </c>
      <c r="F36" s="168">
        <f t="shared" si="23"/>
        <v>0</v>
      </c>
      <c r="G36" s="168">
        <f t="shared" si="23"/>
        <v>0</v>
      </c>
      <c r="H36" s="168">
        <f t="shared" si="23"/>
        <v>0</v>
      </c>
      <c r="I36" s="168">
        <f t="shared" si="23"/>
        <v>0</v>
      </c>
      <c r="J36" s="168">
        <f t="shared" si="23"/>
        <v>0</v>
      </c>
      <c r="K36" s="168">
        <f t="shared" si="23"/>
        <v>0</v>
      </c>
      <c r="L36" s="168">
        <f t="shared" si="23"/>
        <v>0</v>
      </c>
      <c r="M36" s="13" t="s">
        <v>437</v>
      </c>
      <c r="N36" s="7">
        <f t="shared" si="24"/>
        <v>0</v>
      </c>
      <c r="O36" s="7">
        <f t="shared" si="25"/>
        <v>0</v>
      </c>
      <c r="P36" s="7">
        <f t="shared" si="3"/>
        <v>0</v>
      </c>
      <c r="Q36" s="7">
        <v>0</v>
      </c>
      <c r="R36" s="7">
        <f t="shared" si="26"/>
        <v>0</v>
      </c>
      <c r="S36" s="7"/>
      <c r="T36" s="7"/>
      <c r="U36" s="7">
        <v>0</v>
      </c>
      <c r="V36" s="7">
        <f t="shared" si="5"/>
        <v>0</v>
      </c>
      <c r="W36" s="7"/>
      <c r="X36" s="216">
        <f t="shared" si="6"/>
        <v>0</v>
      </c>
    </row>
    <row r="37" spans="1:24" x14ac:dyDescent="0.3">
      <c r="A37" s="168">
        <f t="shared" si="23"/>
        <v>0</v>
      </c>
      <c r="B37" s="168">
        <f t="shared" si="23"/>
        <v>0</v>
      </c>
      <c r="C37" s="168">
        <f t="shared" si="23"/>
        <v>0</v>
      </c>
      <c r="D37" s="168">
        <f t="shared" si="23"/>
        <v>0</v>
      </c>
      <c r="E37" s="168">
        <f t="shared" si="23"/>
        <v>0</v>
      </c>
      <c r="F37" s="168">
        <f t="shared" si="23"/>
        <v>0</v>
      </c>
      <c r="G37" s="168">
        <f t="shared" si="23"/>
        <v>0</v>
      </c>
      <c r="H37" s="168">
        <f t="shared" si="23"/>
        <v>0</v>
      </c>
      <c r="I37" s="168">
        <f t="shared" si="23"/>
        <v>0</v>
      </c>
      <c r="J37" s="168">
        <f t="shared" si="23"/>
        <v>0</v>
      </c>
      <c r="K37" s="168">
        <f t="shared" si="23"/>
        <v>0</v>
      </c>
      <c r="L37" s="168">
        <f t="shared" si="23"/>
        <v>0</v>
      </c>
      <c r="M37" s="238" t="s">
        <v>438</v>
      </c>
      <c r="N37" s="7">
        <f t="shared" si="24"/>
        <v>0</v>
      </c>
      <c r="O37" s="7">
        <f t="shared" si="25"/>
        <v>0</v>
      </c>
      <c r="P37" s="7">
        <f t="shared" si="3"/>
        <v>0</v>
      </c>
      <c r="Q37" s="7">
        <v>0</v>
      </c>
      <c r="R37" s="7">
        <f t="shared" si="26"/>
        <v>0</v>
      </c>
      <c r="S37" s="7"/>
      <c r="T37" s="7"/>
      <c r="U37" s="7">
        <v>0</v>
      </c>
      <c r="V37" s="7">
        <f t="shared" si="5"/>
        <v>0</v>
      </c>
      <c r="W37" s="7"/>
      <c r="X37" s="216">
        <f t="shared" si="6"/>
        <v>0</v>
      </c>
    </row>
    <row r="38" spans="1:24" x14ac:dyDescent="0.3">
      <c r="A38" s="168">
        <f t="shared" si="23"/>
        <v>0</v>
      </c>
      <c r="B38" s="168">
        <f t="shared" si="23"/>
        <v>0</v>
      </c>
      <c r="C38" s="168">
        <f t="shared" si="23"/>
        <v>0</v>
      </c>
      <c r="D38" s="168">
        <f t="shared" si="23"/>
        <v>0</v>
      </c>
      <c r="E38" s="168">
        <f t="shared" si="23"/>
        <v>0</v>
      </c>
      <c r="F38" s="168">
        <f t="shared" si="23"/>
        <v>0</v>
      </c>
      <c r="G38" s="168">
        <f t="shared" si="23"/>
        <v>0</v>
      </c>
      <c r="H38" s="168">
        <f t="shared" si="23"/>
        <v>0</v>
      </c>
      <c r="I38" s="168">
        <f t="shared" si="23"/>
        <v>0</v>
      </c>
      <c r="J38" s="168">
        <f t="shared" si="23"/>
        <v>0</v>
      </c>
      <c r="K38" s="168">
        <f t="shared" si="23"/>
        <v>0</v>
      </c>
      <c r="L38" s="168">
        <f t="shared" si="23"/>
        <v>0</v>
      </c>
      <c r="M38" s="13" t="s">
        <v>439</v>
      </c>
      <c r="N38" s="7">
        <f t="shared" si="24"/>
        <v>0</v>
      </c>
      <c r="O38" s="7">
        <f t="shared" si="25"/>
        <v>0</v>
      </c>
      <c r="P38" s="7">
        <f t="shared" si="3"/>
        <v>0</v>
      </c>
      <c r="Q38" s="7">
        <v>0</v>
      </c>
      <c r="R38" s="7">
        <f t="shared" si="26"/>
        <v>0</v>
      </c>
      <c r="S38" s="7"/>
      <c r="T38" s="7"/>
      <c r="U38" s="7">
        <v>0</v>
      </c>
      <c r="V38" s="7">
        <f t="shared" si="5"/>
        <v>0</v>
      </c>
      <c r="W38" s="7"/>
      <c r="X38" s="216">
        <f t="shared" si="6"/>
        <v>0</v>
      </c>
    </row>
    <row r="39" spans="1:24" x14ac:dyDescent="0.3">
      <c r="A39" s="168">
        <f t="shared" si="23"/>
        <v>0</v>
      </c>
      <c r="B39" s="168">
        <f t="shared" si="23"/>
        <v>0</v>
      </c>
      <c r="C39" s="168">
        <f t="shared" si="23"/>
        <v>0</v>
      </c>
      <c r="D39" s="168">
        <f t="shared" si="23"/>
        <v>0</v>
      </c>
      <c r="E39" s="168">
        <f t="shared" si="23"/>
        <v>0</v>
      </c>
      <c r="F39" s="168">
        <f t="shared" si="23"/>
        <v>0</v>
      </c>
      <c r="G39" s="168">
        <f t="shared" si="23"/>
        <v>0</v>
      </c>
      <c r="H39" s="168">
        <f t="shared" si="23"/>
        <v>0</v>
      </c>
      <c r="I39" s="168">
        <f t="shared" si="23"/>
        <v>0</v>
      </c>
      <c r="J39" s="168">
        <f t="shared" si="23"/>
        <v>0</v>
      </c>
      <c r="K39" s="168">
        <f t="shared" si="23"/>
        <v>0</v>
      </c>
      <c r="L39" s="168">
        <f t="shared" si="23"/>
        <v>0</v>
      </c>
      <c r="M39" s="13" t="s">
        <v>440</v>
      </c>
      <c r="N39" s="7">
        <f t="shared" si="24"/>
        <v>0</v>
      </c>
      <c r="O39" s="7">
        <f t="shared" si="25"/>
        <v>0</v>
      </c>
      <c r="P39" s="7">
        <f t="shared" si="3"/>
        <v>0</v>
      </c>
      <c r="Q39" s="7">
        <v>0</v>
      </c>
      <c r="R39" s="7">
        <f t="shared" si="26"/>
        <v>0</v>
      </c>
      <c r="S39" s="7"/>
      <c r="T39" s="7"/>
      <c r="U39" s="7">
        <v>0</v>
      </c>
      <c r="V39" s="7">
        <f t="shared" si="5"/>
        <v>0</v>
      </c>
      <c r="W39" s="7"/>
      <c r="X39" s="216">
        <f t="shared" si="6"/>
        <v>0</v>
      </c>
    </row>
    <row r="40" spans="1:24" x14ac:dyDescent="0.3">
      <c r="A40" s="168">
        <f t="shared" si="23"/>
        <v>0</v>
      </c>
      <c r="B40" s="168">
        <f t="shared" si="23"/>
        <v>0</v>
      </c>
      <c r="C40" s="168">
        <f t="shared" si="23"/>
        <v>0</v>
      </c>
      <c r="D40" s="168">
        <f t="shared" si="23"/>
        <v>0</v>
      </c>
      <c r="E40" s="168">
        <f t="shared" si="23"/>
        <v>0</v>
      </c>
      <c r="F40" s="168">
        <f t="shared" si="23"/>
        <v>0</v>
      </c>
      <c r="G40" s="168">
        <f t="shared" si="23"/>
        <v>0</v>
      </c>
      <c r="H40" s="168">
        <f t="shared" si="23"/>
        <v>0</v>
      </c>
      <c r="I40" s="168">
        <f t="shared" si="23"/>
        <v>0</v>
      </c>
      <c r="J40" s="168">
        <f t="shared" si="23"/>
        <v>0</v>
      </c>
      <c r="K40" s="168">
        <f t="shared" si="23"/>
        <v>0</v>
      </c>
      <c r="L40" s="168">
        <f t="shared" si="23"/>
        <v>0</v>
      </c>
      <c r="M40" s="13" t="s">
        <v>441</v>
      </c>
      <c r="N40" s="7">
        <f t="shared" si="24"/>
        <v>0</v>
      </c>
      <c r="O40" s="7">
        <f t="shared" si="25"/>
        <v>0</v>
      </c>
      <c r="P40" s="7">
        <f t="shared" si="3"/>
        <v>0</v>
      </c>
      <c r="Q40" s="7">
        <v>0</v>
      </c>
      <c r="R40" s="7">
        <f t="shared" si="26"/>
        <v>0</v>
      </c>
      <c r="S40" s="7"/>
      <c r="T40" s="7"/>
      <c r="U40" s="7">
        <v>0</v>
      </c>
      <c r="V40" s="7">
        <f t="shared" si="5"/>
        <v>0</v>
      </c>
      <c r="W40" s="7"/>
      <c r="X40" s="216">
        <f t="shared" si="6"/>
        <v>0</v>
      </c>
    </row>
    <row r="41" spans="1:24" x14ac:dyDescent="0.3">
      <c r="A41" s="168">
        <f t="shared" si="23"/>
        <v>0</v>
      </c>
      <c r="B41" s="168">
        <f t="shared" si="23"/>
        <v>0</v>
      </c>
      <c r="C41" s="168">
        <f t="shared" si="23"/>
        <v>0</v>
      </c>
      <c r="D41" s="168">
        <f t="shared" si="23"/>
        <v>0</v>
      </c>
      <c r="E41" s="168">
        <f t="shared" si="23"/>
        <v>0</v>
      </c>
      <c r="F41" s="168">
        <f t="shared" si="23"/>
        <v>0</v>
      </c>
      <c r="G41" s="168">
        <f t="shared" si="23"/>
        <v>0</v>
      </c>
      <c r="H41" s="168">
        <f t="shared" si="23"/>
        <v>0</v>
      </c>
      <c r="I41" s="168">
        <f t="shared" si="23"/>
        <v>0</v>
      </c>
      <c r="J41" s="168">
        <f t="shared" si="23"/>
        <v>0</v>
      </c>
      <c r="K41" s="168">
        <f t="shared" si="23"/>
        <v>0</v>
      </c>
      <c r="L41" s="168">
        <f t="shared" si="23"/>
        <v>0</v>
      </c>
      <c r="M41" s="13" t="s">
        <v>442</v>
      </c>
      <c r="N41" s="7">
        <f t="shared" si="24"/>
        <v>0</v>
      </c>
      <c r="O41" s="7">
        <f t="shared" si="25"/>
        <v>0</v>
      </c>
      <c r="P41" s="7">
        <f t="shared" si="3"/>
        <v>0</v>
      </c>
      <c r="Q41" s="7">
        <v>0</v>
      </c>
      <c r="R41" s="7">
        <f t="shared" si="26"/>
        <v>0</v>
      </c>
      <c r="S41" s="7"/>
      <c r="T41" s="7"/>
      <c r="U41" s="7">
        <v>0</v>
      </c>
      <c r="V41" s="7">
        <f t="shared" si="5"/>
        <v>0</v>
      </c>
      <c r="W41" s="7"/>
      <c r="X41" s="216">
        <f t="shared" si="6"/>
        <v>0</v>
      </c>
    </row>
    <row r="42" spans="1:24" x14ac:dyDescent="0.3">
      <c r="A42" s="168">
        <f t="shared" si="23"/>
        <v>0</v>
      </c>
      <c r="B42" s="168">
        <f t="shared" si="23"/>
        <v>0</v>
      </c>
      <c r="C42" s="168">
        <f t="shared" si="23"/>
        <v>0</v>
      </c>
      <c r="D42" s="168">
        <f t="shared" si="23"/>
        <v>0</v>
      </c>
      <c r="E42" s="168">
        <f t="shared" si="23"/>
        <v>0</v>
      </c>
      <c r="F42" s="168">
        <f t="shared" si="23"/>
        <v>0</v>
      </c>
      <c r="G42" s="168">
        <f t="shared" si="23"/>
        <v>0</v>
      </c>
      <c r="H42" s="168">
        <f t="shared" si="23"/>
        <v>0</v>
      </c>
      <c r="I42" s="168">
        <f t="shared" si="23"/>
        <v>0</v>
      </c>
      <c r="J42" s="168">
        <f t="shared" si="23"/>
        <v>0</v>
      </c>
      <c r="K42" s="168">
        <f t="shared" si="23"/>
        <v>0</v>
      </c>
      <c r="L42" s="168">
        <f t="shared" si="23"/>
        <v>0</v>
      </c>
      <c r="M42" s="13" t="s">
        <v>443</v>
      </c>
      <c r="N42" s="7">
        <f t="shared" si="24"/>
        <v>0</v>
      </c>
      <c r="O42" s="7">
        <f t="shared" si="25"/>
        <v>0</v>
      </c>
      <c r="P42" s="7">
        <f t="shared" si="3"/>
        <v>0</v>
      </c>
      <c r="Q42" s="7">
        <v>0</v>
      </c>
      <c r="R42" s="7">
        <f t="shared" si="26"/>
        <v>0</v>
      </c>
      <c r="S42" s="7"/>
      <c r="T42" s="7"/>
      <c r="U42" s="7">
        <v>0</v>
      </c>
      <c r="V42" s="7">
        <f t="shared" si="5"/>
        <v>0</v>
      </c>
      <c r="W42" s="7"/>
      <c r="X42" s="216">
        <f t="shared" si="6"/>
        <v>0</v>
      </c>
    </row>
    <row r="43" spans="1:24" x14ac:dyDescent="0.3">
      <c r="A43" s="168">
        <f t="shared" si="23"/>
        <v>0</v>
      </c>
      <c r="B43" s="168">
        <f t="shared" si="23"/>
        <v>0</v>
      </c>
      <c r="C43" s="168">
        <f t="shared" si="23"/>
        <v>0</v>
      </c>
      <c r="D43" s="168">
        <f t="shared" si="23"/>
        <v>0</v>
      </c>
      <c r="E43" s="168">
        <f t="shared" si="23"/>
        <v>0</v>
      </c>
      <c r="F43" s="168">
        <f t="shared" si="23"/>
        <v>0</v>
      </c>
      <c r="G43" s="168">
        <f t="shared" si="23"/>
        <v>0</v>
      </c>
      <c r="H43" s="168">
        <f t="shared" si="23"/>
        <v>0</v>
      </c>
      <c r="I43" s="168">
        <f t="shared" si="23"/>
        <v>0</v>
      </c>
      <c r="J43" s="168">
        <f t="shared" si="23"/>
        <v>0</v>
      </c>
      <c r="K43" s="168">
        <f t="shared" si="23"/>
        <v>0</v>
      </c>
      <c r="L43" s="168">
        <f t="shared" si="23"/>
        <v>0</v>
      </c>
      <c r="M43" s="13" t="s">
        <v>444</v>
      </c>
      <c r="N43" s="7">
        <f t="shared" si="24"/>
        <v>0</v>
      </c>
      <c r="O43" s="7">
        <f t="shared" si="25"/>
        <v>0</v>
      </c>
      <c r="P43" s="7">
        <f t="shared" si="3"/>
        <v>0</v>
      </c>
      <c r="Q43" s="7">
        <v>0</v>
      </c>
      <c r="R43" s="7">
        <f t="shared" si="26"/>
        <v>0</v>
      </c>
      <c r="S43" s="7"/>
      <c r="T43" s="7"/>
      <c r="U43" s="7">
        <v>0</v>
      </c>
      <c r="V43" s="7">
        <f t="shared" si="5"/>
        <v>0</v>
      </c>
      <c r="W43" s="7"/>
      <c r="X43" s="216">
        <f t="shared" si="6"/>
        <v>0</v>
      </c>
    </row>
    <row r="44" spans="1:24" x14ac:dyDescent="0.3">
      <c r="A44" s="217">
        <f t="shared" si="23"/>
        <v>0</v>
      </c>
      <c r="B44" s="217">
        <f t="shared" si="23"/>
        <v>0</v>
      </c>
      <c r="C44" s="217">
        <f t="shared" si="23"/>
        <v>0</v>
      </c>
      <c r="D44" s="217">
        <f t="shared" si="23"/>
        <v>0</v>
      </c>
      <c r="E44" s="217">
        <f t="shared" si="23"/>
        <v>0</v>
      </c>
      <c r="F44" s="217">
        <f t="shared" si="23"/>
        <v>0</v>
      </c>
      <c r="G44" s="217">
        <f t="shared" si="23"/>
        <v>0</v>
      </c>
      <c r="H44" s="217">
        <f t="shared" si="23"/>
        <v>0</v>
      </c>
      <c r="I44" s="217">
        <f t="shared" si="23"/>
        <v>0</v>
      </c>
      <c r="J44" s="217">
        <f t="shared" si="23"/>
        <v>0</v>
      </c>
      <c r="K44" s="217">
        <f t="shared" si="23"/>
        <v>0</v>
      </c>
      <c r="L44" s="217">
        <f t="shared" si="23"/>
        <v>0</v>
      </c>
      <c r="M44" s="238" t="s">
        <v>113</v>
      </c>
      <c r="N44" s="11">
        <f t="shared" si="24"/>
        <v>0</v>
      </c>
      <c r="O44" s="11">
        <f t="shared" si="25"/>
        <v>0</v>
      </c>
      <c r="P44" s="11">
        <f t="shared" si="3"/>
        <v>0</v>
      </c>
      <c r="Q44" s="11">
        <v>0</v>
      </c>
      <c r="R44" s="11">
        <f t="shared" si="26"/>
        <v>0</v>
      </c>
      <c r="S44" s="11"/>
      <c r="T44" s="11"/>
      <c r="U44" s="11">
        <v>0</v>
      </c>
      <c r="V44" s="11">
        <f t="shared" si="5"/>
        <v>0</v>
      </c>
      <c r="W44" s="11"/>
      <c r="X44" s="218">
        <f t="shared" si="6"/>
        <v>0</v>
      </c>
    </row>
    <row r="45" spans="1:24" x14ac:dyDescent="0.3">
      <c r="A45" s="228"/>
      <c r="B45" s="220"/>
      <c r="C45" s="220"/>
      <c r="D45" s="220"/>
      <c r="E45" s="221"/>
      <c r="F45" s="221"/>
      <c r="G45" s="221"/>
      <c r="H45" s="221"/>
      <c r="I45" s="221"/>
      <c r="J45" s="221"/>
      <c r="K45" s="222"/>
      <c r="L45" s="222"/>
      <c r="M45" s="13"/>
      <c r="N45" s="83">
        <f t="shared" si="8"/>
        <v>0</v>
      </c>
      <c r="O45" s="83">
        <f t="shared" si="9"/>
        <v>0</v>
      </c>
      <c r="P45" s="83">
        <f t="shared" si="3"/>
        <v>0</v>
      </c>
      <c r="Q45" s="86">
        <v>0</v>
      </c>
      <c r="R45" s="86"/>
      <c r="S45" s="86"/>
      <c r="T45" s="86"/>
      <c r="U45" s="86">
        <v>0</v>
      </c>
      <c r="V45" s="86">
        <f t="shared" si="5"/>
        <v>0</v>
      </c>
      <c r="W45" s="86"/>
      <c r="X45" s="229">
        <f t="shared" si="6"/>
        <v>0</v>
      </c>
    </row>
    <row r="46" spans="1:24" x14ac:dyDescent="0.3">
      <c r="A46" s="224">
        <f>SUM(A30:A44)</f>
        <v>0</v>
      </c>
      <c r="B46" s="224">
        <f t="shared" ref="B46:L46" si="27">SUM(B30:B44)</f>
        <v>0</v>
      </c>
      <c r="C46" s="224">
        <f t="shared" si="27"/>
        <v>0</v>
      </c>
      <c r="D46" s="224">
        <f t="shared" si="27"/>
        <v>0</v>
      </c>
      <c r="E46" s="224">
        <f t="shared" si="27"/>
        <v>0</v>
      </c>
      <c r="F46" s="224">
        <f t="shared" si="27"/>
        <v>0</v>
      </c>
      <c r="G46" s="224">
        <f t="shared" si="27"/>
        <v>0</v>
      </c>
      <c r="H46" s="224">
        <f t="shared" si="27"/>
        <v>0</v>
      </c>
      <c r="I46" s="224">
        <f t="shared" si="27"/>
        <v>0</v>
      </c>
      <c r="J46" s="224">
        <f t="shared" si="27"/>
        <v>0</v>
      </c>
      <c r="K46" s="224">
        <f t="shared" si="27"/>
        <v>0</v>
      </c>
      <c r="L46" s="224">
        <f t="shared" si="27"/>
        <v>0</v>
      </c>
      <c r="M46" s="13" t="s">
        <v>114</v>
      </c>
      <c r="N46" s="4">
        <f t="shared" ref="N46:O46" si="28">SUM(N30:N44)</f>
        <v>0</v>
      </c>
      <c r="O46" s="4">
        <f t="shared" si="28"/>
        <v>0</v>
      </c>
      <c r="P46" s="4">
        <f t="shared" ref="P46:W46" si="29">SUM(P30:P44)</f>
        <v>0</v>
      </c>
      <c r="Q46" s="4">
        <f t="shared" si="29"/>
        <v>0</v>
      </c>
      <c r="R46" s="4">
        <f t="shared" si="29"/>
        <v>0</v>
      </c>
      <c r="S46" s="4">
        <f t="shared" si="29"/>
        <v>0</v>
      </c>
      <c r="T46" s="4">
        <f t="shared" si="29"/>
        <v>-8969</v>
      </c>
      <c r="U46" s="4">
        <f t="shared" si="29"/>
        <v>54947.046999999999</v>
      </c>
      <c r="V46" s="4">
        <f t="shared" si="29"/>
        <v>54947.046999999999</v>
      </c>
      <c r="W46" s="4">
        <f t="shared" si="29"/>
        <v>0</v>
      </c>
      <c r="X46" s="225">
        <f t="shared" si="6"/>
        <v>0</v>
      </c>
    </row>
    <row r="47" spans="1:24" x14ac:dyDescent="0.3">
      <c r="A47" s="219"/>
      <c r="B47" s="219"/>
      <c r="C47" s="219"/>
      <c r="D47" s="219"/>
      <c r="E47" s="220"/>
      <c r="F47" s="220"/>
      <c r="G47" s="220"/>
      <c r="H47" s="226"/>
      <c r="I47" s="226"/>
      <c r="J47" s="226"/>
      <c r="K47" s="222"/>
      <c r="L47" s="222"/>
      <c r="M47" s="80"/>
      <c r="N47" s="86">
        <f t="shared" si="8"/>
        <v>0</v>
      </c>
      <c r="O47" s="86">
        <f t="shared" si="9"/>
        <v>0</v>
      </c>
      <c r="P47" s="86">
        <f t="shared" si="3"/>
        <v>0</v>
      </c>
      <c r="Q47" s="81">
        <v>0</v>
      </c>
      <c r="R47" s="81"/>
      <c r="S47" s="81"/>
      <c r="T47" s="81"/>
      <c r="U47" s="81">
        <v>0</v>
      </c>
      <c r="V47" s="81">
        <f t="shared" si="5"/>
        <v>0</v>
      </c>
      <c r="W47" s="81"/>
      <c r="X47" s="223">
        <f t="shared" si="6"/>
        <v>0</v>
      </c>
    </row>
    <row r="48" spans="1:24" x14ac:dyDescent="0.3">
      <c r="A48" s="8">
        <f t="shared" ref="A48:L63" si="30">$Q48/12</f>
        <v>0</v>
      </c>
      <c r="B48" s="8">
        <f t="shared" si="30"/>
        <v>0</v>
      </c>
      <c r="C48" s="8">
        <f t="shared" si="30"/>
        <v>0</v>
      </c>
      <c r="D48" s="8">
        <f t="shared" si="30"/>
        <v>0</v>
      </c>
      <c r="E48" s="8">
        <f t="shared" si="30"/>
        <v>0</v>
      </c>
      <c r="F48" s="8">
        <f t="shared" si="30"/>
        <v>0</v>
      </c>
      <c r="G48" s="8">
        <f t="shared" si="30"/>
        <v>0</v>
      </c>
      <c r="H48" s="8">
        <f t="shared" si="30"/>
        <v>0</v>
      </c>
      <c r="I48" s="8">
        <f t="shared" si="30"/>
        <v>0</v>
      </c>
      <c r="J48" s="8">
        <f t="shared" si="30"/>
        <v>0</v>
      </c>
      <c r="K48" s="8">
        <f t="shared" si="30"/>
        <v>0</v>
      </c>
      <c r="L48" s="8">
        <f t="shared" si="30"/>
        <v>0</v>
      </c>
      <c r="M48" s="238" t="s">
        <v>445</v>
      </c>
      <c r="N48" s="8">
        <f t="shared" ref="N48:N63" si="31">SUM(0)</f>
        <v>0</v>
      </c>
      <c r="O48" s="8">
        <f t="shared" ref="O48:O63" si="32">SUM(A48:L48)</f>
        <v>0</v>
      </c>
      <c r="P48" s="8">
        <f t="shared" si="3"/>
        <v>0</v>
      </c>
      <c r="Q48" s="8">
        <v>0</v>
      </c>
      <c r="R48" s="8">
        <f t="shared" ref="R48:R63" si="33">Q48-P48</f>
        <v>0</v>
      </c>
      <c r="S48" s="8"/>
      <c r="T48" s="8"/>
      <c r="U48" s="8">
        <v>0</v>
      </c>
      <c r="V48" s="8">
        <f t="shared" si="5"/>
        <v>0</v>
      </c>
      <c r="W48" s="8"/>
      <c r="X48" s="215">
        <f t="shared" si="6"/>
        <v>0</v>
      </c>
    </row>
    <row r="49" spans="1:24" x14ac:dyDescent="0.3">
      <c r="A49" s="7">
        <f>148*1.048</f>
        <v>155.10400000000001</v>
      </c>
      <c r="B49" s="7">
        <f t="shared" ref="B49:L49" si="34">148*1.048</f>
        <v>155.10400000000001</v>
      </c>
      <c r="C49" s="7">
        <f t="shared" si="34"/>
        <v>155.10400000000001</v>
      </c>
      <c r="D49" s="7">
        <f t="shared" si="34"/>
        <v>155.10400000000001</v>
      </c>
      <c r="E49" s="7">
        <f t="shared" si="34"/>
        <v>155.10400000000001</v>
      </c>
      <c r="F49" s="7">
        <f t="shared" si="34"/>
        <v>155.10400000000001</v>
      </c>
      <c r="G49" s="7">
        <f t="shared" si="34"/>
        <v>155.10400000000001</v>
      </c>
      <c r="H49" s="7">
        <f t="shared" si="34"/>
        <v>155.10400000000001</v>
      </c>
      <c r="I49" s="7">
        <f t="shared" si="34"/>
        <v>155.10400000000001</v>
      </c>
      <c r="J49" s="7">
        <f t="shared" si="34"/>
        <v>155.10400000000001</v>
      </c>
      <c r="K49" s="7">
        <f t="shared" si="34"/>
        <v>155.10400000000001</v>
      </c>
      <c r="L49" s="7">
        <f t="shared" si="34"/>
        <v>155.10400000000001</v>
      </c>
      <c r="M49" s="13" t="s">
        <v>446</v>
      </c>
      <c r="N49" s="7">
        <f t="shared" si="31"/>
        <v>0</v>
      </c>
      <c r="O49" s="7">
        <f t="shared" si="32"/>
        <v>1861.2480000000003</v>
      </c>
      <c r="P49" s="7">
        <f t="shared" si="3"/>
        <v>1861.2480000000003</v>
      </c>
      <c r="Q49" s="7">
        <v>1861.2480000000003</v>
      </c>
      <c r="R49" s="7">
        <f t="shared" si="33"/>
        <v>0</v>
      </c>
      <c r="S49" s="7"/>
      <c r="T49" s="7"/>
      <c r="U49" s="7">
        <v>1773.042453</v>
      </c>
      <c r="V49" s="7">
        <f t="shared" si="5"/>
        <v>-88.205547000000252</v>
      </c>
      <c r="W49" s="7"/>
      <c r="X49" s="216">
        <f t="shared" si="6"/>
        <v>0</v>
      </c>
    </row>
    <row r="50" spans="1:24" x14ac:dyDescent="0.3">
      <c r="A50" s="7">
        <f>116*1.048</f>
        <v>121.56800000000001</v>
      </c>
      <c r="B50" s="7">
        <f t="shared" ref="B50:J50" si="35">116*1.048</f>
        <v>121.56800000000001</v>
      </c>
      <c r="C50" s="7">
        <f t="shared" si="35"/>
        <v>121.56800000000001</v>
      </c>
      <c r="D50" s="7">
        <f t="shared" si="35"/>
        <v>121.56800000000001</v>
      </c>
      <c r="E50" s="7">
        <f t="shared" si="35"/>
        <v>121.56800000000001</v>
      </c>
      <c r="F50" s="7">
        <f t="shared" si="35"/>
        <v>121.56800000000001</v>
      </c>
      <c r="G50" s="7">
        <f t="shared" si="35"/>
        <v>121.56800000000001</v>
      </c>
      <c r="H50" s="7">
        <f t="shared" si="35"/>
        <v>121.56800000000001</v>
      </c>
      <c r="I50" s="7">
        <f t="shared" si="35"/>
        <v>121.56800000000001</v>
      </c>
      <c r="J50" s="7">
        <f t="shared" si="35"/>
        <v>121.56800000000001</v>
      </c>
      <c r="K50" s="7">
        <f>(116*1.048)-0.548138077130716</f>
        <v>121.0198619228693</v>
      </c>
      <c r="L50" s="7">
        <v>0</v>
      </c>
      <c r="M50" s="13" t="s">
        <v>447</v>
      </c>
      <c r="N50" s="7">
        <f t="shared" si="31"/>
        <v>0</v>
      </c>
      <c r="O50" s="7">
        <f t="shared" si="32"/>
        <v>1336.6998619228693</v>
      </c>
      <c r="P50" s="7">
        <f t="shared" si="3"/>
        <v>1336.6998619228693</v>
      </c>
      <c r="Q50" s="7">
        <v>1336.6998619228693</v>
      </c>
      <c r="R50" s="7">
        <f t="shared" si="33"/>
        <v>0</v>
      </c>
      <c r="S50" s="7"/>
      <c r="T50" s="7"/>
      <c r="U50" s="7">
        <v>1392.4095077454544</v>
      </c>
      <c r="V50" s="7">
        <f t="shared" si="5"/>
        <v>55.709645822585117</v>
      </c>
      <c r="W50" s="7"/>
      <c r="X50" s="216">
        <f t="shared" si="6"/>
        <v>0</v>
      </c>
    </row>
    <row r="51" spans="1:24" x14ac:dyDescent="0.3">
      <c r="A51" s="7">
        <f t="shared" si="30"/>
        <v>0</v>
      </c>
      <c r="B51" s="7">
        <f t="shared" si="30"/>
        <v>0</v>
      </c>
      <c r="C51" s="7">
        <f t="shared" si="30"/>
        <v>0</v>
      </c>
      <c r="D51" s="7">
        <f t="shared" si="30"/>
        <v>0</v>
      </c>
      <c r="E51" s="7">
        <f t="shared" si="30"/>
        <v>0</v>
      </c>
      <c r="F51" s="7">
        <f t="shared" si="30"/>
        <v>0</v>
      </c>
      <c r="G51" s="7">
        <f t="shared" si="30"/>
        <v>0</v>
      </c>
      <c r="H51" s="7">
        <f t="shared" si="30"/>
        <v>0</v>
      </c>
      <c r="I51" s="7">
        <f t="shared" si="30"/>
        <v>0</v>
      </c>
      <c r="J51" s="7">
        <f t="shared" si="30"/>
        <v>0</v>
      </c>
      <c r="K51" s="7">
        <f t="shared" si="30"/>
        <v>0</v>
      </c>
      <c r="L51" s="7">
        <f t="shared" si="30"/>
        <v>0</v>
      </c>
      <c r="M51" s="13" t="s">
        <v>448</v>
      </c>
      <c r="N51" s="7">
        <f t="shared" si="31"/>
        <v>0</v>
      </c>
      <c r="O51" s="7">
        <f t="shared" si="32"/>
        <v>0</v>
      </c>
      <c r="P51" s="7">
        <f t="shared" si="3"/>
        <v>0</v>
      </c>
      <c r="Q51" s="7">
        <v>0</v>
      </c>
      <c r="R51" s="7">
        <f t="shared" si="33"/>
        <v>0</v>
      </c>
      <c r="S51" s="7"/>
      <c r="T51" s="7"/>
      <c r="U51" s="7">
        <v>0</v>
      </c>
      <c r="V51" s="7">
        <f t="shared" si="5"/>
        <v>0</v>
      </c>
      <c r="W51" s="7"/>
      <c r="X51" s="216">
        <f t="shared" si="6"/>
        <v>0</v>
      </c>
    </row>
    <row r="52" spans="1:24" x14ac:dyDescent="0.3">
      <c r="A52" s="7">
        <f>47*1.048</f>
        <v>49.256</v>
      </c>
      <c r="B52" s="7">
        <f t="shared" ref="B52:L52" si="36">47*1.048</f>
        <v>49.256</v>
      </c>
      <c r="C52" s="7">
        <f t="shared" si="36"/>
        <v>49.256</v>
      </c>
      <c r="D52" s="7">
        <f t="shared" si="36"/>
        <v>49.256</v>
      </c>
      <c r="E52" s="7">
        <f t="shared" si="36"/>
        <v>49.256</v>
      </c>
      <c r="F52" s="7">
        <f t="shared" si="36"/>
        <v>49.256</v>
      </c>
      <c r="G52" s="7">
        <f t="shared" si="36"/>
        <v>49.256</v>
      </c>
      <c r="H52" s="7">
        <f t="shared" si="36"/>
        <v>49.256</v>
      </c>
      <c r="I52" s="7">
        <f t="shared" si="36"/>
        <v>49.256</v>
      </c>
      <c r="J52" s="7">
        <f t="shared" si="36"/>
        <v>49.256</v>
      </c>
      <c r="K52" s="7">
        <f t="shared" si="36"/>
        <v>49.256</v>
      </c>
      <c r="L52" s="7">
        <f t="shared" si="36"/>
        <v>49.256</v>
      </c>
      <c r="M52" s="13" t="s">
        <v>449</v>
      </c>
      <c r="N52" s="7">
        <f t="shared" si="31"/>
        <v>0</v>
      </c>
      <c r="O52" s="7">
        <f t="shared" si="32"/>
        <v>591.07199999999989</v>
      </c>
      <c r="P52" s="7">
        <f t="shared" si="3"/>
        <v>591.07199999999989</v>
      </c>
      <c r="Q52" s="7">
        <v>591.07199999999989</v>
      </c>
      <c r="R52" s="7">
        <f t="shared" si="33"/>
        <v>0</v>
      </c>
      <c r="S52" s="7"/>
      <c r="T52" s="7"/>
      <c r="U52" s="7">
        <v>558.77701549090909</v>
      </c>
      <c r="V52" s="7">
        <f t="shared" si="5"/>
        <v>-32.294984509090796</v>
      </c>
      <c r="W52" s="7"/>
      <c r="X52" s="216">
        <f t="shared" si="6"/>
        <v>0</v>
      </c>
    </row>
    <row r="53" spans="1:24" x14ac:dyDescent="0.3">
      <c r="A53" s="7">
        <f>138*1.048</f>
        <v>144.624</v>
      </c>
      <c r="B53" s="7">
        <f t="shared" ref="B53:L53" si="37">138*1.048</f>
        <v>144.624</v>
      </c>
      <c r="C53" s="7">
        <f t="shared" si="37"/>
        <v>144.624</v>
      </c>
      <c r="D53" s="7">
        <f t="shared" si="37"/>
        <v>144.624</v>
      </c>
      <c r="E53" s="7">
        <f t="shared" si="37"/>
        <v>144.624</v>
      </c>
      <c r="F53" s="7">
        <f t="shared" si="37"/>
        <v>144.624</v>
      </c>
      <c r="G53" s="7">
        <f t="shared" si="37"/>
        <v>144.624</v>
      </c>
      <c r="H53" s="7">
        <f t="shared" si="37"/>
        <v>144.624</v>
      </c>
      <c r="I53" s="7">
        <f t="shared" si="37"/>
        <v>144.624</v>
      </c>
      <c r="J53" s="7">
        <f t="shared" si="37"/>
        <v>144.624</v>
      </c>
      <c r="K53" s="7">
        <f t="shared" si="37"/>
        <v>144.624</v>
      </c>
      <c r="L53" s="7">
        <f t="shared" si="37"/>
        <v>144.624</v>
      </c>
      <c r="M53" s="13" t="s">
        <v>450</v>
      </c>
      <c r="N53" s="7">
        <f t="shared" si="31"/>
        <v>0</v>
      </c>
      <c r="O53" s="7">
        <f t="shared" si="32"/>
        <v>1735.4880000000001</v>
      </c>
      <c r="P53" s="7">
        <f t="shared" si="3"/>
        <v>1735.4880000000001</v>
      </c>
      <c r="Q53" s="7">
        <v>1735.4880000000001</v>
      </c>
      <c r="R53" s="7">
        <f t="shared" si="33"/>
        <v>0</v>
      </c>
      <c r="S53" s="7"/>
      <c r="T53" s="7">
        <v>-15338.017759999999</v>
      </c>
      <c r="U53" s="7">
        <v>1652.5499999999993</v>
      </c>
      <c r="V53" s="7">
        <f t="shared" si="5"/>
        <v>-82.938000000000784</v>
      </c>
      <c r="W53" s="7" t="s">
        <v>397</v>
      </c>
      <c r="X53" s="216">
        <f t="shared" si="6"/>
        <v>0</v>
      </c>
    </row>
    <row r="54" spans="1:24" x14ac:dyDescent="0.3">
      <c r="A54" s="7">
        <f t="shared" si="30"/>
        <v>0</v>
      </c>
      <c r="B54" s="7">
        <f t="shared" si="30"/>
        <v>0</v>
      </c>
      <c r="C54" s="7">
        <f t="shared" si="30"/>
        <v>0</v>
      </c>
      <c r="D54" s="7">
        <f t="shared" si="30"/>
        <v>0</v>
      </c>
      <c r="E54" s="7">
        <f t="shared" si="30"/>
        <v>0</v>
      </c>
      <c r="F54" s="7">
        <f t="shared" si="30"/>
        <v>0</v>
      </c>
      <c r="G54" s="7">
        <f t="shared" si="30"/>
        <v>0</v>
      </c>
      <c r="H54" s="7">
        <f t="shared" si="30"/>
        <v>0</v>
      </c>
      <c r="I54" s="7">
        <f t="shared" si="30"/>
        <v>0</v>
      </c>
      <c r="J54" s="7">
        <f t="shared" si="30"/>
        <v>0</v>
      </c>
      <c r="K54" s="7">
        <f t="shared" si="30"/>
        <v>0</v>
      </c>
      <c r="L54" s="7">
        <f t="shared" si="30"/>
        <v>0</v>
      </c>
      <c r="M54" s="13" t="s">
        <v>451</v>
      </c>
      <c r="N54" s="7">
        <f t="shared" si="31"/>
        <v>0</v>
      </c>
      <c r="O54" s="7">
        <f t="shared" si="32"/>
        <v>0</v>
      </c>
      <c r="P54" s="7">
        <f t="shared" si="3"/>
        <v>0</v>
      </c>
      <c r="Q54" s="7">
        <v>0</v>
      </c>
      <c r="R54" s="7">
        <f t="shared" si="33"/>
        <v>0</v>
      </c>
      <c r="S54" s="7"/>
      <c r="T54" s="7"/>
      <c r="U54" s="7">
        <v>0</v>
      </c>
      <c r="V54" s="7">
        <f t="shared" si="5"/>
        <v>0</v>
      </c>
      <c r="W54" s="7"/>
      <c r="X54" s="216">
        <f t="shared" si="6"/>
        <v>0</v>
      </c>
    </row>
    <row r="55" spans="1:24" x14ac:dyDescent="0.3">
      <c r="A55" s="7">
        <f>233*1.048</f>
        <v>244.184</v>
      </c>
      <c r="B55" s="7">
        <f t="shared" ref="B55:L55" si="38">233*1.048</f>
        <v>244.184</v>
      </c>
      <c r="C55" s="7">
        <f t="shared" si="38"/>
        <v>244.184</v>
      </c>
      <c r="D55" s="7">
        <f t="shared" si="38"/>
        <v>244.184</v>
      </c>
      <c r="E55" s="7">
        <f t="shared" si="38"/>
        <v>244.184</v>
      </c>
      <c r="F55" s="7">
        <f t="shared" si="38"/>
        <v>244.184</v>
      </c>
      <c r="G55" s="7">
        <f t="shared" si="38"/>
        <v>244.184</v>
      </c>
      <c r="H55" s="7">
        <f t="shared" si="38"/>
        <v>244.184</v>
      </c>
      <c r="I55" s="7">
        <f t="shared" si="38"/>
        <v>244.184</v>
      </c>
      <c r="J55" s="7">
        <f t="shared" si="38"/>
        <v>244.184</v>
      </c>
      <c r="K55" s="7">
        <f t="shared" si="38"/>
        <v>244.184</v>
      </c>
      <c r="L55" s="7">
        <f t="shared" si="38"/>
        <v>244.184</v>
      </c>
      <c r="M55" s="238" t="s">
        <v>452</v>
      </c>
      <c r="N55" s="7">
        <f t="shared" si="31"/>
        <v>0</v>
      </c>
      <c r="O55" s="7">
        <f t="shared" si="32"/>
        <v>2930.2080000000005</v>
      </c>
      <c r="P55" s="7">
        <f t="shared" si="3"/>
        <v>2930.2080000000005</v>
      </c>
      <c r="Q55" s="7">
        <v>2930.2080000000005</v>
      </c>
      <c r="R55" s="7">
        <f t="shared" si="33"/>
        <v>0</v>
      </c>
      <c r="S55" s="7"/>
      <c r="T55" s="7">
        <v>-14515.002</v>
      </c>
      <c r="U55" s="7">
        <v>2790</v>
      </c>
      <c r="V55" s="7">
        <f t="shared" si="5"/>
        <v>-140.20800000000054</v>
      </c>
      <c r="W55" s="7" t="s">
        <v>397</v>
      </c>
      <c r="X55" s="216">
        <f t="shared" si="6"/>
        <v>0</v>
      </c>
    </row>
    <row r="56" spans="1:24" x14ac:dyDescent="0.3">
      <c r="A56" s="7">
        <f t="shared" si="30"/>
        <v>0</v>
      </c>
      <c r="B56" s="7">
        <f t="shared" si="30"/>
        <v>0</v>
      </c>
      <c r="C56" s="7">
        <f t="shared" si="30"/>
        <v>0</v>
      </c>
      <c r="D56" s="7">
        <f t="shared" si="30"/>
        <v>0</v>
      </c>
      <c r="E56" s="7">
        <f t="shared" si="30"/>
        <v>0</v>
      </c>
      <c r="F56" s="7">
        <f t="shared" si="30"/>
        <v>0</v>
      </c>
      <c r="G56" s="7">
        <f t="shared" si="30"/>
        <v>0</v>
      </c>
      <c r="H56" s="7">
        <f t="shared" si="30"/>
        <v>0</v>
      </c>
      <c r="I56" s="7">
        <f t="shared" si="30"/>
        <v>0</v>
      </c>
      <c r="J56" s="7">
        <f t="shared" si="30"/>
        <v>0</v>
      </c>
      <c r="K56" s="7">
        <f t="shared" si="30"/>
        <v>0</v>
      </c>
      <c r="L56" s="7">
        <f t="shared" si="30"/>
        <v>0</v>
      </c>
      <c r="M56" s="13" t="s">
        <v>453</v>
      </c>
      <c r="N56" s="7">
        <f t="shared" si="31"/>
        <v>0</v>
      </c>
      <c r="O56" s="7">
        <f t="shared" si="32"/>
        <v>0</v>
      </c>
      <c r="P56" s="7">
        <f t="shared" si="3"/>
        <v>0</v>
      </c>
      <c r="Q56" s="7">
        <v>0</v>
      </c>
      <c r="R56" s="7">
        <f t="shared" si="33"/>
        <v>0</v>
      </c>
      <c r="S56" s="7"/>
      <c r="T56" s="7"/>
      <c r="U56" s="7">
        <v>0</v>
      </c>
      <c r="V56" s="7">
        <f t="shared" si="5"/>
        <v>0</v>
      </c>
      <c r="W56" s="7"/>
      <c r="X56" s="216">
        <f t="shared" si="6"/>
        <v>0</v>
      </c>
    </row>
    <row r="57" spans="1:24" x14ac:dyDescent="0.3">
      <c r="A57" s="7">
        <f t="shared" si="30"/>
        <v>0</v>
      </c>
      <c r="B57" s="7">
        <f t="shared" si="30"/>
        <v>0</v>
      </c>
      <c r="C57" s="7">
        <f t="shared" si="30"/>
        <v>0</v>
      </c>
      <c r="D57" s="7">
        <f t="shared" si="30"/>
        <v>0</v>
      </c>
      <c r="E57" s="7">
        <f t="shared" si="30"/>
        <v>0</v>
      </c>
      <c r="F57" s="7">
        <f t="shared" si="30"/>
        <v>0</v>
      </c>
      <c r="G57" s="7">
        <f t="shared" si="30"/>
        <v>0</v>
      </c>
      <c r="H57" s="7">
        <f t="shared" si="30"/>
        <v>0</v>
      </c>
      <c r="I57" s="7">
        <f t="shared" si="30"/>
        <v>0</v>
      </c>
      <c r="J57" s="7">
        <f t="shared" si="30"/>
        <v>0</v>
      </c>
      <c r="K57" s="7">
        <f t="shared" si="30"/>
        <v>0</v>
      </c>
      <c r="L57" s="7">
        <f t="shared" si="30"/>
        <v>0</v>
      </c>
      <c r="M57" s="13" t="s">
        <v>454</v>
      </c>
      <c r="N57" s="7">
        <f t="shared" si="31"/>
        <v>0</v>
      </c>
      <c r="O57" s="7">
        <f t="shared" si="32"/>
        <v>0</v>
      </c>
      <c r="P57" s="7">
        <f t="shared" si="3"/>
        <v>0</v>
      </c>
      <c r="Q57" s="7">
        <v>0</v>
      </c>
      <c r="R57" s="7">
        <f t="shared" si="33"/>
        <v>0</v>
      </c>
      <c r="S57" s="7"/>
      <c r="T57" s="7"/>
      <c r="U57" s="7">
        <v>0</v>
      </c>
      <c r="V57" s="7">
        <f t="shared" si="5"/>
        <v>0</v>
      </c>
      <c r="W57" s="7"/>
      <c r="X57" s="216">
        <f t="shared" si="6"/>
        <v>0</v>
      </c>
    </row>
    <row r="58" spans="1:24" x14ac:dyDescent="0.3">
      <c r="A58" s="7">
        <f>6011*1.048</f>
        <v>6299.5280000000002</v>
      </c>
      <c r="B58" s="7">
        <f t="shared" ref="B58:K58" si="39">6011*1.048</f>
        <v>6299.5280000000002</v>
      </c>
      <c r="C58" s="7">
        <f t="shared" si="39"/>
        <v>6299.5280000000002</v>
      </c>
      <c r="D58" s="7">
        <f t="shared" si="39"/>
        <v>6299.5280000000002</v>
      </c>
      <c r="E58" s="7">
        <f t="shared" si="39"/>
        <v>6299.5280000000002</v>
      </c>
      <c r="F58" s="7">
        <f t="shared" si="39"/>
        <v>6299.5280000000002</v>
      </c>
      <c r="G58" s="7">
        <f t="shared" si="39"/>
        <v>6299.5280000000002</v>
      </c>
      <c r="H58" s="7">
        <f t="shared" si="39"/>
        <v>6299.5280000000002</v>
      </c>
      <c r="I58" s="7">
        <f t="shared" si="39"/>
        <v>6299.5280000000002</v>
      </c>
      <c r="J58" s="7">
        <f t="shared" si="39"/>
        <v>6299.5280000000002</v>
      </c>
      <c r="K58" s="7">
        <f t="shared" si="39"/>
        <v>6299.5280000000002</v>
      </c>
      <c r="L58" s="7">
        <f>(6011*1.048)+96</f>
        <v>6395.5280000000002</v>
      </c>
      <c r="M58" s="13" t="s">
        <v>455</v>
      </c>
      <c r="N58" s="7">
        <f t="shared" si="31"/>
        <v>0</v>
      </c>
      <c r="O58" s="7">
        <f t="shared" si="32"/>
        <v>75690.335999999996</v>
      </c>
      <c r="P58" s="7">
        <f t="shared" si="3"/>
        <v>75690.335999999996</v>
      </c>
      <c r="Q58" s="7">
        <v>75690.335999999996</v>
      </c>
      <c r="R58" s="7">
        <f t="shared" si="33"/>
        <v>0</v>
      </c>
      <c r="S58" s="7"/>
      <c r="T58" s="7">
        <v>29852.626695324601</v>
      </c>
      <c r="U58" s="7">
        <v>72127.902857142792</v>
      </c>
      <c r="V58" s="7">
        <f t="shared" si="5"/>
        <v>-3562.4331428572041</v>
      </c>
      <c r="W58" s="7" t="s">
        <v>397</v>
      </c>
      <c r="X58" s="216">
        <f t="shared" si="6"/>
        <v>0</v>
      </c>
    </row>
    <row r="59" spans="1:24" x14ac:dyDescent="0.3">
      <c r="A59" s="7">
        <f t="shared" si="30"/>
        <v>0</v>
      </c>
      <c r="B59" s="7">
        <f t="shared" si="30"/>
        <v>0</v>
      </c>
      <c r="C59" s="7">
        <f t="shared" si="30"/>
        <v>0</v>
      </c>
      <c r="D59" s="7">
        <f t="shared" si="30"/>
        <v>0</v>
      </c>
      <c r="E59" s="7">
        <f t="shared" si="30"/>
        <v>0</v>
      </c>
      <c r="F59" s="7">
        <f t="shared" si="30"/>
        <v>0</v>
      </c>
      <c r="G59" s="7">
        <f t="shared" si="30"/>
        <v>0</v>
      </c>
      <c r="H59" s="7">
        <f t="shared" si="30"/>
        <v>0</v>
      </c>
      <c r="I59" s="7">
        <f t="shared" si="30"/>
        <v>0</v>
      </c>
      <c r="J59" s="7">
        <f t="shared" si="30"/>
        <v>0</v>
      </c>
      <c r="K59" s="7">
        <f t="shared" si="30"/>
        <v>0</v>
      </c>
      <c r="L59" s="7">
        <f t="shared" si="30"/>
        <v>0</v>
      </c>
      <c r="M59" s="13" t="s">
        <v>456</v>
      </c>
      <c r="N59" s="7">
        <f t="shared" si="31"/>
        <v>0</v>
      </c>
      <c r="O59" s="7">
        <f t="shared" si="32"/>
        <v>0</v>
      </c>
      <c r="P59" s="7">
        <f t="shared" si="3"/>
        <v>0</v>
      </c>
      <c r="Q59" s="7">
        <v>0</v>
      </c>
      <c r="R59" s="7">
        <f t="shared" si="33"/>
        <v>0</v>
      </c>
      <c r="S59" s="7"/>
      <c r="T59" s="7"/>
      <c r="U59" s="7">
        <v>0</v>
      </c>
      <c r="V59" s="7">
        <f t="shared" si="5"/>
        <v>0</v>
      </c>
      <c r="W59" s="7"/>
      <c r="X59" s="216">
        <f t="shared" si="6"/>
        <v>0</v>
      </c>
    </row>
    <row r="60" spans="1:24" x14ac:dyDescent="0.3">
      <c r="A60" s="7">
        <f t="shared" si="30"/>
        <v>0</v>
      </c>
      <c r="B60" s="7">
        <f t="shared" si="30"/>
        <v>0</v>
      </c>
      <c r="C60" s="7">
        <f t="shared" si="30"/>
        <v>0</v>
      </c>
      <c r="D60" s="7">
        <f t="shared" si="30"/>
        <v>0</v>
      </c>
      <c r="E60" s="7">
        <f t="shared" si="30"/>
        <v>0</v>
      </c>
      <c r="F60" s="7">
        <f t="shared" si="30"/>
        <v>0</v>
      </c>
      <c r="G60" s="7">
        <f t="shared" si="30"/>
        <v>0</v>
      </c>
      <c r="H60" s="7">
        <f t="shared" si="30"/>
        <v>0</v>
      </c>
      <c r="I60" s="7">
        <f t="shared" si="30"/>
        <v>0</v>
      </c>
      <c r="J60" s="7">
        <f t="shared" si="30"/>
        <v>0</v>
      </c>
      <c r="K60" s="7">
        <f t="shared" si="30"/>
        <v>0</v>
      </c>
      <c r="L60" s="7">
        <f t="shared" si="30"/>
        <v>0</v>
      </c>
      <c r="M60" s="13" t="s">
        <v>457</v>
      </c>
      <c r="N60" s="7">
        <f t="shared" si="31"/>
        <v>0</v>
      </c>
      <c r="O60" s="7">
        <f t="shared" si="32"/>
        <v>0</v>
      </c>
      <c r="P60" s="7">
        <f t="shared" si="3"/>
        <v>0</v>
      </c>
      <c r="Q60" s="7">
        <v>0</v>
      </c>
      <c r="R60" s="7">
        <f t="shared" si="33"/>
        <v>0</v>
      </c>
      <c r="S60" s="7"/>
      <c r="T60" s="7"/>
      <c r="U60" s="7">
        <v>0</v>
      </c>
      <c r="V60" s="7">
        <f t="shared" si="5"/>
        <v>0</v>
      </c>
      <c r="W60" s="7"/>
      <c r="X60" s="216">
        <f t="shared" si="6"/>
        <v>0</v>
      </c>
    </row>
    <row r="61" spans="1:24" x14ac:dyDescent="0.3">
      <c r="A61" s="7">
        <f t="shared" si="30"/>
        <v>0</v>
      </c>
      <c r="B61" s="7">
        <f t="shared" si="30"/>
        <v>0</v>
      </c>
      <c r="C61" s="7">
        <f t="shared" si="30"/>
        <v>0</v>
      </c>
      <c r="D61" s="7">
        <f t="shared" si="30"/>
        <v>0</v>
      </c>
      <c r="E61" s="7">
        <f t="shared" si="30"/>
        <v>0</v>
      </c>
      <c r="F61" s="7">
        <f t="shared" si="30"/>
        <v>0</v>
      </c>
      <c r="G61" s="7">
        <f t="shared" si="30"/>
        <v>0</v>
      </c>
      <c r="H61" s="7">
        <f t="shared" si="30"/>
        <v>0</v>
      </c>
      <c r="I61" s="7">
        <f t="shared" si="30"/>
        <v>0</v>
      </c>
      <c r="J61" s="7">
        <f t="shared" si="30"/>
        <v>0</v>
      </c>
      <c r="K61" s="7">
        <f t="shared" si="30"/>
        <v>0</v>
      </c>
      <c r="L61" s="7">
        <f t="shared" si="30"/>
        <v>0</v>
      </c>
      <c r="M61" s="13" t="s">
        <v>458</v>
      </c>
      <c r="N61" s="7">
        <f t="shared" si="31"/>
        <v>0</v>
      </c>
      <c r="O61" s="7">
        <f t="shared" si="32"/>
        <v>0</v>
      </c>
      <c r="P61" s="7">
        <f t="shared" si="3"/>
        <v>0</v>
      </c>
      <c r="Q61" s="7">
        <v>0</v>
      </c>
      <c r="R61" s="7">
        <f t="shared" si="33"/>
        <v>0</v>
      </c>
      <c r="S61" s="7"/>
      <c r="T61" s="7"/>
      <c r="U61" s="7">
        <v>0</v>
      </c>
      <c r="V61" s="7">
        <f t="shared" si="5"/>
        <v>0</v>
      </c>
      <c r="W61" s="7"/>
      <c r="X61" s="216">
        <f t="shared" si="6"/>
        <v>0</v>
      </c>
    </row>
    <row r="62" spans="1:24" x14ac:dyDescent="0.3">
      <c r="A62" s="7">
        <f t="shared" si="30"/>
        <v>0</v>
      </c>
      <c r="B62" s="7">
        <f t="shared" si="30"/>
        <v>0</v>
      </c>
      <c r="C62" s="7">
        <f t="shared" si="30"/>
        <v>0</v>
      </c>
      <c r="D62" s="7">
        <f t="shared" si="30"/>
        <v>0</v>
      </c>
      <c r="E62" s="7">
        <f t="shared" si="30"/>
        <v>0</v>
      </c>
      <c r="F62" s="7">
        <f t="shared" si="30"/>
        <v>0</v>
      </c>
      <c r="G62" s="7">
        <f t="shared" si="30"/>
        <v>0</v>
      </c>
      <c r="H62" s="7">
        <f t="shared" si="30"/>
        <v>0</v>
      </c>
      <c r="I62" s="7">
        <f t="shared" si="30"/>
        <v>0</v>
      </c>
      <c r="J62" s="7">
        <f t="shared" si="30"/>
        <v>0</v>
      </c>
      <c r="K62" s="7">
        <f t="shared" si="30"/>
        <v>0</v>
      </c>
      <c r="L62" s="7">
        <f t="shared" si="30"/>
        <v>0</v>
      </c>
      <c r="M62" s="238" t="s">
        <v>459</v>
      </c>
      <c r="N62" s="7">
        <f t="shared" si="31"/>
        <v>0</v>
      </c>
      <c r="O62" s="7">
        <f t="shared" si="32"/>
        <v>0</v>
      </c>
      <c r="P62" s="7">
        <f t="shared" si="3"/>
        <v>0</v>
      </c>
      <c r="Q62" s="7">
        <v>0</v>
      </c>
      <c r="R62" s="7">
        <f t="shared" si="33"/>
        <v>0</v>
      </c>
      <c r="S62" s="7"/>
      <c r="T62" s="7"/>
      <c r="U62" s="7">
        <v>0</v>
      </c>
      <c r="V62" s="7">
        <f t="shared" si="5"/>
        <v>0</v>
      </c>
      <c r="W62" s="7"/>
      <c r="X62" s="216">
        <f t="shared" si="6"/>
        <v>0</v>
      </c>
    </row>
    <row r="63" spans="1:24" x14ac:dyDescent="0.3">
      <c r="A63" s="11">
        <f t="shared" si="30"/>
        <v>0</v>
      </c>
      <c r="B63" s="11">
        <f t="shared" si="30"/>
        <v>0</v>
      </c>
      <c r="C63" s="11">
        <f t="shared" si="30"/>
        <v>0</v>
      </c>
      <c r="D63" s="11">
        <f t="shared" si="30"/>
        <v>0</v>
      </c>
      <c r="E63" s="11">
        <f t="shared" si="30"/>
        <v>0</v>
      </c>
      <c r="F63" s="11">
        <f t="shared" si="30"/>
        <v>0</v>
      </c>
      <c r="G63" s="11">
        <f t="shared" si="30"/>
        <v>0</v>
      </c>
      <c r="H63" s="11">
        <f t="shared" si="30"/>
        <v>0</v>
      </c>
      <c r="I63" s="11">
        <f t="shared" si="30"/>
        <v>0</v>
      </c>
      <c r="J63" s="11">
        <f t="shared" si="30"/>
        <v>0</v>
      </c>
      <c r="K63" s="11">
        <f t="shared" si="30"/>
        <v>0</v>
      </c>
      <c r="L63" s="11">
        <f t="shared" si="30"/>
        <v>0</v>
      </c>
      <c r="M63" s="238" t="s">
        <v>460</v>
      </c>
      <c r="N63" s="11">
        <f t="shared" si="31"/>
        <v>0</v>
      </c>
      <c r="O63" s="11">
        <f t="shared" si="32"/>
        <v>0</v>
      </c>
      <c r="P63" s="11">
        <f t="shared" si="3"/>
        <v>0</v>
      </c>
      <c r="Q63" s="11">
        <v>0</v>
      </c>
      <c r="R63" s="11">
        <f t="shared" si="33"/>
        <v>0</v>
      </c>
      <c r="S63" s="11"/>
      <c r="T63" s="11"/>
      <c r="U63" s="11">
        <v>0</v>
      </c>
      <c r="V63" s="11">
        <f t="shared" si="5"/>
        <v>0</v>
      </c>
      <c r="W63" s="11"/>
      <c r="X63" s="218">
        <f t="shared" si="6"/>
        <v>0</v>
      </c>
    </row>
    <row r="64" spans="1:24" ht="15" thickBot="1" x14ac:dyDescent="0.35">
      <c r="A64" s="230"/>
      <c r="B64" s="230"/>
      <c r="C64" s="230"/>
      <c r="D64" s="230"/>
      <c r="E64" s="231"/>
      <c r="F64" s="231"/>
      <c r="G64" s="231"/>
      <c r="H64" s="231"/>
      <c r="I64" s="231"/>
      <c r="J64" s="231"/>
      <c r="K64" s="232"/>
      <c r="L64" s="232"/>
      <c r="M64" s="13"/>
      <c r="N64" s="91">
        <f t="shared" si="8"/>
        <v>0</v>
      </c>
      <c r="O64" s="91">
        <f t="shared" si="9"/>
        <v>0</v>
      </c>
      <c r="P64" s="91">
        <f t="shared" si="3"/>
        <v>0</v>
      </c>
      <c r="Q64" s="89">
        <v>0</v>
      </c>
      <c r="R64" s="89"/>
      <c r="S64" s="89"/>
      <c r="T64" s="89"/>
      <c r="U64" s="89">
        <v>0</v>
      </c>
      <c r="V64" s="89">
        <f t="shared" si="5"/>
        <v>0</v>
      </c>
      <c r="W64" s="89"/>
      <c r="X64" s="233">
        <f t="shared" si="6"/>
        <v>0</v>
      </c>
    </row>
    <row r="65" spans="1:24" x14ac:dyDescent="0.3">
      <c r="A65" s="224">
        <f>SUM(A48:A63)</f>
        <v>7014.2640000000001</v>
      </c>
      <c r="B65" s="224">
        <f t="shared" ref="B65:L65" si="40">SUM(B48:B63)</f>
        <v>7014.2640000000001</v>
      </c>
      <c r="C65" s="224">
        <f t="shared" si="40"/>
        <v>7014.2640000000001</v>
      </c>
      <c r="D65" s="224">
        <f t="shared" si="40"/>
        <v>7014.2640000000001</v>
      </c>
      <c r="E65" s="224">
        <f t="shared" si="40"/>
        <v>7014.2640000000001</v>
      </c>
      <c r="F65" s="224">
        <f t="shared" si="40"/>
        <v>7014.2640000000001</v>
      </c>
      <c r="G65" s="224">
        <f t="shared" si="40"/>
        <v>7014.2640000000001</v>
      </c>
      <c r="H65" s="224">
        <f t="shared" si="40"/>
        <v>7014.2640000000001</v>
      </c>
      <c r="I65" s="224">
        <f t="shared" si="40"/>
        <v>7014.2640000000001</v>
      </c>
      <c r="J65" s="224">
        <f t="shared" si="40"/>
        <v>7014.2640000000001</v>
      </c>
      <c r="K65" s="224">
        <f t="shared" si="40"/>
        <v>7013.7158619228694</v>
      </c>
      <c r="L65" s="224">
        <f t="shared" si="40"/>
        <v>6988.6959999999999</v>
      </c>
      <c r="M65" s="13" t="s">
        <v>132</v>
      </c>
      <c r="N65" s="4">
        <f t="shared" ref="N65:O65" si="41">SUM(N48:N63)</f>
        <v>0</v>
      </c>
      <c r="O65" s="4">
        <f t="shared" si="41"/>
        <v>84145.051861922868</v>
      </c>
      <c r="P65" s="4">
        <f t="shared" ref="P65:Q65" si="42">SUM(P48:P63)</f>
        <v>84145.051861922868</v>
      </c>
      <c r="Q65" s="4">
        <f t="shared" si="42"/>
        <v>84145.051861922868</v>
      </c>
      <c r="R65" s="4">
        <f t="shared" ref="R65:W65" si="43">SUM(R48:R63)</f>
        <v>0</v>
      </c>
      <c r="S65" s="4">
        <v>0</v>
      </c>
      <c r="T65" s="4">
        <v>-0.39306467539790901</v>
      </c>
      <c r="U65" s="4">
        <v>80294.681833379145</v>
      </c>
      <c r="V65" s="4">
        <f t="shared" si="5"/>
        <v>-3850.3700285437226</v>
      </c>
      <c r="W65" s="4">
        <f t="shared" si="43"/>
        <v>0</v>
      </c>
      <c r="X65" s="225">
        <f t="shared" si="6"/>
        <v>0</v>
      </c>
    </row>
    <row r="66" spans="1:24" x14ac:dyDescent="0.3">
      <c r="A66" s="219"/>
      <c r="B66" s="219"/>
      <c r="C66" s="219"/>
      <c r="D66" s="219"/>
      <c r="E66" s="220"/>
      <c r="F66" s="220"/>
      <c r="G66" s="220"/>
      <c r="H66" s="226"/>
      <c r="I66" s="226"/>
      <c r="J66" s="226"/>
      <c r="K66" s="222"/>
      <c r="L66" s="222"/>
      <c r="M66" s="80"/>
      <c r="N66" s="86">
        <f t="shared" si="8"/>
        <v>0</v>
      </c>
      <c r="O66" s="86">
        <f t="shared" si="9"/>
        <v>0</v>
      </c>
      <c r="P66" s="86">
        <f t="shared" si="3"/>
        <v>0</v>
      </c>
      <c r="Q66" s="81"/>
      <c r="R66" s="81"/>
      <c r="S66" s="81"/>
      <c r="T66" s="81"/>
      <c r="U66" s="81">
        <v>0</v>
      </c>
      <c r="V66" s="81">
        <f t="shared" si="5"/>
        <v>0</v>
      </c>
      <c r="W66" s="81"/>
      <c r="X66" s="223"/>
    </row>
    <row r="67" spans="1:24" x14ac:dyDescent="0.3">
      <c r="A67" s="228">
        <f>$Q$67/12</f>
        <v>0</v>
      </c>
      <c r="B67" s="228">
        <f t="shared" ref="B67:L67" si="44">$Q$67/12</f>
        <v>0</v>
      </c>
      <c r="C67" s="228">
        <f t="shared" si="44"/>
        <v>0</v>
      </c>
      <c r="D67" s="228">
        <v>0</v>
      </c>
      <c r="E67" s="228">
        <f t="shared" si="44"/>
        <v>0</v>
      </c>
      <c r="F67" s="228">
        <f t="shared" si="44"/>
        <v>0</v>
      </c>
      <c r="G67" s="228">
        <f t="shared" si="44"/>
        <v>0</v>
      </c>
      <c r="H67" s="228"/>
      <c r="I67" s="228">
        <f t="shared" si="44"/>
        <v>0</v>
      </c>
      <c r="J67" s="228"/>
      <c r="K67" s="228">
        <f t="shared" si="44"/>
        <v>0</v>
      </c>
      <c r="L67" s="228">
        <f t="shared" si="44"/>
        <v>0</v>
      </c>
      <c r="M67" s="238" t="s">
        <v>461</v>
      </c>
      <c r="N67" s="8">
        <f t="shared" ref="N67:N89" si="45">SUM(0)</f>
        <v>0</v>
      </c>
      <c r="O67" s="8">
        <f t="shared" ref="O67:O89" si="46">SUM(A67:L67)</f>
        <v>0</v>
      </c>
      <c r="P67" s="8">
        <f t="shared" si="3"/>
        <v>0</v>
      </c>
      <c r="Q67" s="8">
        <v>0</v>
      </c>
      <c r="R67" s="8">
        <f t="shared" ref="R67:R89" si="47">Q67-P67</f>
        <v>0</v>
      </c>
      <c r="S67" s="8"/>
      <c r="T67" s="8"/>
      <c r="U67" s="8">
        <v>0</v>
      </c>
      <c r="V67" s="8">
        <f t="shared" si="5"/>
        <v>0</v>
      </c>
      <c r="W67" s="8"/>
      <c r="X67" s="215">
        <f t="shared" si="6"/>
        <v>0</v>
      </c>
    </row>
    <row r="68" spans="1:24" x14ac:dyDescent="0.3">
      <c r="A68" s="168">
        <f>$Q$68/12</f>
        <v>0</v>
      </c>
      <c r="B68" s="168">
        <f t="shared" ref="B68:L68" si="48">$Q$68/12</f>
        <v>0</v>
      </c>
      <c r="C68" s="168">
        <f t="shared" si="48"/>
        <v>0</v>
      </c>
      <c r="D68" s="168">
        <v>0</v>
      </c>
      <c r="E68" s="168">
        <f t="shared" si="48"/>
        <v>0</v>
      </c>
      <c r="F68" s="168">
        <f t="shared" si="48"/>
        <v>0</v>
      </c>
      <c r="G68" s="168">
        <f t="shared" si="48"/>
        <v>0</v>
      </c>
      <c r="H68" s="168"/>
      <c r="I68" s="168">
        <f t="shared" si="48"/>
        <v>0</v>
      </c>
      <c r="J68" s="168"/>
      <c r="K68" s="168">
        <f t="shared" si="48"/>
        <v>0</v>
      </c>
      <c r="L68" s="168">
        <f t="shared" si="48"/>
        <v>0</v>
      </c>
      <c r="M68" s="13" t="s">
        <v>462</v>
      </c>
      <c r="N68" s="7">
        <f t="shared" si="45"/>
        <v>0</v>
      </c>
      <c r="O68" s="7">
        <f t="shared" si="46"/>
        <v>0</v>
      </c>
      <c r="P68" s="7">
        <f t="shared" si="3"/>
        <v>0</v>
      </c>
      <c r="Q68" s="7">
        <v>0</v>
      </c>
      <c r="R68" s="7">
        <f t="shared" si="47"/>
        <v>0</v>
      </c>
      <c r="S68" s="7"/>
      <c r="T68" s="7"/>
      <c r="U68" s="7">
        <v>0</v>
      </c>
      <c r="V68" s="7">
        <f t="shared" si="5"/>
        <v>0</v>
      </c>
      <c r="W68" s="7"/>
      <c r="X68" s="216">
        <f t="shared" si="6"/>
        <v>0</v>
      </c>
    </row>
    <row r="69" spans="1:24" x14ac:dyDescent="0.3">
      <c r="A69" s="168">
        <f>$Q$69/12</f>
        <v>0</v>
      </c>
      <c r="B69" s="168">
        <f t="shared" ref="B69:L69" si="49">$Q$69/12</f>
        <v>0</v>
      </c>
      <c r="C69" s="168">
        <f t="shared" si="49"/>
        <v>0</v>
      </c>
      <c r="D69" s="168">
        <v>0</v>
      </c>
      <c r="E69" s="168">
        <f t="shared" si="49"/>
        <v>0</v>
      </c>
      <c r="F69" s="168">
        <f t="shared" si="49"/>
        <v>0</v>
      </c>
      <c r="G69" s="168">
        <f t="shared" si="49"/>
        <v>0</v>
      </c>
      <c r="H69" s="168"/>
      <c r="I69" s="168">
        <f t="shared" si="49"/>
        <v>0</v>
      </c>
      <c r="J69" s="168"/>
      <c r="K69" s="168">
        <f t="shared" si="49"/>
        <v>0</v>
      </c>
      <c r="L69" s="168">
        <f t="shared" si="49"/>
        <v>0</v>
      </c>
      <c r="M69" s="13" t="s">
        <v>463</v>
      </c>
      <c r="N69" s="7">
        <f t="shared" si="45"/>
        <v>0</v>
      </c>
      <c r="O69" s="7">
        <f t="shared" si="46"/>
        <v>0</v>
      </c>
      <c r="P69" s="7">
        <f t="shared" si="3"/>
        <v>0</v>
      </c>
      <c r="Q69" s="7">
        <v>0</v>
      </c>
      <c r="R69" s="7">
        <f t="shared" si="47"/>
        <v>0</v>
      </c>
      <c r="S69" s="7"/>
      <c r="T69" s="7"/>
      <c r="U69" s="7">
        <v>0</v>
      </c>
      <c r="V69" s="7">
        <f t="shared" si="5"/>
        <v>0</v>
      </c>
      <c r="W69" s="7"/>
      <c r="X69" s="216">
        <f t="shared" si="6"/>
        <v>0</v>
      </c>
    </row>
    <row r="70" spans="1:24" x14ac:dyDescent="0.3">
      <c r="A70" s="168">
        <f>$Q$70/12</f>
        <v>0</v>
      </c>
      <c r="B70" s="168">
        <f t="shared" ref="B70:L70" si="50">$Q$70/12</f>
        <v>0</v>
      </c>
      <c r="C70" s="168">
        <f t="shared" si="50"/>
        <v>0</v>
      </c>
      <c r="D70" s="168">
        <v>0</v>
      </c>
      <c r="E70" s="168">
        <f t="shared" si="50"/>
        <v>0</v>
      </c>
      <c r="F70" s="168">
        <f t="shared" si="50"/>
        <v>0</v>
      </c>
      <c r="G70" s="168">
        <f t="shared" si="50"/>
        <v>0</v>
      </c>
      <c r="H70" s="168"/>
      <c r="I70" s="168">
        <f t="shared" si="50"/>
        <v>0</v>
      </c>
      <c r="J70" s="168"/>
      <c r="K70" s="168">
        <f t="shared" si="50"/>
        <v>0</v>
      </c>
      <c r="L70" s="168">
        <f t="shared" si="50"/>
        <v>0</v>
      </c>
      <c r="M70" s="13" t="s">
        <v>464</v>
      </c>
      <c r="N70" s="7">
        <f t="shared" si="45"/>
        <v>0</v>
      </c>
      <c r="O70" s="7">
        <f t="shared" si="46"/>
        <v>0</v>
      </c>
      <c r="P70" s="7">
        <f t="shared" si="3"/>
        <v>0</v>
      </c>
      <c r="Q70" s="7">
        <v>0</v>
      </c>
      <c r="R70" s="7">
        <f t="shared" si="47"/>
        <v>0</v>
      </c>
      <c r="S70" s="7"/>
      <c r="T70" s="7"/>
      <c r="U70" s="7">
        <v>0</v>
      </c>
      <c r="V70" s="7">
        <f t="shared" si="5"/>
        <v>0</v>
      </c>
      <c r="W70" s="7"/>
      <c r="X70" s="216">
        <f t="shared" si="6"/>
        <v>0</v>
      </c>
    </row>
    <row r="71" spans="1:24" x14ac:dyDescent="0.3">
      <c r="A71" s="168">
        <f>$Q$71/12</f>
        <v>0</v>
      </c>
      <c r="B71" s="168">
        <f t="shared" ref="B71:L71" si="51">$Q$71/12</f>
        <v>0</v>
      </c>
      <c r="C71" s="168">
        <f t="shared" si="51"/>
        <v>0</v>
      </c>
      <c r="D71" s="168">
        <v>0</v>
      </c>
      <c r="E71" s="168">
        <f t="shared" si="51"/>
        <v>0</v>
      </c>
      <c r="F71" s="168">
        <f t="shared" si="51"/>
        <v>0</v>
      </c>
      <c r="G71" s="168">
        <f t="shared" si="51"/>
        <v>0</v>
      </c>
      <c r="H71" s="168"/>
      <c r="I71" s="168">
        <f t="shared" si="51"/>
        <v>0</v>
      </c>
      <c r="J71" s="168"/>
      <c r="K71" s="168">
        <f t="shared" si="51"/>
        <v>0</v>
      </c>
      <c r="L71" s="168">
        <f t="shared" si="51"/>
        <v>0</v>
      </c>
      <c r="M71" s="13" t="s">
        <v>465</v>
      </c>
      <c r="N71" s="7">
        <f t="shared" si="45"/>
        <v>0</v>
      </c>
      <c r="O71" s="7">
        <f t="shared" si="46"/>
        <v>0</v>
      </c>
      <c r="P71" s="7">
        <f t="shared" si="3"/>
        <v>0</v>
      </c>
      <c r="Q71" s="7">
        <v>0</v>
      </c>
      <c r="R71" s="7">
        <f t="shared" si="47"/>
        <v>0</v>
      </c>
      <c r="S71" s="7"/>
      <c r="T71" s="7"/>
      <c r="U71" s="7">
        <v>0</v>
      </c>
      <c r="V71" s="7">
        <f t="shared" si="5"/>
        <v>0</v>
      </c>
      <c r="W71" s="7"/>
      <c r="X71" s="216">
        <f t="shared" si="6"/>
        <v>0</v>
      </c>
    </row>
    <row r="72" spans="1:24" x14ac:dyDescent="0.3">
      <c r="A72" s="168">
        <f>$Q$72/12</f>
        <v>0</v>
      </c>
      <c r="B72" s="168">
        <f t="shared" ref="B72:L72" si="52">$Q$72/12</f>
        <v>0</v>
      </c>
      <c r="C72" s="168">
        <f t="shared" si="52"/>
        <v>0</v>
      </c>
      <c r="D72" s="168">
        <v>0</v>
      </c>
      <c r="E72" s="168">
        <f t="shared" si="52"/>
        <v>0</v>
      </c>
      <c r="F72" s="168">
        <f t="shared" si="52"/>
        <v>0</v>
      </c>
      <c r="G72" s="168">
        <f t="shared" si="52"/>
        <v>0</v>
      </c>
      <c r="H72" s="168"/>
      <c r="I72" s="168">
        <f t="shared" si="52"/>
        <v>0</v>
      </c>
      <c r="J72" s="168"/>
      <c r="K72" s="168">
        <f t="shared" si="52"/>
        <v>0</v>
      </c>
      <c r="L72" s="168">
        <f t="shared" si="52"/>
        <v>0</v>
      </c>
      <c r="M72" s="13" t="s">
        <v>466</v>
      </c>
      <c r="N72" s="7">
        <f t="shared" si="45"/>
        <v>0</v>
      </c>
      <c r="O72" s="7">
        <f t="shared" si="46"/>
        <v>0</v>
      </c>
      <c r="P72" s="7">
        <f t="shared" ref="P72:P128" si="53">SUM(N72:O72)</f>
        <v>0</v>
      </c>
      <c r="Q72" s="7">
        <v>0</v>
      </c>
      <c r="R72" s="7">
        <f t="shared" si="47"/>
        <v>0</v>
      </c>
      <c r="S72" s="7"/>
      <c r="T72" s="7"/>
      <c r="U72" s="7">
        <v>0</v>
      </c>
      <c r="V72" s="7">
        <f t="shared" ref="V72:V129" si="54">U72-P72</f>
        <v>0</v>
      </c>
      <c r="W72" s="7"/>
      <c r="X72" s="216">
        <f t="shared" si="6"/>
        <v>0</v>
      </c>
    </row>
    <row r="73" spans="1:24" x14ac:dyDescent="0.3">
      <c r="A73" s="168">
        <f>$Q$73/12</f>
        <v>0</v>
      </c>
      <c r="B73" s="168">
        <f t="shared" ref="B73:L73" si="55">$Q$73/12</f>
        <v>0</v>
      </c>
      <c r="C73" s="168">
        <f t="shared" si="55"/>
        <v>0</v>
      </c>
      <c r="D73" s="168">
        <v>0</v>
      </c>
      <c r="E73" s="168">
        <f t="shared" si="55"/>
        <v>0</v>
      </c>
      <c r="F73" s="168">
        <f t="shared" si="55"/>
        <v>0</v>
      </c>
      <c r="G73" s="168">
        <f t="shared" si="55"/>
        <v>0</v>
      </c>
      <c r="H73" s="168"/>
      <c r="I73" s="168">
        <f t="shared" si="55"/>
        <v>0</v>
      </c>
      <c r="J73" s="168"/>
      <c r="K73" s="168">
        <f t="shared" si="55"/>
        <v>0</v>
      </c>
      <c r="L73" s="168">
        <f t="shared" si="55"/>
        <v>0</v>
      </c>
      <c r="M73" s="13" t="s">
        <v>453</v>
      </c>
      <c r="N73" s="7">
        <f t="shared" si="45"/>
        <v>0</v>
      </c>
      <c r="O73" s="7">
        <f t="shared" si="46"/>
        <v>0</v>
      </c>
      <c r="P73" s="7">
        <f t="shared" si="53"/>
        <v>0</v>
      </c>
      <c r="Q73" s="7">
        <v>0</v>
      </c>
      <c r="R73" s="7">
        <f t="shared" si="47"/>
        <v>0</v>
      </c>
      <c r="S73" s="7"/>
      <c r="T73" s="7"/>
      <c r="U73" s="7">
        <v>0</v>
      </c>
      <c r="V73" s="7">
        <f t="shared" si="54"/>
        <v>0</v>
      </c>
      <c r="W73" s="7"/>
      <c r="X73" s="216">
        <f t="shared" ref="X73:X127" si="56">IFERROR(N73/Q73,0)</f>
        <v>0</v>
      </c>
    </row>
    <row r="74" spans="1:24" x14ac:dyDescent="0.3">
      <c r="A74" s="168">
        <f>$Q$74/12</f>
        <v>0</v>
      </c>
      <c r="B74" s="168">
        <f t="shared" ref="B74:L74" si="57">$Q$74/12</f>
        <v>0</v>
      </c>
      <c r="C74" s="168">
        <f t="shared" si="57"/>
        <v>0</v>
      </c>
      <c r="D74" s="168">
        <v>0</v>
      </c>
      <c r="E74" s="168">
        <f t="shared" si="57"/>
        <v>0</v>
      </c>
      <c r="F74" s="168">
        <f t="shared" si="57"/>
        <v>0</v>
      </c>
      <c r="G74" s="168">
        <f t="shared" si="57"/>
        <v>0</v>
      </c>
      <c r="H74" s="168"/>
      <c r="I74" s="168">
        <f t="shared" si="57"/>
        <v>0</v>
      </c>
      <c r="J74" s="168"/>
      <c r="K74" s="168">
        <f t="shared" si="57"/>
        <v>0</v>
      </c>
      <c r="L74" s="168">
        <f t="shared" si="57"/>
        <v>0</v>
      </c>
      <c r="M74" s="238" t="s">
        <v>467</v>
      </c>
      <c r="N74" s="7">
        <f t="shared" si="45"/>
        <v>0</v>
      </c>
      <c r="O74" s="7">
        <f t="shared" si="46"/>
        <v>0</v>
      </c>
      <c r="P74" s="7">
        <f t="shared" si="53"/>
        <v>0</v>
      </c>
      <c r="Q74" s="7">
        <v>0</v>
      </c>
      <c r="R74" s="7">
        <f t="shared" si="47"/>
        <v>0</v>
      </c>
      <c r="S74" s="7"/>
      <c r="T74" s="7"/>
      <c r="U74" s="7">
        <v>0</v>
      </c>
      <c r="V74" s="7">
        <f t="shared" si="54"/>
        <v>0</v>
      </c>
      <c r="W74" s="7"/>
      <c r="X74" s="216">
        <f t="shared" si="56"/>
        <v>0</v>
      </c>
    </row>
    <row r="75" spans="1:24" x14ac:dyDescent="0.3">
      <c r="A75" s="168">
        <f>$Q$75/12</f>
        <v>0</v>
      </c>
      <c r="B75" s="168">
        <f t="shared" ref="B75:L75" si="58">$Q$75/12</f>
        <v>0</v>
      </c>
      <c r="C75" s="168">
        <f t="shared" si="58"/>
        <v>0</v>
      </c>
      <c r="D75" s="168">
        <v>0</v>
      </c>
      <c r="E75" s="168">
        <f t="shared" si="58"/>
        <v>0</v>
      </c>
      <c r="F75" s="168">
        <f t="shared" si="58"/>
        <v>0</v>
      </c>
      <c r="G75" s="168">
        <f t="shared" si="58"/>
        <v>0</v>
      </c>
      <c r="H75" s="168"/>
      <c r="I75" s="168">
        <f t="shared" si="58"/>
        <v>0</v>
      </c>
      <c r="J75" s="168"/>
      <c r="K75" s="168">
        <f t="shared" si="58"/>
        <v>0</v>
      </c>
      <c r="L75" s="168">
        <f t="shared" si="58"/>
        <v>0</v>
      </c>
      <c r="M75" s="13" t="s">
        <v>468</v>
      </c>
      <c r="N75" s="7">
        <f t="shared" si="45"/>
        <v>0</v>
      </c>
      <c r="O75" s="7">
        <f t="shared" si="46"/>
        <v>0</v>
      </c>
      <c r="P75" s="7">
        <f t="shared" si="53"/>
        <v>0</v>
      </c>
      <c r="Q75" s="7">
        <v>0</v>
      </c>
      <c r="R75" s="7">
        <f t="shared" si="47"/>
        <v>0</v>
      </c>
      <c r="S75" s="7"/>
      <c r="T75" s="7"/>
      <c r="U75" s="7">
        <v>0</v>
      </c>
      <c r="V75" s="7">
        <f t="shared" si="54"/>
        <v>0</v>
      </c>
      <c r="W75" s="7"/>
      <c r="X75" s="216">
        <f t="shared" si="56"/>
        <v>0</v>
      </c>
    </row>
    <row r="76" spans="1:24" x14ac:dyDescent="0.3">
      <c r="A76" s="168">
        <f>$Q$76/12</f>
        <v>0</v>
      </c>
      <c r="B76" s="168">
        <f t="shared" ref="B76:L76" si="59">$Q$76/12</f>
        <v>0</v>
      </c>
      <c r="C76" s="168">
        <f t="shared" si="59"/>
        <v>0</v>
      </c>
      <c r="D76" s="168">
        <v>0</v>
      </c>
      <c r="E76" s="168">
        <f t="shared" si="59"/>
        <v>0</v>
      </c>
      <c r="F76" s="168">
        <f t="shared" si="59"/>
        <v>0</v>
      </c>
      <c r="G76" s="168">
        <f t="shared" si="59"/>
        <v>0</v>
      </c>
      <c r="H76" s="168"/>
      <c r="I76" s="168">
        <f t="shared" si="59"/>
        <v>0</v>
      </c>
      <c r="J76" s="168"/>
      <c r="K76" s="168">
        <f t="shared" si="59"/>
        <v>0</v>
      </c>
      <c r="L76" s="168">
        <f t="shared" si="59"/>
        <v>0</v>
      </c>
      <c r="M76" s="13" t="s">
        <v>469</v>
      </c>
      <c r="N76" s="7">
        <f t="shared" si="45"/>
        <v>0</v>
      </c>
      <c r="O76" s="7">
        <f t="shared" si="46"/>
        <v>0</v>
      </c>
      <c r="P76" s="7">
        <f t="shared" si="53"/>
        <v>0</v>
      </c>
      <c r="Q76" s="7">
        <v>0</v>
      </c>
      <c r="R76" s="7">
        <f t="shared" si="47"/>
        <v>0</v>
      </c>
      <c r="S76" s="7"/>
      <c r="T76" s="7"/>
      <c r="U76" s="7">
        <v>0</v>
      </c>
      <c r="V76" s="7">
        <f t="shared" si="54"/>
        <v>0</v>
      </c>
      <c r="W76" s="7"/>
      <c r="X76" s="216">
        <f t="shared" si="56"/>
        <v>0</v>
      </c>
    </row>
    <row r="77" spans="1:24" x14ac:dyDescent="0.3">
      <c r="A77" s="168">
        <f>$Q$77/12</f>
        <v>0</v>
      </c>
      <c r="B77" s="168">
        <f t="shared" ref="B77:L77" si="60">$Q$77/12</f>
        <v>0</v>
      </c>
      <c r="C77" s="168">
        <f t="shared" si="60"/>
        <v>0</v>
      </c>
      <c r="D77" s="168">
        <v>0</v>
      </c>
      <c r="E77" s="168">
        <f t="shared" si="60"/>
        <v>0</v>
      </c>
      <c r="F77" s="168">
        <f t="shared" si="60"/>
        <v>0</v>
      </c>
      <c r="G77" s="168">
        <f t="shared" si="60"/>
        <v>0</v>
      </c>
      <c r="H77" s="168"/>
      <c r="I77" s="168">
        <f t="shared" si="60"/>
        <v>0</v>
      </c>
      <c r="J77" s="168"/>
      <c r="K77" s="168">
        <f t="shared" si="60"/>
        <v>0</v>
      </c>
      <c r="L77" s="168">
        <f t="shared" si="60"/>
        <v>0</v>
      </c>
      <c r="M77" s="13" t="s">
        <v>470</v>
      </c>
      <c r="N77" s="7">
        <f t="shared" si="45"/>
        <v>0</v>
      </c>
      <c r="O77" s="7">
        <f t="shared" si="46"/>
        <v>0</v>
      </c>
      <c r="P77" s="7">
        <f t="shared" si="53"/>
        <v>0</v>
      </c>
      <c r="Q77" s="7">
        <v>0</v>
      </c>
      <c r="R77" s="7">
        <f t="shared" si="47"/>
        <v>0</v>
      </c>
      <c r="S77" s="7"/>
      <c r="T77" s="7"/>
      <c r="U77" s="7">
        <v>0</v>
      </c>
      <c r="V77" s="7">
        <f t="shared" si="54"/>
        <v>0</v>
      </c>
      <c r="W77" s="7"/>
      <c r="X77" s="216">
        <f t="shared" si="56"/>
        <v>0</v>
      </c>
    </row>
    <row r="78" spans="1:24" x14ac:dyDescent="0.3">
      <c r="A78" s="168">
        <f>$Q$78/12</f>
        <v>0</v>
      </c>
      <c r="B78" s="168">
        <f t="shared" ref="B78:L78" si="61">$Q$78/12</f>
        <v>0</v>
      </c>
      <c r="C78" s="168">
        <f t="shared" si="61"/>
        <v>0</v>
      </c>
      <c r="D78" s="168">
        <v>0</v>
      </c>
      <c r="E78" s="168">
        <f t="shared" si="61"/>
        <v>0</v>
      </c>
      <c r="F78" s="168">
        <f t="shared" si="61"/>
        <v>0</v>
      </c>
      <c r="G78" s="168">
        <f t="shared" si="61"/>
        <v>0</v>
      </c>
      <c r="H78" s="168"/>
      <c r="I78" s="168">
        <f t="shared" si="61"/>
        <v>0</v>
      </c>
      <c r="J78" s="168"/>
      <c r="K78" s="168">
        <f t="shared" si="61"/>
        <v>0</v>
      </c>
      <c r="L78" s="168">
        <f t="shared" si="61"/>
        <v>0</v>
      </c>
      <c r="M78" s="13" t="s">
        <v>471</v>
      </c>
      <c r="N78" s="7">
        <f t="shared" si="45"/>
        <v>0</v>
      </c>
      <c r="O78" s="7">
        <f t="shared" si="46"/>
        <v>0</v>
      </c>
      <c r="P78" s="7">
        <f t="shared" si="53"/>
        <v>0</v>
      </c>
      <c r="Q78" s="7">
        <v>0</v>
      </c>
      <c r="R78" s="7">
        <f t="shared" si="47"/>
        <v>0</v>
      </c>
      <c r="S78" s="7"/>
      <c r="T78" s="7"/>
      <c r="U78" s="7">
        <v>0</v>
      </c>
      <c r="V78" s="7">
        <f t="shared" si="54"/>
        <v>0</v>
      </c>
      <c r="W78" s="7"/>
      <c r="X78" s="216">
        <f t="shared" si="56"/>
        <v>0</v>
      </c>
    </row>
    <row r="79" spans="1:24" x14ac:dyDescent="0.3">
      <c r="A79" s="168">
        <f>$Q$79/12</f>
        <v>0</v>
      </c>
      <c r="B79" s="168">
        <f t="shared" ref="B79:L79" si="62">$Q$79/12</f>
        <v>0</v>
      </c>
      <c r="C79" s="168">
        <f t="shared" si="62"/>
        <v>0</v>
      </c>
      <c r="D79" s="168">
        <v>0</v>
      </c>
      <c r="E79" s="168">
        <f t="shared" si="62"/>
        <v>0</v>
      </c>
      <c r="F79" s="168">
        <f t="shared" si="62"/>
        <v>0</v>
      </c>
      <c r="G79" s="168">
        <f t="shared" si="62"/>
        <v>0</v>
      </c>
      <c r="H79" s="168"/>
      <c r="I79" s="168">
        <f t="shared" si="62"/>
        <v>0</v>
      </c>
      <c r="J79" s="168"/>
      <c r="K79" s="168">
        <f t="shared" si="62"/>
        <v>0</v>
      </c>
      <c r="L79" s="168">
        <f t="shared" si="62"/>
        <v>0</v>
      </c>
      <c r="M79" s="13" t="s">
        <v>472</v>
      </c>
      <c r="N79" s="7">
        <f t="shared" si="45"/>
        <v>0</v>
      </c>
      <c r="O79" s="7">
        <f t="shared" si="46"/>
        <v>0</v>
      </c>
      <c r="P79" s="7">
        <f t="shared" si="53"/>
        <v>0</v>
      </c>
      <c r="Q79" s="7">
        <v>0</v>
      </c>
      <c r="R79" s="7">
        <f t="shared" si="47"/>
        <v>0</v>
      </c>
      <c r="S79" s="7"/>
      <c r="T79" s="7"/>
      <c r="U79" s="7">
        <v>0</v>
      </c>
      <c r="V79" s="7">
        <f t="shared" si="54"/>
        <v>0</v>
      </c>
      <c r="W79" s="7"/>
      <c r="X79" s="216">
        <f t="shared" si="56"/>
        <v>0</v>
      </c>
    </row>
    <row r="80" spans="1:24" x14ac:dyDescent="0.3">
      <c r="A80" s="168">
        <f>$Q$80/12</f>
        <v>0</v>
      </c>
      <c r="B80" s="168">
        <f t="shared" ref="B80:L80" si="63">$Q$80/12</f>
        <v>0</v>
      </c>
      <c r="C80" s="168">
        <f t="shared" si="63"/>
        <v>0</v>
      </c>
      <c r="D80" s="168">
        <v>0</v>
      </c>
      <c r="E80" s="168">
        <f t="shared" si="63"/>
        <v>0</v>
      </c>
      <c r="F80" s="168">
        <f t="shared" si="63"/>
        <v>0</v>
      </c>
      <c r="G80" s="168">
        <f t="shared" si="63"/>
        <v>0</v>
      </c>
      <c r="H80" s="168"/>
      <c r="I80" s="168">
        <f t="shared" si="63"/>
        <v>0</v>
      </c>
      <c r="J80" s="168"/>
      <c r="K80" s="168">
        <f t="shared" si="63"/>
        <v>0</v>
      </c>
      <c r="L80" s="168">
        <f t="shared" si="63"/>
        <v>0</v>
      </c>
      <c r="M80" s="13" t="s">
        <v>145</v>
      </c>
      <c r="N80" s="7">
        <f t="shared" si="45"/>
        <v>0</v>
      </c>
      <c r="O80" s="7">
        <f t="shared" si="46"/>
        <v>0</v>
      </c>
      <c r="P80" s="7">
        <f t="shared" si="53"/>
        <v>0</v>
      </c>
      <c r="Q80" s="7">
        <v>0</v>
      </c>
      <c r="R80" s="7">
        <f t="shared" si="47"/>
        <v>0</v>
      </c>
      <c r="S80" s="7"/>
      <c r="T80" s="7"/>
      <c r="U80" s="7">
        <v>0</v>
      </c>
      <c r="V80" s="7">
        <f t="shared" si="54"/>
        <v>0</v>
      </c>
      <c r="W80" s="7"/>
      <c r="X80" s="216">
        <f t="shared" si="56"/>
        <v>0</v>
      </c>
    </row>
    <row r="81" spans="1:24" x14ac:dyDescent="0.3">
      <c r="A81" s="168">
        <v>0</v>
      </c>
      <c r="B81" s="168">
        <v>0</v>
      </c>
      <c r="C81" s="168">
        <v>0</v>
      </c>
      <c r="D81" s="168">
        <v>0</v>
      </c>
      <c r="E81" s="168"/>
      <c r="F81" s="168"/>
      <c r="G81" s="168">
        <f>10000*1.048</f>
        <v>10480</v>
      </c>
      <c r="H81" s="168"/>
      <c r="I81" s="168"/>
      <c r="J81" s="168"/>
      <c r="K81" s="168"/>
      <c r="L81" s="246"/>
      <c r="M81" s="238" t="s">
        <v>473</v>
      </c>
      <c r="N81" s="7">
        <f t="shared" si="45"/>
        <v>0</v>
      </c>
      <c r="O81" s="7">
        <f t="shared" si="46"/>
        <v>10480</v>
      </c>
      <c r="P81" s="7">
        <f t="shared" si="53"/>
        <v>10480</v>
      </c>
      <c r="Q81" s="7">
        <v>10480</v>
      </c>
      <c r="R81" s="7">
        <f t="shared" si="47"/>
        <v>0</v>
      </c>
      <c r="S81" s="7"/>
      <c r="T81" s="7"/>
      <c r="U81" s="7">
        <v>15000</v>
      </c>
      <c r="V81" s="7">
        <f t="shared" si="54"/>
        <v>4520</v>
      </c>
      <c r="W81" s="7"/>
      <c r="X81" s="216">
        <f t="shared" si="56"/>
        <v>0</v>
      </c>
    </row>
    <row r="82" spans="1:24" x14ac:dyDescent="0.3">
      <c r="A82" s="168">
        <f>$Q$82/12</f>
        <v>0</v>
      </c>
      <c r="B82" s="168">
        <f t="shared" ref="B82:L82" si="64">$Q$82/12</f>
        <v>0</v>
      </c>
      <c r="C82" s="168">
        <f t="shared" si="64"/>
        <v>0</v>
      </c>
      <c r="D82" s="168">
        <f t="shared" si="64"/>
        <v>0</v>
      </c>
      <c r="E82" s="168">
        <f t="shared" si="64"/>
        <v>0</v>
      </c>
      <c r="F82" s="168">
        <f t="shared" si="64"/>
        <v>0</v>
      </c>
      <c r="G82" s="168">
        <f t="shared" si="64"/>
        <v>0</v>
      </c>
      <c r="H82" s="168"/>
      <c r="I82" s="168">
        <f t="shared" si="64"/>
        <v>0</v>
      </c>
      <c r="J82" s="168"/>
      <c r="K82" s="168">
        <f t="shared" si="64"/>
        <v>0</v>
      </c>
      <c r="L82" s="168">
        <f t="shared" si="64"/>
        <v>0</v>
      </c>
      <c r="M82" s="238" t="s">
        <v>474</v>
      </c>
      <c r="N82" s="7">
        <f t="shared" si="45"/>
        <v>0</v>
      </c>
      <c r="O82" s="7">
        <f t="shared" si="46"/>
        <v>0</v>
      </c>
      <c r="P82" s="7">
        <f t="shared" si="53"/>
        <v>0</v>
      </c>
      <c r="Q82" s="7">
        <v>0</v>
      </c>
      <c r="R82" s="7">
        <f t="shared" si="47"/>
        <v>0</v>
      </c>
      <c r="S82" s="7"/>
      <c r="T82" s="7"/>
      <c r="U82" s="7">
        <v>0</v>
      </c>
      <c r="V82" s="7">
        <f t="shared" si="54"/>
        <v>0</v>
      </c>
      <c r="W82" s="7"/>
      <c r="X82" s="216">
        <f t="shared" si="56"/>
        <v>0</v>
      </c>
    </row>
    <row r="83" spans="1:24" x14ac:dyDescent="0.3">
      <c r="A83" s="168">
        <f>$Q$83/12</f>
        <v>0</v>
      </c>
      <c r="B83" s="168">
        <f t="shared" ref="B83:L83" si="65">$Q$83/12</f>
        <v>0</v>
      </c>
      <c r="C83" s="168">
        <f t="shared" si="65"/>
        <v>0</v>
      </c>
      <c r="D83" s="168">
        <f t="shared" si="65"/>
        <v>0</v>
      </c>
      <c r="E83" s="168">
        <f t="shared" si="65"/>
        <v>0</v>
      </c>
      <c r="F83" s="168">
        <f t="shared" si="65"/>
        <v>0</v>
      </c>
      <c r="G83" s="168">
        <f t="shared" si="65"/>
        <v>0</v>
      </c>
      <c r="H83" s="168"/>
      <c r="I83" s="168">
        <f t="shared" si="65"/>
        <v>0</v>
      </c>
      <c r="J83" s="168"/>
      <c r="K83" s="168">
        <f t="shared" si="65"/>
        <v>0</v>
      </c>
      <c r="L83" s="168">
        <f t="shared" si="65"/>
        <v>0</v>
      </c>
      <c r="M83" s="238" t="s">
        <v>148</v>
      </c>
      <c r="N83" s="7">
        <f t="shared" si="45"/>
        <v>0</v>
      </c>
      <c r="O83" s="7">
        <f t="shared" si="46"/>
        <v>0</v>
      </c>
      <c r="P83" s="7">
        <f t="shared" si="53"/>
        <v>0</v>
      </c>
      <c r="Q83" s="7">
        <v>0</v>
      </c>
      <c r="R83" s="7">
        <f t="shared" si="47"/>
        <v>0</v>
      </c>
      <c r="S83" s="7"/>
      <c r="T83" s="7"/>
      <c r="U83" s="7">
        <v>0</v>
      </c>
      <c r="V83" s="7">
        <f t="shared" si="54"/>
        <v>0</v>
      </c>
      <c r="W83" s="7"/>
      <c r="X83" s="216">
        <f t="shared" si="56"/>
        <v>0</v>
      </c>
    </row>
    <row r="84" spans="1:24" x14ac:dyDescent="0.3">
      <c r="A84" s="168">
        <f>$Q$84/12</f>
        <v>0</v>
      </c>
      <c r="B84" s="168">
        <f t="shared" ref="B84:L84" si="66">$Q$84/12</f>
        <v>0</v>
      </c>
      <c r="C84" s="168">
        <f t="shared" si="66"/>
        <v>0</v>
      </c>
      <c r="D84" s="168">
        <f t="shared" si="66"/>
        <v>0</v>
      </c>
      <c r="E84" s="168">
        <f t="shared" si="66"/>
        <v>0</v>
      </c>
      <c r="F84" s="168">
        <f t="shared" si="66"/>
        <v>0</v>
      </c>
      <c r="G84" s="168">
        <f t="shared" si="66"/>
        <v>0</v>
      </c>
      <c r="H84" s="168"/>
      <c r="I84" s="168">
        <f t="shared" si="66"/>
        <v>0</v>
      </c>
      <c r="J84" s="168"/>
      <c r="K84" s="168">
        <f t="shared" si="66"/>
        <v>0</v>
      </c>
      <c r="L84" s="168">
        <f t="shared" si="66"/>
        <v>0</v>
      </c>
      <c r="M84" s="13" t="s">
        <v>475</v>
      </c>
      <c r="N84" s="7">
        <f t="shared" si="45"/>
        <v>0</v>
      </c>
      <c r="O84" s="7">
        <f t="shared" si="46"/>
        <v>0</v>
      </c>
      <c r="P84" s="7">
        <f t="shared" si="53"/>
        <v>0</v>
      </c>
      <c r="Q84" s="7">
        <v>0</v>
      </c>
      <c r="R84" s="7">
        <f t="shared" si="47"/>
        <v>0</v>
      </c>
      <c r="S84" s="7"/>
      <c r="T84" s="7"/>
      <c r="U84" s="7">
        <v>0</v>
      </c>
      <c r="V84" s="7">
        <f t="shared" si="54"/>
        <v>0</v>
      </c>
      <c r="W84" s="7"/>
      <c r="X84" s="216">
        <f t="shared" si="56"/>
        <v>0</v>
      </c>
    </row>
    <row r="85" spans="1:24" x14ac:dyDescent="0.3">
      <c r="A85" s="168">
        <f>$Q$85/12</f>
        <v>0</v>
      </c>
      <c r="B85" s="168">
        <f t="shared" ref="B85:L85" si="67">$Q$85/12</f>
        <v>0</v>
      </c>
      <c r="C85" s="168">
        <f t="shared" si="67"/>
        <v>0</v>
      </c>
      <c r="D85" s="168">
        <f t="shared" si="67"/>
        <v>0</v>
      </c>
      <c r="E85" s="168">
        <f t="shared" si="67"/>
        <v>0</v>
      </c>
      <c r="F85" s="168">
        <f t="shared" si="67"/>
        <v>0</v>
      </c>
      <c r="G85" s="168">
        <f t="shared" si="67"/>
        <v>0</v>
      </c>
      <c r="H85" s="168"/>
      <c r="I85" s="168">
        <f t="shared" si="67"/>
        <v>0</v>
      </c>
      <c r="J85" s="168"/>
      <c r="K85" s="168">
        <f t="shared" si="67"/>
        <v>0</v>
      </c>
      <c r="L85" s="168">
        <f t="shared" si="67"/>
        <v>0</v>
      </c>
      <c r="M85" s="13" t="s">
        <v>476</v>
      </c>
      <c r="N85" s="7">
        <f t="shared" si="45"/>
        <v>0</v>
      </c>
      <c r="O85" s="7">
        <f t="shared" si="46"/>
        <v>0</v>
      </c>
      <c r="P85" s="7">
        <f t="shared" si="53"/>
        <v>0</v>
      </c>
      <c r="Q85" s="7">
        <v>0</v>
      </c>
      <c r="R85" s="7">
        <f t="shared" si="47"/>
        <v>0</v>
      </c>
      <c r="S85" s="7"/>
      <c r="T85" s="7"/>
      <c r="U85" s="7">
        <v>0</v>
      </c>
      <c r="V85" s="7">
        <f t="shared" si="54"/>
        <v>0</v>
      </c>
      <c r="W85" s="7"/>
      <c r="X85" s="216">
        <f t="shared" si="56"/>
        <v>0</v>
      </c>
    </row>
    <row r="86" spans="1:24" x14ac:dyDescent="0.3">
      <c r="A86" s="168">
        <f>$Q$86/12</f>
        <v>0</v>
      </c>
      <c r="B86" s="168">
        <f t="shared" ref="B86:L86" si="68">$Q$86/12</f>
        <v>0</v>
      </c>
      <c r="C86" s="168">
        <f t="shared" si="68"/>
        <v>0</v>
      </c>
      <c r="D86" s="168">
        <f t="shared" si="68"/>
        <v>0</v>
      </c>
      <c r="E86" s="168">
        <f t="shared" si="68"/>
        <v>0</v>
      </c>
      <c r="F86" s="168">
        <f t="shared" si="68"/>
        <v>0</v>
      </c>
      <c r="G86" s="168">
        <f t="shared" si="68"/>
        <v>0</v>
      </c>
      <c r="H86" s="168"/>
      <c r="I86" s="168">
        <f t="shared" si="68"/>
        <v>0</v>
      </c>
      <c r="J86" s="168"/>
      <c r="K86" s="168">
        <f t="shared" si="68"/>
        <v>0</v>
      </c>
      <c r="L86" s="168">
        <f t="shared" si="68"/>
        <v>0</v>
      </c>
      <c r="M86" s="13" t="s">
        <v>151</v>
      </c>
      <c r="N86" s="7">
        <f t="shared" si="45"/>
        <v>0</v>
      </c>
      <c r="O86" s="7">
        <f t="shared" si="46"/>
        <v>0</v>
      </c>
      <c r="P86" s="7">
        <f t="shared" si="53"/>
        <v>0</v>
      </c>
      <c r="Q86" s="7">
        <v>0</v>
      </c>
      <c r="R86" s="7">
        <f t="shared" si="47"/>
        <v>0</v>
      </c>
      <c r="S86" s="7"/>
      <c r="T86" s="7"/>
      <c r="U86" s="7">
        <v>0</v>
      </c>
      <c r="V86" s="7">
        <f t="shared" si="54"/>
        <v>0</v>
      </c>
      <c r="W86" s="7"/>
      <c r="X86" s="216">
        <f t="shared" si="56"/>
        <v>0</v>
      </c>
    </row>
    <row r="87" spans="1:24" x14ac:dyDescent="0.3">
      <c r="A87" s="168">
        <f>$Q$87/12</f>
        <v>0</v>
      </c>
      <c r="B87" s="168">
        <f t="shared" ref="B87:L87" si="69">$Q$87/12</f>
        <v>0</v>
      </c>
      <c r="C87" s="168">
        <f t="shared" si="69"/>
        <v>0</v>
      </c>
      <c r="D87" s="168">
        <f t="shared" si="69"/>
        <v>0</v>
      </c>
      <c r="E87" s="168">
        <f t="shared" si="69"/>
        <v>0</v>
      </c>
      <c r="F87" s="168">
        <f t="shared" si="69"/>
        <v>0</v>
      </c>
      <c r="G87" s="168">
        <f t="shared" si="69"/>
        <v>0</v>
      </c>
      <c r="H87" s="168"/>
      <c r="I87" s="168">
        <f t="shared" si="69"/>
        <v>0</v>
      </c>
      <c r="J87" s="168"/>
      <c r="K87" s="168">
        <f t="shared" si="69"/>
        <v>0</v>
      </c>
      <c r="L87" s="168">
        <f t="shared" si="69"/>
        <v>0</v>
      </c>
      <c r="M87" s="13" t="s">
        <v>477</v>
      </c>
      <c r="N87" s="7">
        <f t="shared" si="45"/>
        <v>0</v>
      </c>
      <c r="O87" s="7">
        <f t="shared" si="46"/>
        <v>0</v>
      </c>
      <c r="P87" s="7">
        <f t="shared" si="53"/>
        <v>0</v>
      </c>
      <c r="Q87" s="7">
        <v>0</v>
      </c>
      <c r="R87" s="7">
        <f t="shared" si="47"/>
        <v>0</v>
      </c>
      <c r="S87" s="7"/>
      <c r="T87" s="7"/>
      <c r="U87" s="7">
        <v>0</v>
      </c>
      <c r="V87" s="7">
        <f t="shared" si="54"/>
        <v>0</v>
      </c>
      <c r="W87" s="7"/>
      <c r="X87" s="216">
        <f t="shared" si="56"/>
        <v>0</v>
      </c>
    </row>
    <row r="88" spans="1:24" x14ac:dyDescent="0.3">
      <c r="A88" s="168">
        <f>$Q$88/12</f>
        <v>0</v>
      </c>
      <c r="B88" s="168">
        <f t="shared" ref="B88:L88" si="70">$Q$88/12</f>
        <v>0</v>
      </c>
      <c r="C88" s="168">
        <f t="shared" si="70"/>
        <v>0</v>
      </c>
      <c r="D88" s="168">
        <f t="shared" si="70"/>
        <v>0</v>
      </c>
      <c r="E88" s="168">
        <f t="shared" si="70"/>
        <v>0</v>
      </c>
      <c r="F88" s="168">
        <f t="shared" si="70"/>
        <v>0</v>
      </c>
      <c r="G88" s="168">
        <f t="shared" si="70"/>
        <v>0</v>
      </c>
      <c r="H88" s="168"/>
      <c r="I88" s="168">
        <f t="shared" si="70"/>
        <v>0</v>
      </c>
      <c r="J88" s="168"/>
      <c r="K88" s="168">
        <f t="shared" si="70"/>
        <v>0</v>
      </c>
      <c r="L88" s="168">
        <f t="shared" si="70"/>
        <v>0</v>
      </c>
      <c r="M88" s="13" t="s">
        <v>478</v>
      </c>
      <c r="N88" s="7">
        <f t="shared" si="45"/>
        <v>0</v>
      </c>
      <c r="O88" s="7">
        <f t="shared" si="46"/>
        <v>0</v>
      </c>
      <c r="P88" s="7">
        <f t="shared" si="53"/>
        <v>0</v>
      </c>
      <c r="Q88" s="7">
        <v>0</v>
      </c>
      <c r="R88" s="7">
        <f t="shared" si="47"/>
        <v>0</v>
      </c>
      <c r="S88" s="7"/>
      <c r="T88" s="7"/>
      <c r="U88" s="7">
        <v>0</v>
      </c>
      <c r="V88" s="7">
        <f t="shared" si="54"/>
        <v>0</v>
      </c>
      <c r="W88" s="7"/>
      <c r="X88" s="216">
        <f t="shared" si="56"/>
        <v>0</v>
      </c>
    </row>
    <row r="89" spans="1:24" x14ac:dyDescent="0.3">
      <c r="A89" s="217">
        <f>$Q$89/12</f>
        <v>0</v>
      </c>
      <c r="B89" s="217">
        <f t="shared" ref="B89:L89" si="71">$Q$89/12</f>
        <v>0</v>
      </c>
      <c r="C89" s="217">
        <f t="shared" si="71"/>
        <v>0</v>
      </c>
      <c r="D89" s="217">
        <f t="shared" si="71"/>
        <v>0</v>
      </c>
      <c r="E89" s="217">
        <f t="shared" si="71"/>
        <v>0</v>
      </c>
      <c r="F89" s="217">
        <f t="shared" si="71"/>
        <v>0</v>
      </c>
      <c r="G89" s="217">
        <f t="shared" si="71"/>
        <v>0</v>
      </c>
      <c r="H89" s="217"/>
      <c r="I89" s="217">
        <f t="shared" si="71"/>
        <v>0</v>
      </c>
      <c r="J89" s="217"/>
      <c r="K89" s="217">
        <f t="shared" si="71"/>
        <v>0</v>
      </c>
      <c r="L89" s="217">
        <f t="shared" si="71"/>
        <v>0</v>
      </c>
      <c r="M89" s="238" t="s">
        <v>479</v>
      </c>
      <c r="N89" s="11">
        <f t="shared" si="45"/>
        <v>0</v>
      </c>
      <c r="O89" s="11">
        <f t="shared" si="46"/>
        <v>0</v>
      </c>
      <c r="P89" s="11">
        <f t="shared" si="53"/>
        <v>0</v>
      </c>
      <c r="Q89" s="11">
        <v>0</v>
      </c>
      <c r="R89" s="11">
        <f t="shared" si="47"/>
        <v>0</v>
      </c>
      <c r="S89" s="11"/>
      <c r="T89" s="11"/>
      <c r="U89" s="11">
        <v>0</v>
      </c>
      <c r="V89" s="11">
        <f t="shared" si="54"/>
        <v>0</v>
      </c>
      <c r="W89" s="11"/>
      <c r="X89" s="218">
        <f t="shared" si="56"/>
        <v>0</v>
      </c>
    </row>
    <row r="90" spans="1:24" ht="15" thickBot="1" x14ac:dyDescent="0.35">
      <c r="A90" s="234"/>
      <c r="B90" s="234"/>
      <c r="C90" s="234"/>
      <c r="D90" s="234"/>
      <c r="E90" s="231"/>
      <c r="F90" s="231"/>
      <c r="G90" s="231"/>
      <c r="H90" s="231"/>
      <c r="I90" s="231"/>
      <c r="J90" s="231"/>
      <c r="K90" s="232"/>
      <c r="L90" s="232"/>
      <c r="M90" s="13"/>
      <c r="N90" s="91">
        <f t="shared" ref="N90:N128" si="72">SUM(A90:J90)</f>
        <v>0</v>
      </c>
      <c r="O90" s="91">
        <f t="shared" ref="O90:O128" si="73">SUM(K90:L90)</f>
        <v>0</v>
      </c>
      <c r="P90" s="91">
        <f t="shared" si="53"/>
        <v>0</v>
      </c>
      <c r="Q90" s="93">
        <v>0</v>
      </c>
      <c r="R90" s="93"/>
      <c r="S90" s="93"/>
      <c r="T90" s="93"/>
      <c r="U90" s="93">
        <v>0</v>
      </c>
      <c r="V90" s="93">
        <f t="shared" si="54"/>
        <v>0</v>
      </c>
      <c r="W90" s="93"/>
      <c r="X90" s="235">
        <f t="shared" si="56"/>
        <v>0</v>
      </c>
    </row>
    <row r="91" spans="1:24" x14ac:dyDescent="0.3">
      <c r="A91" s="224">
        <f>SUM(A67:A89)</f>
        <v>0</v>
      </c>
      <c r="B91" s="224">
        <f t="shared" ref="B91:L91" si="74">SUM(B67:B89)</f>
        <v>0</v>
      </c>
      <c r="C91" s="224">
        <f t="shared" si="74"/>
        <v>0</v>
      </c>
      <c r="D91" s="224">
        <f t="shared" si="74"/>
        <v>0</v>
      </c>
      <c r="E91" s="224">
        <f t="shared" si="74"/>
        <v>0</v>
      </c>
      <c r="F91" s="224">
        <f t="shared" si="74"/>
        <v>0</v>
      </c>
      <c r="G91" s="224">
        <f t="shared" si="74"/>
        <v>10480</v>
      </c>
      <c r="H91" s="224">
        <f t="shared" si="74"/>
        <v>0</v>
      </c>
      <c r="I91" s="224">
        <f t="shared" si="74"/>
        <v>0</v>
      </c>
      <c r="J91" s="224">
        <f t="shared" si="74"/>
        <v>0</v>
      </c>
      <c r="K91" s="224">
        <f t="shared" si="74"/>
        <v>0</v>
      </c>
      <c r="L91" s="224">
        <f t="shared" si="74"/>
        <v>0</v>
      </c>
      <c r="M91" s="13" t="s">
        <v>155</v>
      </c>
      <c r="N91" s="4">
        <f t="shared" ref="N91:O91" si="75">SUM(N67:N89)</f>
        <v>0</v>
      </c>
      <c r="O91" s="4">
        <f t="shared" si="75"/>
        <v>10480</v>
      </c>
      <c r="P91" s="4">
        <f t="shared" ref="P91:Q91" si="76">SUM(P67:P89)</f>
        <v>10480</v>
      </c>
      <c r="Q91" s="4">
        <f t="shared" si="76"/>
        <v>10480</v>
      </c>
      <c r="R91" s="4">
        <f t="shared" ref="R91:W91" si="77">SUM(R67:R89)</f>
        <v>0</v>
      </c>
      <c r="S91" s="4">
        <v>0</v>
      </c>
      <c r="T91" s="4">
        <v>0</v>
      </c>
      <c r="U91" s="4">
        <v>15000</v>
      </c>
      <c r="V91" s="4">
        <f t="shared" si="54"/>
        <v>4520</v>
      </c>
      <c r="W91" s="4">
        <f t="shared" si="77"/>
        <v>0</v>
      </c>
      <c r="X91" s="225">
        <f t="shared" si="56"/>
        <v>0</v>
      </c>
    </row>
    <row r="92" spans="1:24" x14ac:dyDescent="0.3">
      <c r="A92" s="219"/>
      <c r="B92" s="219"/>
      <c r="C92" s="219"/>
      <c r="D92" s="219"/>
      <c r="E92" s="220"/>
      <c r="F92" s="220"/>
      <c r="G92" s="220"/>
      <c r="H92" s="226"/>
      <c r="I92" s="226"/>
      <c r="J92" s="226"/>
      <c r="K92" s="222"/>
      <c r="L92" s="222"/>
      <c r="M92" s="80"/>
      <c r="N92" s="86">
        <f t="shared" si="72"/>
        <v>0</v>
      </c>
      <c r="O92" s="86">
        <f t="shared" si="73"/>
        <v>0</v>
      </c>
      <c r="P92" s="86">
        <f t="shared" si="53"/>
        <v>0</v>
      </c>
      <c r="Q92" s="81">
        <v>0</v>
      </c>
      <c r="R92" s="81"/>
      <c r="S92" s="81"/>
      <c r="T92" s="81"/>
      <c r="U92" s="81">
        <v>0</v>
      </c>
      <c r="V92" s="81">
        <f t="shared" si="54"/>
        <v>0</v>
      </c>
      <c r="W92" s="81"/>
      <c r="X92" s="223"/>
    </row>
    <row r="93" spans="1:24" x14ac:dyDescent="0.3">
      <c r="A93" s="228">
        <f t="shared" ref="A93:L99" si="78">$Q93/12</f>
        <v>0</v>
      </c>
      <c r="B93" s="228">
        <f t="shared" si="78"/>
        <v>0</v>
      </c>
      <c r="C93" s="228">
        <f t="shared" si="78"/>
        <v>0</v>
      </c>
      <c r="D93" s="228">
        <f t="shared" si="78"/>
        <v>0</v>
      </c>
      <c r="E93" s="228">
        <f t="shared" si="78"/>
        <v>0</v>
      </c>
      <c r="F93" s="228">
        <f t="shared" si="78"/>
        <v>0</v>
      </c>
      <c r="G93" s="228">
        <f t="shared" si="78"/>
        <v>0</v>
      </c>
      <c r="H93" s="228">
        <f t="shared" si="78"/>
        <v>0</v>
      </c>
      <c r="I93" s="228">
        <f t="shared" si="78"/>
        <v>0</v>
      </c>
      <c r="J93" s="228">
        <f t="shared" si="78"/>
        <v>0</v>
      </c>
      <c r="K93" s="228">
        <f t="shared" si="78"/>
        <v>0</v>
      </c>
      <c r="L93" s="228">
        <f>$Q93/12</f>
        <v>0</v>
      </c>
      <c r="M93" s="238" t="s">
        <v>480</v>
      </c>
      <c r="N93" s="8">
        <f t="shared" ref="N93:N100" si="79">SUM(0)</f>
        <v>0</v>
      </c>
      <c r="O93" s="8">
        <f t="shared" ref="O93:O100" si="80">SUM(A93:L93)</f>
        <v>0</v>
      </c>
      <c r="P93" s="8">
        <f t="shared" si="53"/>
        <v>0</v>
      </c>
      <c r="Q93" s="8">
        <v>0</v>
      </c>
      <c r="R93" s="8">
        <f t="shared" ref="R93:R100" si="81">Q93-P93</f>
        <v>0</v>
      </c>
      <c r="S93" s="8"/>
      <c r="T93" s="8"/>
      <c r="U93" s="8">
        <v>0</v>
      </c>
      <c r="V93" s="8">
        <f t="shared" si="54"/>
        <v>0</v>
      </c>
      <c r="W93" s="8"/>
      <c r="X93" s="215">
        <f t="shared" si="56"/>
        <v>0</v>
      </c>
    </row>
    <row r="94" spans="1:24" x14ac:dyDescent="0.3">
      <c r="A94" s="168">
        <f t="shared" si="78"/>
        <v>0</v>
      </c>
      <c r="B94" s="168">
        <f t="shared" si="78"/>
        <v>0</v>
      </c>
      <c r="C94" s="168">
        <f t="shared" si="78"/>
        <v>0</v>
      </c>
      <c r="D94" s="168">
        <f t="shared" si="78"/>
        <v>0</v>
      </c>
      <c r="E94" s="168">
        <f t="shared" si="78"/>
        <v>0</v>
      </c>
      <c r="F94" s="168">
        <f t="shared" si="78"/>
        <v>0</v>
      </c>
      <c r="G94" s="168">
        <f t="shared" si="78"/>
        <v>0</v>
      </c>
      <c r="H94" s="168">
        <f t="shared" si="78"/>
        <v>0</v>
      </c>
      <c r="I94" s="168">
        <f t="shared" si="78"/>
        <v>0</v>
      </c>
      <c r="J94" s="168">
        <f t="shared" si="78"/>
        <v>0</v>
      </c>
      <c r="K94" s="168">
        <f t="shared" si="78"/>
        <v>0</v>
      </c>
      <c r="L94" s="168">
        <f t="shared" si="78"/>
        <v>0</v>
      </c>
      <c r="M94" s="13" t="s">
        <v>481</v>
      </c>
      <c r="N94" s="7">
        <f t="shared" si="79"/>
        <v>0</v>
      </c>
      <c r="O94" s="7">
        <f t="shared" si="80"/>
        <v>0</v>
      </c>
      <c r="P94" s="7">
        <f t="shared" si="53"/>
        <v>0</v>
      </c>
      <c r="Q94" s="7">
        <v>0</v>
      </c>
      <c r="R94" s="7">
        <f t="shared" si="81"/>
        <v>0</v>
      </c>
      <c r="S94" s="7"/>
      <c r="T94" s="7"/>
      <c r="U94" s="7">
        <v>0</v>
      </c>
      <c r="V94" s="7">
        <f t="shared" si="54"/>
        <v>0</v>
      </c>
      <c r="W94" s="7"/>
      <c r="X94" s="216">
        <f t="shared" si="56"/>
        <v>0</v>
      </c>
    </row>
    <row r="95" spans="1:24" x14ac:dyDescent="0.3">
      <c r="A95" s="168">
        <f t="shared" si="78"/>
        <v>0</v>
      </c>
      <c r="B95" s="168">
        <f t="shared" si="78"/>
        <v>0</v>
      </c>
      <c r="C95" s="168">
        <f t="shared" si="78"/>
        <v>0</v>
      </c>
      <c r="D95" s="168">
        <f t="shared" si="78"/>
        <v>0</v>
      </c>
      <c r="E95" s="168">
        <f t="shared" si="78"/>
        <v>0</v>
      </c>
      <c r="F95" s="168">
        <f t="shared" si="78"/>
        <v>0</v>
      </c>
      <c r="G95" s="168">
        <f t="shared" si="78"/>
        <v>0</v>
      </c>
      <c r="H95" s="168">
        <f t="shared" si="78"/>
        <v>0</v>
      </c>
      <c r="I95" s="168">
        <f t="shared" si="78"/>
        <v>0</v>
      </c>
      <c r="J95" s="168">
        <f t="shared" si="78"/>
        <v>0</v>
      </c>
      <c r="K95" s="168">
        <f t="shared" si="78"/>
        <v>0</v>
      </c>
      <c r="L95" s="168">
        <f t="shared" si="78"/>
        <v>0</v>
      </c>
      <c r="M95" s="13" t="s">
        <v>482</v>
      </c>
      <c r="N95" s="7">
        <f t="shared" si="79"/>
        <v>0</v>
      </c>
      <c r="O95" s="7">
        <f t="shared" si="80"/>
        <v>0</v>
      </c>
      <c r="P95" s="7">
        <f t="shared" si="53"/>
        <v>0</v>
      </c>
      <c r="Q95" s="7">
        <v>0</v>
      </c>
      <c r="R95" s="7">
        <f t="shared" si="81"/>
        <v>0</v>
      </c>
      <c r="S95" s="7"/>
      <c r="T95" s="7"/>
      <c r="U95" s="7">
        <v>0</v>
      </c>
      <c r="V95" s="7">
        <f t="shared" si="54"/>
        <v>0</v>
      </c>
      <c r="W95" s="7"/>
      <c r="X95" s="216">
        <f t="shared" si="56"/>
        <v>0</v>
      </c>
    </row>
    <row r="96" spans="1:24" x14ac:dyDescent="0.3">
      <c r="A96" s="168">
        <f>138*1.048</f>
        <v>144.624</v>
      </c>
      <c r="B96" s="168">
        <f t="shared" ref="B96:L96" si="82">138*1.048</f>
        <v>144.624</v>
      </c>
      <c r="C96" s="168">
        <f t="shared" si="82"/>
        <v>144.624</v>
      </c>
      <c r="D96" s="168">
        <f t="shared" si="82"/>
        <v>144.624</v>
      </c>
      <c r="E96" s="168">
        <f t="shared" si="82"/>
        <v>144.624</v>
      </c>
      <c r="F96" s="168">
        <f t="shared" si="82"/>
        <v>144.624</v>
      </c>
      <c r="G96" s="168">
        <f t="shared" si="82"/>
        <v>144.624</v>
      </c>
      <c r="H96" s="168">
        <f t="shared" si="82"/>
        <v>144.624</v>
      </c>
      <c r="I96" s="168">
        <f t="shared" si="82"/>
        <v>144.624</v>
      </c>
      <c r="J96" s="168">
        <f t="shared" si="82"/>
        <v>144.624</v>
      </c>
      <c r="K96" s="168">
        <f t="shared" si="82"/>
        <v>144.624</v>
      </c>
      <c r="L96" s="168">
        <f t="shared" si="82"/>
        <v>144.624</v>
      </c>
      <c r="M96" s="13" t="s">
        <v>483</v>
      </c>
      <c r="N96" s="7">
        <f t="shared" si="79"/>
        <v>0</v>
      </c>
      <c r="O96" s="7">
        <f t="shared" si="80"/>
        <v>1735.4880000000001</v>
      </c>
      <c r="P96" s="7">
        <f t="shared" si="53"/>
        <v>1735.4880000000001</v>
      </c>
      <c r="Q96" s="7">
        <v>1735.4880000000001</v>
      </c>
      <c r="R96" s="7">
        <f t="shared" si="81"/>
        <v>0</v>
      </c>
      <c r="S96" s="7"/>
      <c r="T96" s="7"/>
      <c r="U96" s="7">
        <v>1653</v>
      </c>
      <c r="V96" s="7">
        <f t="shared" si="54"/>
        <v>-82.488000000000056</v>
      </c>
      <c r="W96" s="7"/>
      <c r="X96" s="216">
        <f t="shared" si="56"/>
        <v>0</v>
      </c>
    </row>
    <row r="97" spans="1:24" x14ac:dyDescent="0.3">
      <c r="A97" s="168">
        <f t="shared" si="78"/>
        <v>0</v>
      </c>
      <c r="B97" s="168">
        <f t="shared" si="78"/>
        <v>0</v>
      </c>
      <c r="C97" s="168">
        <f t="shared" si="78"/>
        <v>0</v>
      </c>
      <c r="D97" s="168">
        <f t="shared" si="78"/>
        <v>0</v>
      </c>
      <c r="E97" s="168">
        <f t="shared" si="78"/>
        <v>0</v>
      </c>
      <c r="F97" s="168">
        <f t="shared" si="78"/>
        <v>0</v>
      </c>
      <c r="G97" s="168">
        <f t="shared" si="78"/>
        <v>0</v>
      </c>
      <c r="H97" s="168">
        <f t="shared" si="78"/>
        <v>0</v>
      </c>
      <c r="I97" s="168">
        <f t="shared" si="78"/>
        <v>0</v>
      </c>
      <c r="J97" s="168">
        <f t="shared" si="78"/>
        <v>0</v>
      </c>
      <c r="K97" s="168">
        <f t="shared" si="78"/>
        <v>0</v>
      </c>
      <c r="L97" s="168">
        <f t="shared" si="78"/>
        <v>0</v>
      </c>
      <c r="M97" s="13" t="s">
        <v>484</v>
      </c>
      <c r="N97" s="7">
        <f t="shared" si="79"/>
        <v>0</v>
      </c>
      <c r="O97" s="7">
        <f t="shared" si="80"/>
        <v>0</v>
      </c>
      <c r="P97" s="7">
        <f t="shared" si="53"/>
        <v>0</v>
      </c>
      <c r="Q97" s="7">
        <v>0</v>
      </c>
      <c r="R97" s="7">
        <f t="shared" si="81"/>
        <v>0</v>
      </c>
      <c r="S97" s="7"/>
      <c r="T97" s="7"/>
      <c r="U97" s="7">
        <v>0</v>
      </c>
      <c r="V97" s="7">
        <f t="shared" si="54"/>
        <v>0</v>
      </c>
      <c r="W97" s="7"/>
      <c r="X97" s="216">
        <f t="shared" si="56"/>
        <v>0</v>
      </c>
    </row>
    <row r="98" spans="1:24" x14ac:dyDescent="0.3">
      <c r="A98" s="168">
        <f>38*1.048</f>
        <v>39.823999999999998</v>
      </c>
      <c r="B98" s="168">
        <f t="shared" ref="B98:L98" si="83">38*1.048</f>
        <v>39.823999999999998</v>
      </c>
      <c r="C98" s="168">
        <f t="shared" si="83"/>
        <v>39.823999999999998</v>
      </c>
      <c r="D98" s="168">
        <f t="shared" si="83"/>
        <v>39.823999999999998</v>
      </c>
      <c r="E98" s="168">
        <f t="shared" si="83"/>
        <v>39.823999999999998</v>
      </c>
      <c r="F98" s="168">
        <f t="shared" si="83"/>
        <v>39.823999999999998</v>
      </c>
      <c r="G98" s="168">
        <f t="shared" si="83"/>
        <v>39.823999999999998</v>
      </c>
      <c r="H98" s="168">
        <f t="shared" si="83"/>
        <v>39.823999999999998</v>
      </c>
      <c r="I98" s="168">
        <f t="shared" si="83"/>
        <v>39.823999999999998</v>
      </c>
      <c r="J98" s="168">
        <f t="shared" si="83"/>
        <v>39.823999999999998</v>
      </c>
      <c r="K98" s="168">
        <f t="shared" si="83"/>
        <v>39.823999999999998</v>
      </c>
      <c r="L98" s="168">
        <f t="shared" si="83"/>
        <v>39.823999999999998</v>
      </c>
      <c r="M98" s="13" t="s">
        <v>485</v>
      </c>
      <c r="N98" s="7">
        <f t="shared" si="79"/>
        <v>0</v>
      </c>
      <c r="O98" s="7">
        <f t="shared" si="80"/>
        <v>477.88800000000009</v>
      </c>
      <c r="P98" s="7">
        <f t="shared" si="53"/>
        <v>477.88800000000009</v>
      </c>
      <c r="Q98" s="7">
        <v>477.88800000000009</v>
      </c>
      <c r="R98" s="7">
        <f t="shared" si="81"/>
        <v>0</v>
      </c>
      <c r="S98" s="7"/>
      <c r="T98" s="7"/>
      <c r="U98" s="7">
        <v>453</v>
      </c>
      <c r="V98" s="7">
        <f t="shared" si="54"/>
        <v>-24.88800000000009</v>
      </c>
      <c r="W98" s="7"/>
      <c r="X98" s="216">
        <f>IFERROR(N98/Q98,0)</f>
        <v>0</v>
      </c>
    </row>
    <row r="99" spans="1:24" x14ac:dyDescent="0.3">
      <c r="A99" s="168">
        <f t="shared" si="78"/>
        <v>0</v>
      </c>
      <c r="B99" s="168">
        <f t="shared" si="78"/>
        <v>0</v>
      </c>
      <c r="C99" s="168">
        <f t="shared" si="78"/>
        <v>0</v>
      </c>
      <c r="D99" s="168">
        <f t="shared" si="78"/>
        <v>0</v>
      </c>
      <c r="E99" s="168">
        <f t="shared" si="78"/>
        <v>0</v>
      </c>
      <c r="F99" s="168">
        <f t="shared" si="78"/>
        <v>0</v>
      </c>
      <c r="G99" s="168">
        <f t="shared" si="78"/>
        <v>0</v>
      </c>
      <c r="H99" s="168">
        <f t="shared" si="78"/>
        <v>0</v>
      </c>
      <c r="I99" s="168">
        <f t="shared" si="78"/>
        <v>0</v>
      </c>
      <c r="J99" s="168">
        <f t="shared" si="78"/>
        <v>0</v>
      </c>
      <c r="K99" s="168">
        <f t="shared" si="78"/>
        <v>0</v>
      </c>
      <c r="L99" s="168">
        <f t="shared" si="78"/>
        <v>0</v>
      </c>
      <c r="M99" s="13" t="s">
        <v>486</v>
      </c>
      <c r="N99" s="7">
        <f t="shared" si="79"/>
        <v>0</v>
      </c>
      <c r="O99" s="7">
        <f t="shared" si="80"/>
        <v>0</v>
      </c>
      <c r="P99" s="7">
        <f t="shared" si="53"/>
        <v>0</v>
      </c>
      <c r="Q99" s="7">
        <v>0</v>
      </c>
      <c r="R99" s="7">
        <f t="shared" si="81"/>
        <v>0</v>
      </c>
      <c r="S99" s="7"/>
      <c r="T99" s="7"/>
      <c r="U99" s="7">
        <v>0</v>
      </c>
      <c r="V99" s="7">
        <f t="shared" si="54"/>
        <v>0</v>
      </c>
      <c r="W99" s="7"/>
      <c r="X99" s="216">
        <f t="shared" si="56"/>
        <v>0</v>
      </c>
    </row>
    <row r="100" spans="1:24" x14ac:dyDescent="0.3">
      <c r="A100" s="217">
        <f>474*1.048</f>
        <v>496.75200000000001</v>
      </c>
      <c r="B100" s="217">
        <f t="shared" ref="B100:L100" si="84">474*1.048</f>
        <v>496.75200000000001</v>
      </c>
      <c r="C100" s="217">
        <f t="shared" si="84"/>
        <v>496.75200000000001</v>
      </c>
      <c r="D100" s="217">
        <f t="shared" si="84"/>
        <v>496.75200000000001</v>
      </c>
      <c r="E100" s="217">
        <f t="shared" si="84"/>
        <v>496.75200000000001</v>
      </c>
      <c r="F100" s="217">
        <f t="shared" si="84"/>
        <v>496.75200000000001</v>
      </c>
      <c r="G100" s="217">
        <f t="shared" si="84"/>
        <v>496.75200000000001</v>
      </c>
      <c r="H100" s="217">
        <f t="shared" si="84"/>
        <v>496.75200000000001</v>
      </c>
      <c r="I100" s="217">
        <f t="shared" si="84"/>
        <v>496.75200000000001</v>
      </c>
      <c r="J100" s="217">
        <f t="shared" si="84"/>
        <v>496.75200000000001</v>
      </c>
      <c r="K100" s="217">
        <f t="shared" si="84"/>
        <v>496.75200000000001</v>
      </c>
      <c r="L100" s="217">
        <f t="shared" si="84"/>
        <v>496.75200000000001</v>
      </c>
      <c r="M100" s="238" t="s">
        <v>487</v>
      </c>
      <c r="N100" s="11">
        <f t="shared" si="79"/>
        <v>0</v>
      </c>
      <c r="O100" s="11">
        <f t="shared" si="80"/>
        <v>5961.0240000000013</v>
      </c>
      <c r="P100" s="11">
        <f t="shared" si="53"/>
        <v>5961.0240000000013</v>
      </c>
      <c r="Q100" s="11">
        <v>5961.0240000000013</v>
      </c>
      <c r="R100" s="11">
        <f t="shared" si="81"/>
        <v>0</v>
      </c>
      <c r="S100" s="11"/>
      <c r="T100" s="11"/>
      <c r="U100" s="11">
        <v>5685.1469999999999</v>
      </c>
      <c r="V100" s="11">
        <f t="shared" si="54"/>
        <v>-275.87700000000132</v>
      </c>
      <c r="W100" s="11"/>
      <c r="X100" s="218">
        <f t="shared" si="56"/>
        <v>0</v>
      </c>
    </row>
    <row r="101" spans="1:24" ht="15" thickBot="1" x14ac:dyDescent="0.35">
      <c r="A101" s="230"/>
      <c r="B101" s="230"/>
      <c r="C101" s="230"/>
      <c r="D101" s="230"/>
      <c r="E101" s="231"/>
      <c r="F101" s="231"/>
      <c r="G101" s="231"/>
      <c r="H101" s="231"/>
      <c r="I101" s="231"/>
      <c r="J101" s="231"/>
      <c r="K101" s="232"/>
      <c r="L101" s="232"/>
      <c r="M101" s="13"/>
      <c r="N101" s="91">
        <f t="shared" si="72"/>
        <v>0</v>
      </c>
      <c r="O101" s="91">
        <f t="shared" si="73"/>
        <v>0</v>
      </c>
      <c r="P101" s="91">
        <f t="shared" si="53"/>
        <v>0</v>
      </c>
      <c r="Q101" s="89">
        <v>0</v>
      </c>
      <c r="R101" s="89"/>
      <c r="S101" s="89"/>
      <c r="T101" s="89"/>
      <c r="U101" s="89">
        <v>0</v>
      </c>
      <c r="V101" s="89">
        <f t="shared" si="54"/>
        <v>0</v>
      </c>
      <c r="W101" s="89"/>
      <c r="X101" s="233"/>
    </row>
    <row r="102" spans="1:24" x14ac:dyDescent="0.3">
      <c r="A102" s="224">
        <f>SUM(A93:A100)</f>
        <v>681.2</v>
      </c>
      <c r="B102" s="224">
        <f t="shared" ref="B102:L102" si="85">SUM(B93:B100)</f>
        <v>681.2</v>
      </c>
      <c r="C102" s="224">
        <f t="shared" si="85"/>
        <v>681.2</v>
      </c>
      <c r="D102" s="224">
        <f t="shared" si="85"/>
        <v>681.2</v>
      </c>
      <c r="E102" s="224">
        <f t="shared" si="85"/>
        <v>681.2</v>
      </c>
      <c r="F102" s="224">
        <f t="shared" si="85"/>
        <v>681.2</v>
      </c>
      <c r="G102" s="224">
        <f t="shared" si="85"/>
        <v>681.2</v>
      </c>
      <c r="H102" s="224">
        <f t="shared" si="85"/>
        <v>681.2</v>
      </c>
      <c r="I102" s="224">
        <f t="shared" si="85"/>
        <v>681.2</v>
      </c>
      <c r="J102" s="224">
        <f t="shared" si="85"/>
        <v>681.2</v>
      </c>
      <c r="K102" s="224">
        <f t="shared" si="85"/>
        <v>681.2</v>
      </c>
      <c r="L102" s="224">
        <f t="shared" si="85"/>
        <v>681.2</v>
      </c>
      <c r="M102" s="13" t="s">
        <v>166</v>
      </c>
      <c r="N102" s="4">
        <f t="shared" ref="N102:O102" si="86">SUM(N93:N100)</f>
        <v>0</v>
      </c>
      <c r="O102" s="4">
        <f t="shared" si="86"/>
        <v>8174.4000000000015</v>
      </c>
      <c r="P102" s="4">
        <f t="shared" ref="P102:Q102" si="87">SUM(P93:P100)</f>
        <v>8174.4000000000015</v>
      </c>
      <c r="Q102" s="4">
        <f t="shared" si="87"/>
        <v>8174.4000000000015</v>
      </c>
      <c r="R102" s="4">
        <f t="shared" ref="R102:W102" si="88">SUM(R93:R100)</f>
        <v>0</v>
      </c>
      <c r="S102" s="4">
        <v>0</v>
      </c>
      <c r="T102" s="4">
        <v>0</v>
      </c>
      <c r="U102" s="4">
        <v>7791.1469999999999</v>
      </c>
      <c r="V102" s="4">
        <f t="shared" si="54"/>
        <v>-383.25300000000152</v>
      </c>
      <c r="W102" s="4">
        <f t="shared" si="88"/>
        <v>0</v>
      </c>
      <c r="X102" s="225">
        <f t="shared" si="56"/>
        <v>0</v>
      </c>
    </row>
    <row r="103" spans="1:24" x14ac:dyDescent="0.3">
      <c r="A103" s="219"/>
      <c r="B103" s="219"/>
      <c r="C103" s="219"/>
      <c r="D103" s="219"/>
      <c r="E103" s="220"/>
      <c r="F103" s="220"/>
      <c r="G103" s="220"/>
      <c r="H103" s="226"/>
      <c r="I103" s="226"/>
      <c r="J103" s="226"/>
      <c r="K103" s="222"/>
      <c r="L103" s="222"/>
      <c r="M103" s="80"/>
      <c r="N103" s="86">
        <f t="shared" si="72"/>
        <v>0</v>
      </c>
      <c r="O103" s="86">
        <f t="shared" si="73"/>
        <v>0</v>
      </c>
      <c r="P103" s="86">
        <f t="shared" si="53"/>
        <v>0</v>
      </c>
      <c r="Q103" s="81">
        <v>0</v>
      </c>
      <c r="R103" s="81"/>
      <c r="S103" s="81"/>
      <c r="T103" s="81"/>
      <c r="U103" s="81">
        <v>0</v>
      </c>
      <c r="V103" s="81">
        <f t="shared" si="54"/>
        <v>0</v>
      </c>
      <c r="W103" s="81"/>
      <c r="X103" s="223"/>
    </row>
    <row r="104" spans="1:24" x14ac:dyDescent="0.3">
      <c r="A104" s="228">
        <f>167*1.048</f>
        <v>175.01600000000002</v>
      </c>
      <c r="B104" s="228">
        <f t="shared" ref="B104:L104" si="89">167*1.048</f>
        <v>175.01600000000002</v>
      </c>
      <c r="C104" s="228">
        <f t="shared" si="89"/>
        <v>175.01600000000002</v>
      </c>
      <c r="D104" s="228">
        <f t="shared" si="89"/>
        <v>175.01600000000002</v>
      </c>
      <c r="E104" s="228">
        <f t="shared" si="89"/>
        <v>175.01600000000002</v>
      </c>
      <c r="F104" s="228">
        <f t="shared" si="89"/>
        <v>175.01600000000002</v>
      </c>
      <c r="G104" s="228">
        <f t="shared" si="89"/>
        <v>175.01600000000002</v>
      </c>
      <c r="H104" s="228">
        <f t="shared" si="89"/>
        <v>175.01600000000002</v>
      </c>
      <c r="I104" s="228">
        <f t="shared" si="89"/>
        <v>175.01600000000002</v>
      </c>
      <c r="J104" s="228">
        <f t="shared" si="89"/>
        <v>175.01600000000002</v>
      </c>
      <c r="K104" s="228">
        <f t="shared" si="89"/>
        <v>175.01600000000002</v>
      </c>
      <c r="L104" s="228">
        <f t="shared" si="89"/>
        <v>175.01600000000002</v>
      </c>
      <c r="M104" s="238" t="s">
        <v>488</v>
      </c>
      <c r="N104" s="8">
        <f t="shared" ref="N104:N106" si="90">SUM(0)</f>
        <v>0</v>
      </c>
      <c r="O104" s="8">
        <f t="shared" ref="O104:O106" si="91">SUM(A104:L104)</f>
        <v>2100.1920000000005</v>
      </c>
      <c r="P104" s="8">
        <f t="shared" si="53"/>
        <v>2100.1920000000005</v>
      </c>
      <c r="Q104" s="8">
        <v>2100.1920000000005</v>
      </c>
      <c r="R104" s="8">
        <f t="shared" ref="R104:R106" si="92">Q104-P104</f>
        <v>0</v>
      </c>
      <c r="S104" s="8"/>
      <c r="T104" s="8"/>
      <c r="U104" s="8">
        <v>2000</v>
      </c>
      <c r="V104" s="8">
        <f t="shared" si="54"/>
        <v>-100.19200000000046</v>
      </c>
      <c r="W104" s="8"/>
      <c r="X104" s="215">
        <f t="shared" si="56"/>
        <v>0</v>
      </c>
    </row>
    <row r="105" spans="1:24" x14ac:dyDescent="0.3">
      <c r="A105" s="168">
        <f t="shared" ref="A105:L106" si="93">$Q105/12</f>
        <v>0</v>
      </c>
      <c r="B105" s="168">
        <f t="shared" si="93"/>
        <v>0</v>
      </c>
      <c r="C105" s="168">
        <f t="shared" si="93"/>
        <v>0</v>
      </c>
      <c r="D105" s="168">
        <f t="shared" si="93"/>
        <v>0</v>
      </c>
      <c r="E105" s="168">
        <f t="shared" si="93"/>
        <v>0</v>
      </c>
      <c r="F105" s="168">
        <f t="shared" si="93"/>
        <v>0</v>
      </c>
      <c r="G105" s="168">
        <f t="shared" si="93"/>
        <v>0</v>
      </c>
      <c r="H105" s="168">
        <f t="shared" si="93"/>
        <v>0</v>
      </c>
      <c r="I105" s="168">
        <f t="shared" si="93"/>
        <v>0</v>
      </c>
      <c r="J105" s="168">
        <f t="shared" si="93"/>
        <v>0</v>
      </c>
      <c r="K105" s="168">
        <f t="shared" si="93"/>
        <v>0</v>
      </c>
      <c r="L105" s="168">
        <f t="shared" si="93"/>
        <v>0</v>
      </c>
      <c r="M105" s="13" t="s">
        <v>489</v>
      </c>
      <c r="N105" s="7">
        <f t="shared" si="90"/>
        <v>0</v>
      </c>
      <c r="O105" s="7">
        <f t="shared" si="91"/>
        <v>0</v>
      </c>
      <c r="P105" s="7">
        <f t="shared" si="53"/>
        <v>0</v>
      </c>
      <c r="Q105" s="7">
        <v>0</v>
      </c>
      <c r="R105" s="7">
        <f t="shared" si="92"/>
        <v>0</v>
      </c>
      <c r="S105" s="7"/>
      <c r="T105" s="7"/>
      <c r="U105" s="7">
        <v>0</v>
      </c>
      <c r="V105" s="7">
        <f t="shared" si="54"/>
        <v>0</v>
      </c>
      <c r="W105" s="7"/>
      <c r="X105" s="216">
        <f t="shared" si="56"/>
        <v>0</v>
      </c>
    </row>
    <row r="106" spans="1:24" x14ac:dyDescent="0.3">
      <c r="A106" s="217">
        <f t="shared" si="93"/>
        <v>0</v>
      </c>
      <c r="B106" s="217">
        <f t="shared" si="93"/>
        <v>0</v>
      </c>
      <c r="C106" s="217">
        <f t="shared" si="93"/>
        <v>0</v>
      </c>
      <c r="D106" s="217">
        <f t="shared" si="93"/>
        <v>0</v>
      </c>
      <c r="E106" s="217">
        <f t="shared" si="93"/>
        <v>0</v>
      </c>
      <c r="F106" s="217">
        <f t="shared" si="93"/>
        <v>0</v>
      </c>
      <c r="G106" s="217">
        <f t="shared" si="93"/>
        <v>0</v>
      </c>
      <c r="H106" s="217">
        <f t="shared" si="93"/>
        <v>0</v>
      </c>
      <c r="I106" s="217">
        <f t="shared" si="93"/>
        <v>0</v>
      </c>
      <c r="J106" s="217">
        <f t="shared" si="93"/>
        <v>0</v>
      </c>
      <c r="K106" s="217">
        <f t="shared" si="93"/>
        <v>0</v>
      </c>
      <c r="L106" s="217">
        <f t="shared" si="93"/>
        <v>0</v>
      </c>
      <c r="M106" s="13" t="s">
        <v>490</v>
      </c>
      <c r="N106" s="11">
        <f t="shared" si="90"/>
        <v>0</v>
      </c>
      <c r="O106" s="11">
        <f t="shared" si="91"/>
        <v>0</v>
      </c>
      <c r="P106" s="11">
        <f t="shared" si="53"/>
        <v>0</v>
      </c>
      <c r="Q106" s="11">
        <v>0</v>
      </c>
      <c r="R106" s="11">
        <f t="shared" si="92"/>
        <v>0</v>
      </c>
      <c r="S106" s="11"/>
      <c r="T106" s="11"/>
      <c r="U106" s="11">
        <v>0</v>
      </c>
      <c r="V106" s="11">
        <f t="shared" si="54"/>
        <v>0</v>
      </c>
      <c r="W106" s="11"/>
      <c r="X106" s="218">
        <f t="shared" si="56"/>
        <v>0</v>
      </c>
    </row>
    <row r="107" spans="1:24" ht="15" thickBot="1" x14ac:dyDescent="0.35">
      <c r="A107" s="230"/>
      <c r="B107" s="230"/>
      <c r="C107" s="230"/>
      <c r="D107" s="230"/>
      <c r="E107" s="231"/>
      <c r="F107" s="231"/>
      <c r="G107" s="231"/>
      <c r="H107" s="231"/>
      <c r="I107" s="231"/>
      <c r="J107" s="231"/>
      <c r="K107" s="232"/>
      <c r="L107" s="232"/>
      <c r="M107" s="13"/>
      <c r="N107" s="91">
        <f t="shared" si="72"/>
        <v>0</v>
      </c>
      <c r="O107" s="91">
        <f t="shared" si="73"/>
        <v>0</v>
      </c>
      <c r="P107" s="91">
        <f t="shared" si="53"/>
        <v>0</v>
      </c>
      <c r="Q107" s="89">
        <v>0</v>
      </c>
      <c r="R107" s="89"/>
      <c r="S107" s="89"/>
      <c r="T107" s="89"/>
      <c r="U107" s="89">
        <v>0</v>
      </c>
      <c r="V107" s="89">
        <f t="shared" si="54"/>
        <v>0</v>
      </c>
      <c r="W107" s="89"/>
      <c r="X107" s="233">
        <f t="shared" si="56"/>
        <v>0</v>
      </c>
    </row>
    <row r="108" spans="1:24" x14ac:dyDescent="0.3">
      <c r="A108" s="224">
        <f>SUM(A104:A106)</f>
        <v>175.01600000000002</v>
      </c>
      <c r="B108" s="224">
        <f t="shared" ref="B108:L108" si="94">SUM(B104:B106)</f>
        <v>175.01600000000002</v>
      </c>
      <c r="C108" s="224">
        <f t="shared" si="94"/>
        <v>175.01600000000002</v>
      </c>
      <c r="D108" s="224">
        <f t="shared" si="94"/>
        <v>175.01600000000002</v>
      </c>
      <c r="E108" s="224">
        <f t="shared" si="94"/>
        <v>175.01600000000002</v>
      </c>
      <c r="F108" s="224">
        <f t="shared" si="94"/>
        <v>175.01600000000002</v>
      </c>
      <c r="G108" s="224">
        <f t="shared" si="94"/>
        <v>175.01600000000002</v>
      </c>
      <c r="H108" s="224">
        <f t="shared" si="94"/>
        <v>175.01600000000002</v>
      </c>
      <c r="I108" s="224">
        <f t="shared" si="94"/>
        <v>175.01600000000002</v>
      </c>
      <c r="J108" s="224">
        <f t="shared" si="94"/>
        <v>175.01600000000002</v>
      </c>
      <c r="K108" s="224">
        <f t="shared" si="94"/>
        <v>175.01600000000002</v>
      </c>
      <c r="L108" s="224">
        <f t="shared" si="94"/>
        <v>175.01600000000002</v>
      </c>
      <c r="M108" s="13" t="s">
        <v>170</v>
      </c>
      <c r="N108" s="4">
        <f t="shared" ref="N108:O108" si="95">SUM(N104:N106)</f>
        <v>0</v>
      </c>
      <c r="O108" s="4">
        <f t="shared" si="95"/>
        <v>2100.1920000000005</v>
      </c>
      <c r="P108" s="4">
        <f t="shared" ref="P108:Q108" si="96">SUM(P104:P106)</f>
        <v>2100.1920000000005</v>
      </c>
      <c r="Q108" s="4">
        <f t="shared" si="96"/>
        <v>2100.1920000000005</v>
      </c>
      <c r="R108" s="4">
        <f t="shared" ref="R108:W108" si="97">SUM(R104:R106)</f>
        <v>0</v>
      </c>
      <c r="S108" s="4">
        <v>0</v>
      </c>
      <c r="T108" s="4">
        <v>0</v>
      </c>
      <c r="U108" s="4">
        <v>2000</v>
      </c>
      <c r="V108" s="4">
        <f t="shared" si="54"/>
        <v>-100.19200000000046</v>
      </c>
      <c r="W108" s="4">
        <f t="shared" si="97"/>
        <v>0</v>
      </c>
      <c r="X108" s="225">
        <f t="shared" si="56"/>
        <v>0</v>
      </c>
    </row>
    <row r="109" spans="1:24" x14ac:dyDescent="0.3">
      <c r="A109" s="219"/>
      <c r="B109" s="219"/>
      <c r="C109" s="219"/>
      <c r="D109" s="219"/>
      <c r="E109" s="219"/>
      <c r="F109" s="219"/>
      <c r="G109" s="219"/>
      <c r="H109" s="226"/>
      <c r="I109" s="226"/>
      <c r="J109" s="226"/>
      <c r="K109" s="227"/>
      <c r="L109" s="227"/>
      <c r="M109" s="80"/>
      <c r="N109" s="81">
        <f t="shared" si="72"/>
        <v>0</v>
      </c>
      <c r="O109" s="81">
        <f t="shared" si="73"/>
        <v>0</v>
      </c>
      <c r="P109" s="81">
        <f t="shared" si="53"/>
        <v>0</v>
      </c>
      <c r="Q109" s="81"/>
      <c r="R109" s="81"/>
      <c r="S109" s="81"/>
      <c r="T109" s="81"/>
      <c r="U109" s="81">
        <v>0</v>
      </c>
      <c r="V109" s="81">
        <f t="shared" si="54"/>
        <v>0</v>
      </c>
      <c r="W109" s="81"/>
      <c r="X109" s="223"/>
    </row>
    <row r="110" spans="1:24" x14ac:dyDescent="0.3">
      <c r="A110" s="224">
        <f>A28+A46+A65+A91+A102+A108</f>
        <v>150036.92000000001</v>
      </c>
      <c r="B110" s="224">
        <f t="shared" ref="B110:L110" si="98">B28+B46+B65+B91+B102+B108</f>
        <v>150036.92000000001</v>
      </c>
      <c r="C110" s="224">
        <f t="shared" si="98"/>
        <v>150036.92000000001</v>
      </c>
      <c r="D110" s="224">
        <f t="shared" si="98"/>
        <v>150036.92000000001</v>
      </c>
      <c r="E110" s="224">
        <f t="shared" si="98"/>
        <v>150036.92000000001</v>
      </c>
      <c r="F110" s="224">
        <f t="shared" si="98"/>
        <v>150036.92000000001</v>
      </c>
      <c r="G110" s="224">
        <f t="shared" si="98"/>
        <v>160516.92000000001</v>
      </c>
      <c r="H110" s="224">
        <f t="shared" si="98"/>
        <v>150036.92000000001</v>
      </c>
      <c r="I110" s="224">
        <f t="shared" si="98"/>
        <v>150036.92000000001</v>
      </c>
      <c r="J110" s="224">
        <f t="shared" si="98"/>
        <v>150036.92000000001</v>
      </c>
      <c r="K110" s="224">
        <f t="shared" si="98"/>
        <v>150036.37186192287</v>
      </c>
      <c r="L110" s="224">
        <f t="shared" si="98"/>
        <v>160774.91200000001</v>
      </c>
      <c r="M110" s="238" t="s">
        <v>171</v>
      </c>
      <c r="N110" s="4">
        <f t="shared" ref="N110:O110" si="99">N28+N46+N65+N91+N102+N108</f>
        <v>0</v>
      </c>
      <c r="O110" s="4">
        <f t="shared" si="99"/>
        <v>1821660.4838619225</v>
      </c>
      <c r="P110" s="4">
        <f t="shared" ref="P110:Q110" si="100">P28+P46+P65+P91+P102+P108</f>
        <v>1821660.4838619225</v>
      </c>
      <c r="Q110" s="4">
        <f t="shared" si="100"/>
        <v>1821660.4838619225</v>
      </c>
      <c r="R110" s="4">
        <f t="shared" ref="R110:W110" si="101">R28+R46+R65+R91+R102+R108</f>
        <v>0</v>
      </c>
      <c r="S110" s="4">
        <v>4059000</v>
      </c>
      <c r="T110" s="4">
        <v>-724373.39306467539</v>
      </c>
      <c r="U110" s="4">
        <v>5103628.8758333791</v>
      </c>
      <c r="V110" s="4">
        <f t="shared" si="54"/>
        <v>3281968.3919714568</v>
      </c>
      <c r="W110" s="4">
        <f t="shared" si="101"/>
        <v>0</v>
      </c>
      <c r="X110" s="225">
        <f>IFERROR(N110/Q110,0)</f>
        <v>0</v>
      </c>
    </row>
    <row r="111" spans="1:24" x14ac:dyDescent="0.3">
      <c r="A111" s="219"/>
      <c r="B111" s="219"/>
      <c r="C111" s="219"/>
      <c r="D111" s="219"/>
      <c r="E111" s="219"/>
      <c r="F111" s="219"/>
      <c r="G111" s="219"/>
      <c r="H111" s="226"/>
      <c r="I111" s="226"/>
      <c r="J111" s="226"/>
      <c r="K111" s="227"/>
      <c r="L111" s="227"/>
      <c r="M111" s="122"/>
      <c r="N111" s="81">
        <f t="shared" si="72"/>
        <v>0</v>
      </c>
      <c r="O111" s="81">
        <f t="shared" si="73"/>
        <v>0</v>
      </c>
      <c r="P111" s="81">
        <f t="shared" si="53"/>
        <v>0</v>
      </c>
      <c r="Q111" s="81">
        <v>0</v>
      </c>
      <c r="R111" s="81"/>
      <c r="S111" s="81"/>
      <c r="T111" s="81"/>
      <c r="U111" s="81">
        <v>0</v>
      </c>
      <c r="V111" s="81">
        <f t="shared" si="54"/>
        <v>0</v>
      </c>
      <c r="W111" s="81"/>
      <c r="X111" s="223"/>
    </row>
    <row r="112" spans="1:24" x14ac:dyDescent="0.3">
      <c r="A112" s="224">
        <f>A18+A110</f>
        <v>835015.87744000007</v>
      </c>
      <c r="B112" s="224">
        <f t="shared" ref="B112:L112" si="102">B18+B110</f>
        <v>835015.87744000007</v>
      </c>
      <c r="C112" s="224">
        <f t="shared" si="102"/>
        <v>844468.1235000001</v>
      </c>
      <c r="D112" s="224">
        <f t="shared" si="102"/>
        <v>844468.1235000001</v>
      </c>
      <c r="E112" s="224">
        <f t="shared" si="102"/>
        <v>847612.1235000001</v>
      </c>
      <c r="F112" s="224">
        <f t="shared" si="102"/>
        <v>844468.1235000001</v>
      </c>
      <c r="G112" s="224">
        <f t="shared" si="102"/>
        <v>854948.1235000001</v>
      </c>
      <c r="H112" s="224">
        <f t="shared" si="102"/>
        <v>1263373.3034999999</v>
      </c>
      <c r="I112" s="224">
        <f t="shared" si="102"/>
        <v>844468.1235000001</v>
      </c>
      <c r="J112" s="224">
        <f t="shared" si="102"/>
        <v>844468.1235000001</v>
      </c>
      <c r="K112" s="224">
        <f t="shared" si="102"/>
        <v>844467.57536192297</v>
      </c>
      <c r="L112" s="224">
        <f t="shared" si="102"/>
        <v>867922.35790000018</v>
      </c>
      <c r="M112" s="13" t="s">
        <v>240</v>
      </c>
      <c r="N112" s="4">
        <f t="shared" ref="N112:O112" si="103">N18+N110</f>
        <v>0</v>
      </c>
      <c r="O112" s="4">
        <f t="shared" si="103"/>
        <v>10570695.856141923</v>
      </c>
      <c r="P112" s="4">
        <f t="shared" ref="P112:Q112" si="104">P18+P110</f>
        <v>10570695.856141923</v>
      </c>
      <c r="Q112" s="4">
        <f t="shared" si="104"/>
        <v>10570695.856141923</v>
      </c>
      <c r="R112" s="224">
        <f t="shared" ref="R112" si="105">R28+R46+R65+R91+R102+R108+R18</f>
        <v>0</v>
      </c>
      <c r="S112" s="224">
        <v>4059000</v>
      </c>
      <c r="T112" s="224">
        <v>-724373.39306467539</v>
      </c>
      <c r="U112" s="224">
        <v>12860226.593191117</v>
      </c>
      <c r="V112" s="224">
        <f t="shared" si="54"/>
        <v>2289530.7370491941</v>
      </c>
      <c r="W112" s="4">
        <f t="shared" ref="W112" si="106">W18+W110</f>
        <v>0</v>
      </c>
      <c r="X112" s="225">
        <f t="shared" si="56"/>
        <v>0</v>
      </c>
    </row>
    <row r="113" spans="1:24" x14ac:dyDescent="0.3">
      <c r="A113" s="219"/>
      <c r="B113" s="219"/>
      <c r="C113" s="219"/>
      <c r="D113" s="219"/>
      <c r="E113" s="219"/>
      <c r="F113" s="219"/>
      <c r="G113" s="219"/>
      <c r="H113" s="226"/>
      <c r="I113" s="226"/>
      <c r="J113" s="226"/>
      <c r="K113" s="227"/>
      <c r="L113" s="227"/>
      <c r="M113" s="122"/>
      <c r="N113" s="81">
        <f t="shared" si="72"/>
        <v>0</v>
      </c>
      <c r="O113" s="81">
        <f t="shared" si="73"/>
        <v>0</v>
      </c>
      <c r="P113" s="81">
        <f t="shared" si="53"/>
        <v>0</v>
      </c>
      <c r="Q113" s="81">
        <v>0</v>
      </c>
      <c r="R113" s="81"/>
      <c r="S113" s="81"/>
      <c r="T113" s="81"/>
      <c r="U113" s="81">
        <v>0</v>
      </c>
      <c r="V113" s="81">
        <f t="shared" si="54"/>
        <v>0</v>
      </c>
      <c r="W113" s="81"/>
      <c r="X113" s="223"/>
    </row>
    <row r="114" spans="1:24" x14ac:dyDescent="0.3">
      <c r="A114" s="228">
        <f t="shared" ref="A114:L125" si="107">$Q114/12</f>
        <v>0</v>
      </c>
      <c r="B114" s="228">
        <f t="shared" si="107"/>
        <v>0</v>
      </c>
      <c r="C114" s="228">
        <f t="shared" si="107"/>
        <v>0</v>
      </c>
      <c r="D114" s="228">
        <f t="shared" si="107"/>
        <v>0</v>
      </c>
      <c r="E114" s="228">
        <f t="shared" si="107"/>
        <v>0</v>
      </c>
      <c r="F114" s="228">
        <f t="shared" si="107"/>
        <v>0</v>
      </c>
      <c r="G114" s="228">
        <f t="shared" si="107"/>
        <v>0</v>
      </c>
      <c r="H114" s="228">
        <f t="shared" si="107"/>
        <v>0</v>
      </c>
      <c r="I114" s="228">
        <f t="shared" si="107"/>
        <v>0</v>
      </c>
      <c r="J114" s="228">
        <f t="shared" si="107"/>
        <v>0</v>
      </c>
      <c r="K114" s="228">
        <f t="shared" si="107"/>
        <v>0</v>
      </c>
      <c r="L114" s="228">
        <f t="shared" si="107"/>
        <v>0</v>
      </c>
      <c r="M114" s="238" t="s">
        <v>491</v>
      </c>
      <c r="N114" s="8">
        <f t="shared" ref="N114:N125" si="108">SUM(0)</f>
        <v>0</v>
      </c>
      <c r="O114" s="8">
        <f t="shared" ref="O114:O125" si="109">SUM(A114:L114)</f>
        <v>0</v>
      </c>
      <c r="P114" s="8">
        <f t="shared" si="53"/>
        <v>0</v>
      </c>
      <c r="Q114" s="8">
        <v>0</v>
      </c>
      <c r="R114" s="8">
        <f t="shared" ref="R114:R125" si="110">Q114-P114</f>
        <v>0</v>
      </c>
      <c r="S114" s="8"/>
      <c r="T114" s="8"/>
      <c r="U114" s="8">
        <v>0</v>
      </c>
      <c r="V114" s="8">
        <f t="shared" si="54"/>
        <v>0</v>
      </c>
      <c r="W114" s="8"/>
      <c r="X114" s="215">
        <f t="shared" si="56"/>
        <v>0</v>
      </c>
    </row>
    <row r="115" spans="1:24" ht="55.2" x14ac:dyDescent="0.3">
      <c r="A115" s="168">
        <f t="shared" si="107"/>
        <v>0</v>
      </c>
      <c r="B115" s="168">
        <f t="shared" si="107"/>
        <v>0</v>
      </c>
      <c r="C115" s="168">
        <f t="shared" si="107"/>
        <v>0</v>
      </c>
      <c r="D115" s="168">
        <f t="shared" si="107"/>
        <v>0</v>
      </c>
      <c r="E115" s="168">
        <f t="shared" si="107"/>
        <v>0</v>
      </c>
      <c r="F115" s="168">
        <f t="shared" si="107"/>
        <v>0</v>
      </c>
      <c r="G115" s="168">
        <f t="shared" si="107"/>
        <v>0</v>
      </c>
      <c r="H115" s="168">
        <f t="shared" si="107"/>
        <v>0</v>
      </c>
      <c r="I115" s="168">
        <f t="shared" si="107"/>
        <v>0</v>
      </c>
      <c r="J115" s="168">
        <f t="shared" si="107"/>
        <v>0</v>
      </c>
      <c r="K115" s="168">
        <f t="shared" si="107"/>
        <v>0</v>
      </c>
      <c r="L115" s="168">
        <f t="shared" si="107"/>
        <v>0</v>
      </c>
      <c r="M115" s="13" t="s">
        <v>492</v>
      </c>
      <c r="N115" s="7">
        <f t="shared" si="108"/>
        <v>0</v>
      </c>
      <c r="O115" s="7">
        <f t="shared" si="109"/>
        <v>0</v>
      </c>
      <c r="P115" s="7">
        <f t="shared" si="53"/>
        <v>0</v>
      </c>
      <c r="Q115" s="7">
        <v>0</v>
      </c>
      <c r="R115" s="7">
        <f t="shared" si="110"/>
        <v>0</v>
      </c>
      <c r="S115" s="7"/>
      <c r="T115" s="7">
        <v>10081</v>
      </c>
      <c r="U115" s="7">
        <v>10081</v>
      </c>
      <c r="V115" s="7">
        <f t="shared" si="54"/>
        <v>10081</v>
      </c>
      <c r="W115" s="359" t="s">
        <v>398</v>
      </c>
      <c r="X115" s="216">
        <f t="shared" si="56"/>
        <v>0</v>
      </c>
    </row>
    <row r="116" spans="1:24" x14ac:dyDescent="0.3">
      <c r="A116" s="168">
        <f t="shared" si="107"/>
        <v>0</v>
      </c>
      <c r="B116" s="168">
        <f t="shared" si="107"/>
        <v>0</v>
      </c>
      <c r="C116" s="168">
        <f t="shared" si="107"/>
        <v>0</v>
      </c>
      <c r="D116" s="168">
        <f t="shared" si="107"/>
        <v>0</v>
      </c>
      <c r="E116" s="168">
        <f t="shared" si="107"/>
        <v>0</v>
      </c>
      <c r="F116" s="168">
        <f t="shared" si="107"/>
        <v>0</v>
      </c>
      <c r="G116" s="168">
        <f t="shared" si="107"/>
        <v>0</v>
      </c>
      <c r="H116" s="168">
        <f t="shared" si="107"/>
        <v>0</v>
      </c>
      <c r="I116" s="168">
        <f t="shared" si="107"/>
        <v>0</v>
      </c>
      <c r="J116" s="168">
        <f t="shared" si="107"/>
        <v>0</v>
      </c>
      <c r="K116" s="168">
        <f t="shared" si="107"/>
        <v>0</v>
      </c>
      <c r="L116" s="168">
        <f t="shared" si="107"/>
        <v>0</v>
      </c>
      <c r="M116" s="13" t="s">
        <v>493</v>
      </c>
      <c r="N116" s="7">
        <f t="shared" si="108"/>
        <v>0</v>
      </c>
      <c r="O116" s="7">
        <f t="shared" si="109"/>
        <v>0</v>
      </c>
      <c r="P116" s="7">
        <f t="shared" si="53"/>
        <v>0</v>
      </c>
      <c r="Q116" s="7">
        <v>0</v>
      </c>
      <c r="R116" s="7">
        <f t="shared" si="110"/>
        <v>0</v>
      </c>
      <c r="S116" s="7"/>
      <c r="T116" s="7"/>
      <c r="U116" s="7">
        <v>0</v>
      </c>
      <c r="V116" s="7">
        <f t="shared" si="54"/>
        <v>0</v>
      </c>
      <c r="W116" s="7"/>
      <c r="X116" s="216">
        <f t="shared" si="56"/>
        <v>0</v>
      </c>
    </row>
    <row r="117" spans="1:24" x14ac:dyDescent="0.3">
      <c r="A117" s="168">
        <f t="shared" si="107"/>
        <v>0</v>
      </c>
      <c r="B117" s="168">
        <f t="shared" si="107"/>
        <v>0</v>
      </c>
      <c r="C117" s="168">
        <f t="shared" si="107"/>
        <v>0</v>
      </c>
      <c r="D117" s="168">
        <f t="shared" si="107"/>
        <v>0</v>
      </c>
      <c r="E117" s="168">
        <f t="shared" si="107"/>
        <v>0</v>
      </c>
      <c r="F117" s="168">
        <f t="shared" si="107"/>
        <v>0</v>
      </c>
      <c r="G117" s="168">
        <f t="shared" si="107"/>
        <v>0</v>
      </c>
      <c r="H117" s="168">
        <f t="shared" si="107"/>
        <v>0</v>
      </c>
      <c r="I117" s="168">
        <f t="shared" si="107"/>
        <v>0</v>
      </c>
      <c r="J117" s="168">
        <f t="shared" si="107"/>
        <v>0</v>
      </c>
      <c r="K117" s="168">
        <f t="shared" si="107"/>
        <v>0</v>
      </c>
      <c r="L117" s="168">
        <f t="shared" si="107"/>
        <v>0</v>
      </c>
      <c r="M117" s="238" t="s">
        <v>494</v>
      </c>
      <c r="N117" s="7">
        <f t="shared" si="108"/>
        <v>0</v>
      </c>
      <c r="O117" s="7">
        <f t="shared" si="109"/>
        <v>0</v>
      </c>
      <c r="P117" s="7">
        <f t="shared" si="53"/>
        <v>0</v>
      </c>
      <c r="Q117" s="7">
        <v>0</v>
      </c>
      <c r="R117" s="7">
        <f t="shared" si="110"/>
        <v>0</v>
      </c>
      <c r="S117" s="7"/>
      <c r="T117" s="7"/>
      <c r="U117" s="7">
        <v>0</v>
      </c>
      <c r="V117" s="7">
        <f t="shared" si="54"/>
        <v>0</v>
      </c>
      <c r="W117" s="7"/>
      <c r="X117" s="216">
        <f t="shared" si="56"/>
        <v>0</v>
      </c>
    </row>
    <row r="118" spans="1:24" x14ac:dyDescent="0.3">
      <c r="A118" s="168">
        <f t="shared" si="107"/>
        <v>0</v>
      </c>
      <c r="B118" s="168">
        <f t="shared" si="107"/>
        <v>0</v>
      </c>
      <c r="C118" s="168">
        <f t="shared" si="107"/>
        <v>0</v>
      </c>
      <c r="D118" s="168">
        <f t="shared" si="107"/>
        <v>0</v>
      </c>
      <c r="E118" s="168">
        <f t="shared" si="107"/>
        <v>0</v>
      </c>
      <c r="F118" s="168">
        <f t="shared" si="107"/>
        <v>0</v>
      </c>
      <c r="G118" s="168">
        <f t="shared" si="107"/>
        <v>0</v>
      </c>
      <c r="H118" s="168">
        <f t="shared" si="107"/>
        <v>0</v>
      </c>
      <c r="I118" s="168">
        <f t="shared" si="107"/>
        <v>0</v>
      </c>
      <c r="J118" s="168">
        <f t="shared" si="107"/>
        <v>0</v>
      </c>
      <c r="K118" s="168">
        <f t="shared" si="107"/>
        <v>0</v>
      </c>
      <c r="L118" s="168">
        <f t="shared" si="107"/>
        <v>0</v>
      </c>
      <c r="M118" s="13" t="s">
        <v>495</v>
      </c>
      <c r="N118" s="7">
        <f t="shared" si="108"/>
        <v>0</v>
      </c>
      <c r="O118" s="7">
        <f t="shared" si="109"/>
        <v>0</v>
      </c>
      <c r="P118" s="7">
        <f t="shared" si="53"/>
        <v>0</v>
      </c>
      <c r="Q118" s="7">
        <v>0</v>
      </c>
      <c r="R118" s="7">
        <f t="shared" si="110"/>
        <v>0</v>
      </c>
      <c r="S118" s="7"/>
      <c r="T118" s="7"/>
      <c r="U118" s="7">
        <v>0</v>
      </c>
      <c r="V118" s="7">
        <f t="shared" si="54"/>
        <v>0</v>
      </c>
      <c r="W118" s="7"/>
      <c r="X118" s="216">
        <f t="shared" si="56"/>
        <v>0</v>
      </c>
    </row>
    <row r="119" spans="1:24" x14ac:dyDescent="0.3">
      <c r="A119" s="168">
        <f t="shared" si="107"/>
        <v>0</v>
      </c>
      <c r="B119" s="168">
        <f t="shared" si="107"/>
        <v>0</v>
      </c>
      <c r="C119" s="168">
        <f t="shared" si="107"/>
        <v>0</v>
      </c>
      <c r="D119" s="168">
        <f t="shared" si="107"/>
        <v>0</v>
      </c>
      <c r="E119" s="168">
        <f t="shared" si="107"/>
        <v>0</v>
      </c>
      <c r="F119" s="168">
        <f t="shared" si="107"/>
        <v>0</v>
      </c>
      <c r="G119" s="168">
        <f t="shared" si="107"/>
        <v>0</v>
      </c>
      <c r="H119" s="168">
        <f t="shared" si="107"/>
        <v>0</v>
      </c>
      <c r="I119" s="168">
        <f t="shared" si="107"/>
        <v>0</v>
      </c>
      <c r="J119" s="168">
        <f t="shared" si="107"/>
        <v>0</v>
      </c>
      <c r="K119" s="168">
        <f t="shared" si="107"/>
        <v>0</v>
      </c>
      <c r="L119" s="168">
        <f t="shared" si="107"/>
        <v>0</v>
      </c>
      <c r="M119" s="13" t="s">
        <v>496</v>
      </c>
      <c r="N119" s="7">
        <f t="shared" si="108"/>
        <v>0</v>
      </c>
      <c r="O119" s="7">
        <f t="shared" si="109"/>
        <v>0</v>
      </c>
      <c r="P119" s="7">
        <f t="shared" si="53"/>
        <v>0</v>
      </c>
      <c r="Q119" s="7">
        <v>0</v>
      </c>
      <c r="R119" s="7">
        <f t="shared" si="110"/>
        <v>0</v>
      </c>
      <c r="S119" s="7"/>
      <c r="T119" s="7"/>
      <c r="U119" s="7">
        <v>0</v>
      </c>
      <c r="V119" s="7">
        <f t="shared" si="54"/>
        <v>0</v>
      </c>
      <c r="W119" s="7"/>
      <c r="X119" s="216">
        <f t="shared" si="56"/>
        <v>0</v>
      </c>
    </row>
    <row r="120" spans="1:24" x14ac:dyDescent="0.3">
      <c r="A120" s="168">
        <f t="shared" si="107"/>
        <v>0</v>
      </c>
      <c r="B120" s="168">
        <f t="shared" si="107"/>
        <v>0</v>
      </c>
      <c r="C120" s="168">
        <f t="shared" si="107"/>
        <v>0</v>
      </c>
      <c r="D120" s="168">
        <f t="shared" si="107"/>
        <v>0</v>
      </c>
      <c r="E120" s="168">
        <f t="shared" si="107"/>
        <v>0</v>
      </c>
      <c r="F120" s="168">
        <f t="shared" si="107"/>
        <v>0</v>
      </c>
      <c r="G120" s="168">
        <f t="shared" si="107"/>
        <v>0</v>
      </c>
      <c r="H120" s="168">
        <f t="shared" si="107"/>
        <v>0</v>
      </c>
      <c r="I120" s="168">
        <f t="shared" si="107"/>
        <v>0</v>
      </c>
      <c r="J120" s="168">
        <f t="shared" si="107"/>
        <v>0</v>
      </c>
      <c r="K120" s="168">
        <f t="shared" si="107"/>
        <v>0</v>
      </c>
      <c r="L120" s="168">
        <f t="shared" si="107"/>
        <v>0</v>
      </c>
      <c r="M120" s="238" t="s">
        <v>497</v>
      </c>
      <c r="N120" s="7">
        <f t="shared" si="108"/>
        <v>0</v>
      </c>
      <c r="O120" s="7">
        <f t="shared" si="109"/>
        <v>0</v>
      </c>
      <c r="P120" s="7">
        <f t="shared" si="53"/>
        <v>0</v>
      </c>
      <c r="Q120" s="7">
        <v>0</v>
      </c>
      <c r="R120" s="7">
        <f t="shared" si="110"/>
        <v>0</v>
      </c>
      <c r="S120" s="7"/>
      <c r="T120" s="7"/>
      <c r="U120" s="7">
        <v>0</v>
      </c>
      <c r="V120" s="7">
        <f t="shared" si="54"/>
        <v>0</v>
      </c>
      <c r="W120" s="7"/>
      <c r="X120" s="216">
        <f t="shared" si="56"/>
        <v>0</v>
      </c>
    </row>
    <row r="121" spans="1:24" x14ac:dyDescent="0.3">
      <c r="A121" s="168">
        <f t="shared" si="107"/>
        <v>0</v>
      </c>
      <c r="B121" s="168">
        <f t="shared" si="107"/>
        <v>0</v>
      </c>
      <c r="C121" s="168">
        <f t="shared" si="107"/>
        <v>0</v>
      </c>
      <c r="D121" s="168">
        <f t="shared" si="107"/>
        <v>0</v>
      </c>
      <c r="E121" s="168">
        <f t="shared" si="107"/>
        <v>0</v>
      </c>
      <c r="F121" s="168">
        <f t="shared" si="107"/>
        <v>0</v>
      </c>
      <c r="G121" s="168">
        <f t="shared" si="107"/>
        <v>0</v>
      </c>
      <c r="H121" s="168">
        <f t="shared" si="107"/>
        <v>0</v>
      </c>
      <c r="I121" s="168">
        <f t="shared" si="107"/>
        <v>0</v>
      </c>
      <c r="J121" s="168">
        <f t="shared" si="107"/>
        <v>0</v>
      </c>
      <c r="K121" s="168">
        <f t="shared" si="107"/>
        <v>0</v>
      </c>
      <c r="L121" s="168">
        <f t="shared" si="107"/>
        <v>0</v>
      </c>
      <c r="M121" s="13" t="s">
        <v>498</v>
      </c>
      <c r="N121" s="7">
        <f t="shared" si="108"/>
        <v>0</v>
      </c>
      <c r="O121" s="7">
        <f t="shared" si="109"/>
        <v>0</v>
      </c>
      <c r="P121" s="7">
        <f t="shared" si="53"/>
        <v>0</v>
      </c>
      <c r="Q121" s="7">
        <v>0</v>
      </c>
      <c r="R121" s="7">
        <f t="shared" si="110"/>
        <v>0</v>
      </c>
      <c r="S121" s="7"/>
      <c r="T121" s="7"/>
      <c r="U121" s="7">
        <v>0</v>
      </c>
      <c r="V121" s="7">
        <f t="shared" si="54"/>
        <v>0</v>
      </c>
      <c r="W121" s="7"/>
      <c r="X121" s="216">
        <f t="shared" si="56"/>
        <v>0</v>
      </c>
    </row>
    <row r="122" spans="1:24" x14ac:dyDescent="0.3">
      <c r="A122" s="168">
        <f t="shared" si="107"/>
        <v>0</v>
      </c>
      <c r="B122" s="168">
        <f t="shared" si="107"/>
        <v>0</v>
      </c>
      <c r="C122" s="168">
        <f t="shared" si="107"/>
        <v>0</v>
      </c>
      <c r="D122" s="168">
        <f t="shared" si="107"/>
        <v>0</v>
      </c>
      <c r="E122" s="168">
        <f t="shared" si="107"/>
        <v>0</v>
      </c>
      <c r="F122" s="168">
        <f t="shared" si="107"/>
        <v>0</v>
      </c>
      <c r="G122" s="168">
        <f t="shared" si="107"/>
        <v>0</v>
      </c>
      <c r="H122" s="168">
        <f t="shared" si="107"/>
        <v>0</v>
      </c>
      <c r="I122" s="168">
        <f t="shared" si="107"/>
        <v>0</v>
      </c>
      <c r="J122" s="168">
        <f t="shared" si="107"/>
        <v>0</v>
      </c>
      <c r="K122" s="168">
        <f t="shared" si="107"/>
        <v>0</v>
      </c>
      <c r="L122" s="168">
        <f t="shared" si="107"/>
        <v>0</v>
      </c>
      <c r="M122" s="13" t="s">
        <v>499</v>
      </c>
      <c r="N122" s="7">
        <f t="shared" si="108"/>
        <v>0</v>
      </c>
      <c r="O122" s="7">
        <f t="shared" si="109"/>
        <v>0</v>
      </c>
      <c r="P122" s="7">
        <f t="shared" si="53"/>
        <v>0</v>
      </c>
      <c r="Q122" s="7">
        <v>0</v>
      </c>
      <c r="R122" s="7">
        <f t="shared" si="110"/>
        <v>0</v>
      </c>
      <c r="S122" s="7"/>
      <c r="T122" s="7"/>
      <c r="U122" s="7">
        <v>0</v>
      </c>
      <c r="V122" s="7">
        <f t="shared" si="54"/>
        <v>0</v>
      </c>
      <c r="W122" s="7"/>
      <c r="X122" s="216">
        <f t="shared" si="56"/>
        <v>0</v>
      </c>
    </row>
    <row r="123" spans="1:24" x14ac:dyDescent="0.3">
      <c r="A123" s="168">
        <f t="shared" si="107"/>
        <v>0</v>
      </c>
      <c r="B123" s="168">
        <f t="shared" si="107"/>
        <v>0</v>
      </c>
      <c r="C123" s="168">
        <f t="shared" si="107"/>
        <v>0</v>
      </c>
      <c r="D123" s="168">
        <f t="shared" si="107"/>
        <v>0</v>
      </c>
      <c r="E123" s="168">
        <f t="shared" si="107"/>
        <v>0</v>
      </c>
      <c r="F123" s="168">
        <f t="shared" si="107"/>
        <v>0</v>
      </c>
      <c r="G123" s="168">
        <f t="shared" si="107"/>
        <v>0</v>
      </c>
      <c r="H123" s="168">
        <f t="shared" si="107"/>
        <v>0</v>
      </c>
      <c r="I123" s="168">
        <f t="shared" si="107"/>
        <v>0</v>
      </c>
      <c r="J123" s="168">
        <f t="shared" si="107"/>
        <v>0</v>
      </c>
      <c r="K123" s="168">
        <f t="shared" si="107"/>
        <v>0</v>
      </c>
      <c r="L123" s="168">
        <f t="shared" si="107"/>
        <v>0</v>
      </c>
      <c r="M123" s="238" t="s">
        <v>500</v>
      </c>
      <c r="N123" s="7">
        <f t="shared" si="108"/>
        <v>0</v>
      </c>
      <c r="O123" s="7">
        <f t="shared" si="109"/>
        <v>0</v>
      </c>
      <c r="P123" s="7">
        <f t="shared" si="53"/>
        <v>0</v>
      </c>
      <c r="Q123" s="7">
        <v>0</v>
      </c>
      <c r="R123" s="7">
        <f t="shared" si="110"/>
        <v>0</v>
      </c>
      <c r="S123" s="7"/>
      <c r="T123" s="7"/>
      <c r="U123" s="7">
        <v>0</v>
      </c>
      <c r="V123" s="7">
        <f t="shared" si="54"/>
        <v>0</v>
      </c>
      <c r="W123" s="7"/>
      <c r="X123" s="216">
        <f t="shared" si="56"/>
        <v>0</v>
      </c>
    </row>
    <row r="124" spans="1:24" x14ac:dyDescent="0.3">
      <c r="A124" s="168">
        <f t="shared" si="107"/>
        <v>0</v>
      </c>
      <c r="B124" s="168">
        <f t="shared" si="107"/>
        <v>0</v>
      </c>
      <c r="C124" s="168">
        <f t="shared" si="107"/>
        <v>0</v>
      </c>
      <c r="D124" s="168">
        <f t="shared" si="107"/>
        <v>0</v>
      </c>
      <c r="E124" s="168">
        <f t="shared" si="107"/>
        <v>0</v>
      </c>
      <c r="F124" s="168">
        <f t="shared" si="107"/>
        <v>0</v>
      </c>
      <c r="G124" s="168">
        <f t="shared" si="107"/>
        <v>0</v>
      </c>
      <c r="H124" s="168">
        <f t="shared" si="107"/>
        <v>0</v>
      </c>
      <c r="I124" s="168">
        <f t="shared" si="107"/>
        <v>0</v>
      </c>
      <c r="J124" s="168">
        <f t="shared" si="107"/>
        <v>0</v>
      </c>
      <c r="K124" s="168">
        <f t="shared" si="107"/>
        <v>0</v>
      </c>
      <c r="L124" s="168">
        <f t="shared" si="107"/>
        <v>0</v>
      </c>
      <c r="M124" s="13" t="s">
        <v>501</v>
      </c>
      <c r="N124" s="7">
        <f t="shared" si="108"/>
        <v>0</v>
      </c>
      <c r="O124" s="7">
        <f t="shared" si="109"/>
        <v>0</v>
      </c>
      <c r="P124" s="7">
        <f t="shared" si="53"/>
        <v>0</v>
      </c>
      <c r="Q124" s="7">
        <v>0</v>
      </c>
      <c r="R124" s="7">
        <f t="shared" si="110"/>
        <v>0</v>
      </c>
      <c r="S124" s="7"/>
      <c r="T124" s="7"/>
      <c r="U124" s="7">
        <v>0</v>
      </c>
      <c r="V124" s="7">
        <f t="shared" si="54"/>
        <v>0</v>
      </c>
      <c r="W124" s="7"/>
      <c r="X124" s="216">
        <f t="shared" si="56"/>
        <v>0</v>
      </c>
    </row>
    <row r="125" spans="1:24" x14ac:dyDescent="0.3">
      <c r="A125" s="217">
        <f t="shared" si="107"/>
        <v>0</v>
      </c>
      <c r="B125" s="217">
        <f t="shared" si="107"/>
        <v>0</v>
      </c>
      <c r="C125" s="217">
        <f t="shared" si="107"/>
        <v>0</v>
      </c>
      <c r="D125" s="217">
        <f t="shared" si="107"/>
        <v>0</v>
      </c>
      <c r="E125" s="217">
        <f t="shared" si="107"/>
        <v>0</v>
      </c>
      <c r="F125" s="217">
        <f t="shared" si="107"/>
        <v>0</v>
      </c>
      <c r="G125" s="217">
        <f t="shared" si="107"/>
        <v>0</v>
      </c>
      <c r="H125" s="217">
        <f t="shared" si="107"/>
        <v>0</v>
      </c>
      <c r="I125" s="217">
        <f t="shared" si="107"/>
        <v>0</v>
      </c>
      <c r="J125" s="217">
        <f t="shared" si="107"/>
        <v>0</v>
      </c>
      <c r="K125" s="217">
        <f t="shared" si="107"/>
        <v>0</v>
      </c>
      <c r="L125" s="217">
        <f t="shared" si="107"/>
        <v>0</v>
      </c>
      <c r="M125" s="13" t="s">
        <v>184</v>
      </c>
      <c r="N125" s="11">
        <f t="shared" si="108"/>
        <v>0</v>
      </c>
      <c r="O125" s="11">
        <f t="shared" si="109"/>
        <v>0</v>
      </c>
      <c r="P125" s="11">
        <f t="shared" si="53"/>
        <v>0</v>
      </c>
      <c r="Q125" s="11">
        <v>0</v>
      </c>
      <c r="R125" s="11">
        <f t="shared" si="110"/>
        <v>0</v>
      </c>
      <c r="S125" s="11"/>
      <c r="T125" s="11"/>
      <c r="U125" s="11">
        <v>0</v>
      </c>
      <c r="V125" s="11">
        <f t="shared" si="54"/>
        <v>0</v>
      </c>
      <c r="W125" s="11"/>
      <c r="X125" s="218">
        <f t="shared" si="56"/>
        <v>0</v>
      </c>
    </row>
    <row r="126" spans="1:24" x14ac:dyDescent="0.3">
      <c r="A126" s="168"/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3"/>
      <c r="N126" s="7">
        <f t="shared" si="72"/>
        <v>0</v>
      </c>
      <c r="O126" s="7">
        <f t="shared" si="73"/>
        <v>0</v>
      </c>
      <c r="P126" s="7">
        <f t="shared" si="53"/>
        <v>0</v>
      </c>
      <c r="Q126" s="7">
        <v>0</v>
      </c>
      <c r="R126" s="7"/>
      <c r="S126" s="7"/>
      <c r="T126" s="7"/>
      <c r="U126" s="7">
        <v>0</v>
      </c>
      <c r="V126" s="7">
        <f t="shared" si="54"/>
        <v>0</v>
      </c>
      <c r="W126" s="7"/>
      <c r="X126" s="216"/>
    </row>
    <row r="127" spans="1:24" x14ac:dyDescent="0.3">
      <c r="A127" s="224">
        <f>SUM(A114:A125)</f>
        <v>0</v>
      </c>
      <c r="B127" s="224">
        <f t="shared" ref="B127:L127" si="111">SUM(B114:B125)</f>
        <v>0</v>
      </c>
      <c r="C127" s="224">
        <f t="shared" si="111"/>
        <v>0</v>
      </c>
      <c r="D127" s="224">
        <f t="shared" si="111"/>
        <v>0</v>
      </c>
      <c r="E127" s="224">
        <f t="shared" si="111"/>
        <v>0</v>
      </c>
      <c r="F127" s="224">
        <f t="shared" si="111"/>
        <v>0</v>
      </c>
      <c r="G127" s="224">
        <f t="shared" si="111"/>
        <v>0</v>
      </c>
      <c r="H127" s="224">
        <f t="shared" si="111"/>
        <v>0</v>
      </c>
      <c r="I127" s="224">
        <f t="shared" si="111"/>
        <v>0</v>
      </c>
      <c r="J127" s="224">
        <f t="shared" si="111"/>
        <v>0</v>
      </c>
      <c r="K127" s="224">
        <f t="shared" si="111"/>
        <v>0</v>
      </c>
      <c r="L127" s="224">
        <f t="shared" si="111"/>
        <v>0</v>
      </c>
      <c r="M127" s="13" t="s">
        <v>185</v>
      </c>
      <c r="N127" s="4">
        <f t="shared" ref="N127:O127" si="112">SUM(N114:N125)</f>
        <v>0</v>
      </c>
      <c r="O127" s="4">
        <f t="shared" si="112"/>
        <v>0</v>
      </c>
      <c r="P127" s="4">
        <f t="shared" ref="P127" si="113">SUM(P114:P125)</f>
        <v>0</v>
      </c>
      <c r="Q127" s="4">
        <v>0</v>
      </c>
      <c r="R127" s="4">
        <f t="shared" ref="R127:W127" si="114">SUM(R114:R125)</f>
        <v>0</v>
      </c>
      <c r="S127" s="4">
        <v>0</v>
      </c>
      <c r="T127" s="4">
        <v>10081</v>
      </c>
      <c r="U127" s="4">
        <v>10081</v>
      </c>
      <c r="V127" s="4">
        <f t="shared" si="54"/>
        <v>10081</v>
      </c>
      <c r="W127" s="4">
        <f t="shared" si="114"/>
        <v>0</v>
      </c>
      <c r="X127" s="225">
        <f t="shared" si="56"/>
        <v>0</v>
      </c>
    </row>
    <row r="128" spans="1:24" x14ac:dyDescent="0.3">
      <c r="A128" s="219"/>
      <c r="B128" s="219"/>
      <c r="C128" s="219"/>
      <c r="D128" s="219"/>
      <c r="E128" s="220"/>
      <c r="F128" s="220"/>
      <c r="G128" s="220"/>
      <c r="H128" s="220"/>
      <c r="I128" s="226"/>
      <c r="J128" s="226"/>
      <c r="K128" s="227"/>
      <c r="L128" s="227"/>
      <c r="M128" s="122"/>
      <c r="N128" s="86">
        <f t="shared" si="72"/>
        <v>0</v>
      </c>
      <c r="O128" s="86">
        <f t="shared" si="73"/>
        <v>0</v>
      </c>
      <c r="P128" s="86">
        <f t="shared" si="53"/>
        <v>0</v>
      </c>
      <c r="Q128" s="81">
        <v>0</v>
      </c>
      <c r="R128" s="81"/>
      <c r="S128" s="81"/>
      <c r="T128" s="81"/>
      <c r="U128" s="81">
        <v>0</v>
      </c>
      <c r="V128" s="81">
        <f t="shared" si="54"/>
        <v>0</v>
      </c>
      <c r="W128" s="81"/>
      <c r="X128" s="223"/>
    </row>
    <row r="129" spans="1:24" x14ac:dyDescent="0.3">
      <c r="A129" s="224">
        <f>A112+A127</f>
        <v>835015.87744000007</v>
      </c>
      <c r="B129" s="224">
        <f t="shared" ref="B129:L129" si="115">B112+B127</f>
        <v>835015.87744000007</v>
      </c>
      <c r="C129" s="224">
        <f t="shared" si="115"/>
        <v>844468.1235000001</v>
      </c>
      <c r="D129" s="224">
        <f t="shared" si="115"/>
        <v>844468.1235000001</v>
      </c>
      <c r="E129" s="224">
        <f t="shared" si="115"/>
        <v>847612.1235000001</v>
      </c>
      <c r="F129" s="224">
        <f t="shared" si="115"/>
        <v>844468.1235000001</v>
      </c>
      <c r="G129" s="224">
        <f t="shared" si="115"/>
        <v>854948.1235000001</v>
      </c>
      <c r="H129" s="224">
        <f t="shared" si="115"/>
        <v>1263373.3034999999</v>
      </c>
      <c r="I129" s="224">
        <f t="shared" si="115"/>
        <v>844468.1235000001</v>
      </c>
      <c r="J129" s="224">
        <f t="shared" si="115"/>
        <v>844468.1235000001</v>
      </c>
      <c r="K129" s="224">
        <f>K112+K127</f>
        <v>844467.57536192297</v>
      </c>
      <c r="L129" s="224">
        <f t="shared" si="115"/>
        <v>867922.35790000018</v>
      </c>
      <c r="M129" s="13" t="s">
        <v>186</v>
      </c>
      <c r="N129" s="4">
        <f t="shared" ref="N129:O129" si="116">N112+N127</f>
        <v>0</v>
      </c>
      <c r="O129" s="4">
        <f t="shared" si="116"/>
        <v>10570695.856141923</v>
      </c>
      <c r="P129" s="4">
        <f t="shared" ref="P129:R129" si="117">P112+P127</f>
        <v>10570695.856141923</v>
      </c>
      <c r="Q129" s="4">
        <f t="shared" si="117"/>
        <v>10570695.856141923</v>
      </c>
      <c r="R129" s="4">
        <f t="shared" si="117"/>
        <v>0</v>
      </c>
      <c r="S129" s="4">
        <v>4059000</v>
      </c>
      <c r="T129" s="4">
        <v>-714292.39306467539</v>
      </c>
      <c r="U129" s="4">
        <v>12870307.593191117</v>
      </c>
      <c r="V129" s="4">
        <f t="shared" si="54"/>
        <v>2299611.7370491941</v>
      </c>
      <c r="W129" s="4">
        <f>W112+W127</f>
        <v>0</v>
      </c>
      <c r="X129" s="225">
        <f>IFERROR(N129/Q129,0)</f>
        <v>0</v>
      </c>
    </row>
    <row r="131" spans="1:24" x14ac:dyDescent="0.3">
      <c r="Q131" s="167"/>
      <c r="R131" s="167"/>
      <c r="T131" s="167"/>
      <c r="U131" s="167"/>
      <c r="V131" s="167"/>
      <c r="W131" s="167"/>
      <c r="X131" s="167"/>
    </row>
    <row r="132" spans="1:24" x14ac:dyDescent="0.3">
      <c r="Q132" s="167"/>
      <c r="R132" s="167"/>
      <c r="T132" s="167"/>
      <c r="U132" s="167"/>
      <c r="V132" s="167"/>
      <c r="W132" s="167"/>
      <c r="X132" s="167"/>
    </row>
    <row r="134" spans="1:24" x14ac:dyDescent="0.3">
      <c r="J134" s="318"/>
    </row>
  </sheetData>
  <mergeCells count="3">
    <mergeCell ref="A3:L3"/>
    <mergeCell ref="M4:M5"/>
    <mergeCell ref="N3:W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AC261"/>
  <sheetViews>
    <sheetView zoomScale="60" zoomScaleNormal="60" workbookViewId="0">
      <pane xSplit="13" ySplit="6" topLeftCell="N106" activePane="bottomRight" state="frozen"/>
      <selection pane="topRight" activeCell="N1" sqref="N1"/>
      <selection pane="bottomLeft" activeCell="A7" sqref="A7"/>
      <selection pane="bottomRight" activeCell="P129" sqref="P129:Q129"/>
    </sheetView>
  </sheetViews>
  <sheetFormatPr defaultRowHeight="14.4" x14ac:dyDescent="0.3"/>
  <cols>
    <col min="1" max="1" width="15.33203125" customWidth="1"/>
    <col min="2" max="2" width="14.88671875" customWidth="1"/>
    <col min="3" max="3" width="13.6640625" bestFit="1" customWidth="1"/>
    <col min="4" max="4" width="16.88671875" bestFit="1" customWidth="1"/>
    <col min="5" max="7" width="13.6640625" bestFit="1" customWidth="1"/>
    <col min="8" max="8" width="15.44140625" customWidth="1"/>
    <col min="9" max="9" width="13.6640625" bestFit="1" customWidth="1"/>
    <col min="10" max="10" width="14.109375" customWidth="1"/>
    <col min="11" max="12" width="13.6640625" bestFit="1" customWidth="1"/>
    <col min="13" max="13" width="75" bestFit="1" customWidth="1"/>
    <col min="14" max="14" width="20.33203125" style="167" bestFit="1" customWidth="1"/>
    <col min="15" max="15" width="13.6640625" style="167" customWidth="1"/>
    <col min="16" max="16" width="18.33203125" style="167" customWidth="1"/>
    <col min="17" max="17" width="18" style="167" bestFit="1" customWidth="1"/>
    <col min="18" max="18" width="13.6640625" style="167" hidden="1" customWidth="1"/>
    <col min="19" max="19" width="15.33203125" style="167" hidden="1" customWidth="1"/>
    <col min="20" max="20" width="13.6640625" style="167" hidden="1" customWidth="1"/>
    <col min="21" max="21" width="19.44140625" style="167" hidden="1" customWidth="1"/>
    <col min="22" max="22" width="13.6640625" style="167" hidden="1" customWidth="1"/>
    <col min="23" max="23" width="64.33203125" style="354" hidden="1" customWidth="1"/>
    <col min="24" max="24" width="10.109375" customWidth="1"/>
    <col min="26" max="26" width="14.33203125" style="167" bestFit="1" customWidth="1"/>
    <col min="27" max="27" width="13.33203125" style="167" customWidth="1"/>
    <col min="29" max="29" width="11.33203125" bestFit="1" customWidth="1"/>
  </cols>
  <sheetData>
    <row r="3" spans="1:27" x14ac:dyDescent="0.3">
      <c r="A3" s="426" t="s">
        <v>231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8"/>
      <c r="M3" s="14" t="s">
        <v>69</v>
      </c>
      <c r="N3" s="355" t="s">
        <v>226</v>
      </c>
      <c r="O3" s="356"/>
      <c r="P3" s="356"/>
      <c r="Q3" s="356"/>
      <c r="R3" s="356"/>
      <c r="S3" s="356"/>
      <c r="T3" s="356"/>
      <c r="U3" s="356"/>
      <c r="V3" s="356"/>
      <c r="W3" s="360"/>
      <c r="X3" s="125"/>
    </row>
    <row r="4" spans="1:27" s="354" customFormat="1" ht="41.4" x14ac:dyDescent="0.3">
      <c r="A4" s="125">
        <v>44287</v>
      </c>
      <c r="B4" s="125">
        <v>44317</v>
      </c>
      <c r="C4" s="125">
        <v>44348</v>
      </c>
      <c r="D4" s="125">
        <v>44378</v>
      </c>
      <c r="E4" s="125">
        <v>44409</v>
      </c>
      <c r="F4" s="125">
        <v>44440</v>
      </c>
      <c r="G4" s="125">
        <v>44470</v>
      </c>
      <c r="H4" s="125">
        <v>44501</v>
      </c>
      <c r="I4" s="125">
        <v>44531</v>
      </c>
      <c r="J4" s="125">
        <v>44562</v>
      </c>
      <c r="K4" s="125">
        <v>44593</v>
      </c>
      <c r="L4" s="125">
        <v>44621</v>
      </c>
      <c r="M4" s="357" t="s">
        <v>267</v>
      </c>
      <c r="N4" s="243" t="s">
        <v>411</v>
      </c>
      <c r="O4" s="243" t="s">
        <v>413</v>
      </c>
      <c r="P4" s="243" t="s">
        <v>407</v>
      </c>
      <c r="Q4" s="243" t="s">
        <v>407</v>
      </c>
      <c r="R4" s="243" t="s">
        <v>228</v>
      </c>
      <c r="S4" s="243" t="s">
        <v>378</v>
      </c>
      <c r="T4" s="243" t="s">
        <v>294</v>
      </c>
      <c r="U4" s="243" t="s">
        <v>74</v>
      </c>
      <c r="V4" s="243" t="s">
        <v>295</v>
      </c>
      <c r="W4" s="243" t="s">
        <v>229</v>
      </c>
      <c r="X4" s="243" t="s">
        <v>271</v>
      </c>
      <c r="Z4" s="167"/>
      <c r="AA4" s="167"/>
    </row>
    <row r="5" spans="1:27" s="167" customFormat="1" ht="80.400000000000006" customHeight="1" x14ac:dyDescent="0.3">
      <c r="A5" s="10" t="s">
        <v>1</v>
      </c>
      <c r="B5" s="10" t="s">
        <v>1</v>
      </c>
      <c r="C5" s="10" t="s">
        <v>1</v>
      </c>
      <c r="D5" s="10" t="s">
        <v>1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358"/>
      <c r="N5" s="201" t="s">
        <v>2</v>
      </c>
      <c r="O5" s="10" t="s">
        <v>1</v>
      </c>
      <c r="P5" s="289" t="s">
        <v>502</v>
      </c>
      <c r="Q5" s="289" t="s">
        <v>241</v>
      </c>
      <c r="R5" s="10" t="s">
        <v>399</v>
      </c>
      <c r="S5" s="289" t="s">
        <v>235</v>
      </c>
      <c r="T5" s="289" t="s">
        <v>235</v>
      </c>
      <c r="U5" s="289" t="s">
        <v>235</v>
      </c>
      <c r="V5" s="10" t="s">
        <v>399</v>
      </c>
      <c r="W5" s="10" t="s">
        <v>400</v>
      </c>
      <c r="X5" s="10" t="s">
        <v>13</v>
      </c>
    </row>
    <row r="6" spans="1:27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24"/>
      <c r="N6" s="1"/>
      <c r="O6" s="1"/>
      <c r="P6" s="1"/>
      <c r="Q6" s="1"/>
      <c r="R6" s="1"/>
      <c r="S6" s="1"/>
      <c r="T6" s="1"/>
      <c r="U6" s="1"/>
      <c r="V6" s="1"/>
      <c r="W6" s="361"/>
      <c r="X6" s="1"/>
    </row>
    <row r="7" spans="1:27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238" t="s">
        <v>414</v>
      </c>
      <c r="N7" s="8">
        <f>SUM(0)</f>
        <v>0</v>
      </c>
      <c r="O7" s="8">
        <f>SUM(A7:L7)</f>
        <v>0</v>
      </c>
      <c r="P7" s="8">
        <f>SUM(N7:O7)</f>
        <v>0</v>
      </c>
      <c r="Q7" s="8">
        <v>0</v>
      </c>
      <c r="R7" s="8">
        <f>Q7-P7</f>
        <v>0</v>
      </c>
      <c r="S7" s="8"/>
      <c r="T7" s="8"/>
      <c r="U7" s="8">
        <v>0</v>
      </c>
      <c r="V7" s="8">
        <f>U7-P7</f>
        <v>0</v>
      </c>
      <c r="W7" s="362"/>
      <c r="X7" s="158"/>
    </row>
    <row r="8" spans="1:27" x14ac:dyDescent="0.3">
      <c r="A8" s="7">
        <f>691006*1.058</f>
        <v>731084.348</v>
      </c>
      <c r="B8" s="7">
        <f t="shared" ref="B8:K8" si="0">691006*1.058</f>
        <v>731084.348</v>
      </c>
      <c r="C8" s="7">
        <f t="shared" si="0"/>
        <v>731084.348</v>
      </c>
      <c r="D8" s="7">
        <f t="shared" si="0"/>
        <v>731084.348</v>
      </c>
      <c r="E8" s="7">
        <f t="shared" si="0"/>
        <v>731084.348</v>
      </c>
      <c r="F8" s="7">
        <f t="shared" si="0"/>
        <v>731084.348</v>
      </c>
      <c r="G8" s="7">
        <f t="shared" si="0"/>
        <v>731084.348</v>
      </c>
      <c r="H8" s="7">
        <f t="shared" si="0"/>
        <v>731084.348</v>
      </c>
      <c r="I8" s="7">
        <f t="shared" si="0"/>
        <v>731084.348</v>
      </c>
      <c r="J8" s="7">
        <f t="shared" si="0"/>
        <v>731084.348</v>
      </c>
      <c r="K8" s="7">
        <f t="shared" si="0"/>
        <v>731084.348</v>
      </c>
      <c r="L8" s="7">
        <f>(691006*1.058)-154106</f>
        <v>576978.348</v>
      </c>
      <c r="M8" s="13" t="s">
        <v>415</v>
      </c>
      <c r="N8" s="7">
        <f t="shared" ref="N8:N16" si="1">SUM(0)</f>
        <v>0</v>
      </c>
      <c r="O8" s="7">
        <f t="shared" ref="O8:O16" si="2">SUM(A8:L8)</f>
        <v>8618906.1760000009</v>
      </c>
      <c r="P8" s="7">
        <f t="shared" ref="P8:P71" si="3">SUM(N8:O8)</f>
        <v>8618906.1760000009</v>
      </c>
      <c r="Q8" s="7">
        <v>8618906.1760000009</v>
      </c>
      <c r="R8" s="7">
        <f t="shared" ref="R8:R16" si="4">Q8-P8</f>
        <v>0</v>
      </c>
      <c r="S8" s="7">
        <v>1819000</v>
      </c>
      <c r="T8" s="7"/>
      <c r="U8" s="7">
        <v>9650776.6735300012</v>
      </c>
      <c r="V8" s="7">
        <f t="shared" ref="V8:V71" si="5">U8-P8</f>
        <v>1031870.4975300003</v>
      </c>
      <c r="W8" s="359" t="s">
        <v>405</v>
      </c>
      <c r="X8" s="159">
        <f>IFERROR(N8/Q8,0)</f>
        <v>0</v>
      </c>
      <c r="Z8" s="182"/>
      <c r="AA8" s="182"/>
    </row>
    <row r="9" spans="1:27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>
        <v>10947.408000000001</v>
      </c>
      <c r="M9" s="13" t="s">
        <v>416</v>
      </c>
      <c r="N9" s="7">
        <f t="shared" si="1"/>
        <v>0</v>
      </c>
      <c r="O9" s="7">
        <f t="shared" si="2"/>
        <v>10947.408000000001</v>
      </c>
      <c r="P9" s="7">
        <f t="shared" si="3"/>
        <v>10947.408000000001</v>
      </c>
      <c r="Q9" s="7">
        <v>10947.408000000001</v>
      </c>
      <c r="R9" s="7">
        <f t="shared" si="4"/>
        <v>0</v>
      </c>
      <c r="S9" s="7"/>
      <c r="T9" s="7"/>
      <c r="U9" s="7">
        <v>11755.241510295002</v>
      </c>
      <c r="V9" s="7">
        <f t="shared" si="5"/>
        <v>807.83351029500045</v>
      </c>
      <c r="W9" s="359"/>
      <c r="X9" s="159">
        <f t="shared" ref="X9:X72" si="6">IFERROR(N9/Q9,0)</f>
        <v>0</v>
      </c>
      <c r="Z9" s="182"/>
      <c r="AA9" s="182"/>
    </row>
    <row r="10" spans="1:27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3" t="s">
        <v>417</v>
      </c>
      <c r="N10" s="7">
        <f t="shared" si="1"/>
        <v>0</v>
      </c>
      <c r="O10" s="7">
        <f t="shared" si="2"/>
        <v>0</v>
      </c>
      <c r="P10" s="7">
        <f t="shared" si="3"/>
        <v>0</v>
      </c>
      <c r="Q10" s="7">
        <v>0</v>
      </c>
      <c r="R10" s="7">
        <f t="shared" si="4"/>
        <v>0</v>
      </c>
      <c r="S10" s="7"/>
      <c r="T10" s="7"/>
      <c r="U10" s="7">
        <v>0</v>
      </c>
      <c r="V10" s="7">
        <f t="shared" si="5"/>
        <v>0</v>
      </c>
      <c r="W10" s="359"/>
      <c r="X10" s="159">
        <f t="shared" si="6"/>
        <v>0</v>
      </c>
      <c r="Z10" s="182"/>
      <c r="AA10" s="182"/>
    </row>
    <row r="11" spans="1:27" x14ac:dyDescent="0.3">
      <c r="A11" s="7">
        <v>0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13" t="s">
        <v>418</v>
      </c>
      <c r="N11" s="7">
        <f t="shared" si="1"/>
        <v>0</v>
      </c>
      <c r="O11" s="7">
        <f t="shared" si="2"/>
        <v>0</v>
      </c>
      <c r="P11" s="7">
        <f t="shared" si="3"/>
        <v>0</v>
      </c>
      <c r="Q11" s="7">
        <v>0</v>
      </c>
      <c r="R11" s="7">
        <f t="shared" si="4"/>
        <v>0</v>
      </c>
      <c r="S11" s="7"/>
      <c r="T11" s="7"/>
      <c r="U11" s="7">
        <v>0</v>
      </c>
      <c r="V11" s="7">
        <f t="shared" si="5"/>
        <v>0</v>
      </c>
      <c r="W11" s="359"/>
      <c r="X11" s="159">
        <f t="shared" si="6"/>
        <v>0</v>
      </c>
      <c r="Z11" s="182"/>
      <c r="AA11" s="182"/>
    </row>
    <row r="12" spans="1:27" ht="27.6" x14ac:dyDescent="0.3">
      <c r="A12" s="7">
        <f>10551.95*1.048</f>
        <v>11058.443600000001</v>
      </c>
      <c r="B12" s="7">
        <f t="shared" ref="B12:L12" si="7">10551.95*1.048</f>
        <v>11058.443600000001</v>
      </c>
      <c r="C12" s="7">
        <f t="shared" si="7"/>
        <v>11058.443600000001</v>
      </c>
      <c r="D12" s="7">
        <f t="shared" si="7"/>
        <v>11058.443600000001</v>
      </c>
      <c r="E12" s="7">
        <f t="shared" si="7"/>
        <v>11058.443600000001</v>
      </c>
      <c r="F12" s="7">
        <f t="shared" si="7"/>
        <v>11058.443600000001</v>
      </c>
      <c r="G12" s="7">
        <f t="shared" si="7"/>
        <v>11058.443600000001</v>
      </c>
      <c r="H12" s="7">
        <f t="shared" si="7"/>
        <v>11058.443600000001</v>
      </c>
      <c r="I12" s="7">
        <f t="shared" si="7"/>
        <v>11058.443600000001</v>
      </c>
      <c r="J12" s="7">
        <f t="shared" si="7"/>
        <v>11058.443600000001</v>
      </c>
      <c r="K12" s="7">
        <f t="shared" si="7"/>
        <v>11058.443600000001</v>
      </c>
      <c r="L12" s="7">
        <f t="shared" si="7"/>
        <v>11058.443600000001</v>
      </c>
      <c r="M12" s="13" t="s">
        <v>419</v>
      </c>
      <c r="N12" s="7">
        <f t="shared" si="1"/>
        <v>0</v>
      </c>
      <c r="O12" s="7">
        <f t="shared" si="2"/>
        <v>132701.32320000001</v>
      </c>
      <c r="P12" s="7">
        <f t="shared" si="3"/>
        <v>132701.32320000001</v>
      </c>
      <c r="Q12" s="7">
        <v>132701.32320000001</v>
      </c>
      <c r="R12" s="7">
        <f t="shared" si="4"/>
        <v>0</v>
      </c>
      <c r="S12" s="7"/>
      <c r="T12" s="7">
        <v>456</v>
      </c>
      <c r="U12" s="7">
        <v>119681.84075999999</v>
      </c>
      <c r="V12" s="7">
        <f t="shared" si="5"/>
        <v>-13019.482440000022</v>
      </c>
      <c r="W12" s="359" t="s">
        <v>384</v>
      </c>
      <c r="X12" s="159">
        <f>IFERROR(N12/Q12,0)</f>
        <v>0</v>
      </c>
      <c r="Z12" s="182"/>
      <c r="AA12" s="182"/>
    </row>
    <row r="13" spans="1:27" x14ac:dyDescent="0.3">
      <c r="A13" s="7">
        <v>0</v>
      </c>
      <c r="B13" s="7">
        <f>4172.48*1.048</f>
        <v>4372.7590399999999</v>
      </c>
      <c r="C13" s="7">
        <f>16272.62*1.048</f>
        <v>17053.705760000001</v>
      </c>
      <c r="D13" s="7">
        <f>16481.27*1.048</f>
        <v>17272.37096</v>
      </c>
      <c r="E13" s="7">
        <f>11891.54*1.048</f>
        <v>12462.333920000001</v>
      </c>
      <c r="F13" s="7">
        <f>8657.87*1.048</f>
        <v>9073.4477600000009</v>
      </c>
      <c r="G13" s="7">
        <f>8032.02*1.048</f>
        <v>8417.5569600000017</v>
      </c>
      <c r="H13" s="7">
        <v>0</v>
      </c>
      <c r="I13" s="7">
        <f>19245.53*1.048</f>
        <v>20169.315439999998</v>
      </c>
      <c r="J13" s="7">
        <f>23000.74*1.048</f>
        <v>24104.775520000003</v>
      </c>
      <c r="K13" s="7">
        <f>23000*1.048</f>
        <v>24104</v>
      </c>
      <c r="L13" s="7">
        <f>22246*1.048</f>
        <v>23313.808000000001</v>
      </c>
      <c r="M13" s="13" t="s">
        <v>420</v>
      </c>
      <c r="N13" s="7">
        <f t="shared" si="1"/>
        <v>0</v>
      </c>
      <c r="O13" s="7">
        <f t="shared" si="2"/>
        <v>160344.07336000001</v>
      </c>
      <c r="P13" s="7">
        <f t="shared" si="3"/>
        <v>160344.07336000001</v>
      </c>
      <c r="Q13" s="7">
        <v>160344.07336000001</v>
      </c>
      <c r="R13" s="7">
        <f t="shared" si="4"/>
        <v>0</v>
      </c>
      <c r="S13" s="7"/>
      <c r="T13" s="7">
        <v>0</v>
      </c>
      <c r="U13" s="7">
        <v>153000</v>
      </c>
      <c r="V13" s="7">
        <f t="shared" si="5"/>
        <v>-7344.0733600000094</v>
      </c>
      <c r="W13" s="359"/>
      <c r="X13" s="159">
        <f>IFERROR(N13/Q13,0)</f>
        <v>0</v>
      </c>
      <c r="Z13" s="182"/>
      <c r="AA13" s="182"/>
    </row>
    <row r="14" spans="1:27" x14ac:dyDescent="0.3">
      <c r="A14" s="7"/>
      <c r="B14" s="7"/>
      <c r="C14" s="7"/>
      <c r="D14" s="7"/>
      <c r="E14" s="7"/>
      <c r="F14" s="7"/>
      <c r="G14" s="7"/>
      <c r="H14" s="7">
        <f>419231.66</f>
        <v>419231.66</v>
      </c>
      <c r="I14" s="7"/>
      <c r="J14" s="7"/>
      <c r="K14" s="7"/>
      <c r="L14" s="7"/>
      <c r="M14" s="13" t="s">
        <v>421</v>
      </c>
      <c r="N14" s="7">
        <f t="shared" si="1"/>
        <v>0</v>
      </c>
      <c r="O14" s="7">
        <f t="shared" si="2"/>
        <v>419231.66</v>
      </c>
      <c r="P14" s="7">
        <f t="shared" si="3"/>
        <v>419231.66</v>
      </c>
      <c r="Q14" s="7">
        <v>419231.66</v>
      </c>
      <c r="R14" s="7">
        <f t="shared" si="4"/>
        <v>0</v>
      </c>
      <c r="S14" s="7"/>
      <c r="T14" s="7"/>
      <c r="U14" s="7">
        <v>442170.62076730444</v>
      </c>
      <c r="V14" s="7">
        <f t="shared" si="5"/>
        <v>22938.960767304467</v>
      </c>
      <c r="X14" s="159">
        <f t="shared" si="6"/>
        <v>0</v>
      </c>
      <c r="Z14" s="182"/>
      <c r="AA14" s="182"/>
    </row>
    <row r="15" spans="1:27" ht="45" customHeight="1" x14ac:dyDescent="0.3">
      <c r="A15" s="7">
        <v>0</v>
      </c>
      <c r="B15" s="7"/>
      <c r="C15" s="7"/>
      <c r="D15" s="7"/>
      <c r="E15" s="7"/>
      <c r="F15" s="7"/>
      <c r="G15" s="7"/>
      <c r="H15">
        <f>3000*1.048</f>
        <v>3144</v>
      </c>
      <c r="I15" s="7"/>
      <c r="J15" s="7"/>
      <c r="K15" s="7"/>
      <c r="L15" s="7">
        <v>0</v>
      </c>
      <c r="M15" s="13" t="s">
        <v>422</v>
      </c>
      <c r="N15" s="7">
        <f t="shared" si="1"/>
        <v>0</v>
      </c>
      <c r="O15" s="7">
        <f t="shared" si="2"/>
        <v>3144</v>
      </c>
      <c r="P15" s="7">
        <f t="shared" si="3"/>
        <v>3144</v>
      </c>
      <c r="Q15" s="7">
        <v>3144</v>
      </c>
      <c r="R15" s="7">
        <f t="shared" si="4"/>
        <v>0</v>
      </c>
      <c r="S15" s="7"/>
      <c r="T15" s="7">
        <v>-26478.395</v>
      </c>
      <c r="U15" s="7">
        <v>18521.605</v>
      </c>
      <c r="V15" s="258">
        <f t="shared" si="5"/>
        <v>15377.605</v>
      </c>
      <c r="W15" s="359" t="s">
        <v>383</v>
      </c>
      <c r="X15" s="159">
        <f t="shared" si="6"/>
        <v>0</v>
      </c>
      <c r="Z15" s="182"/>
      <c r="AA15" s="182"/>
    </row>
    <row r="16" spans="1:27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3" t="s">
        <v>423</v>
      </c>
      <c r="N16" s="11">
        <f t="shared" si="1"/>
        <v>0</v>
      </c>
      <c r="O16" s="11">
        <f t="shared" si="2"/>
        <v>0</v>
      </c>
      <c r="P16" s="11">
        <f t="shared" si="3"/>
        <v>0</v>
      </c>
      <c r="Q16" s="11">
        <v>0</v>
      </c>
      <c r="R16" s="11">
        <f t="shared" si="4"/>
        <v>0</v>
      </c>
      <c r="S16" s="11"/>
      <c r="T16" s="11"/>
      <c r="U16" s="11">
        <v>0</v>
      </c>
      <c r="V16" s="11">
        <f t="shared" si="5"/>
        <v>0</v>
      </c>
      <c r="W16" s="363"/>
      <c r="X16" s="160">
        <f t="shared" si="6"/>
        <v>0</v>
      </c>
      <c r="Z16" s="182"/>
      <c r="AA16" s="182"/>
    </row>
    <row r="17" spans="1:29" x14ac:dyDescent="0.3">
      <c r="A17" s="81"/>
      <c r="B17" s="81"/>
      <c r="C17" s="81"/>
      <c r="D17" s="85"/>
      <c r="E17" s="83"/>
      <c r="F17" s="83"/>
      <c r="G17" s="83"/>
      <c r="H17" s="83"/>
      <c r="I17" s="83"/>
      <c r="J17" s="83"/>
      <c r="K17" s="84"/>
      <c r="L17" s="84"/>
      <c r="M17" s="13"/>
      <c r="N17" s="83">
        <f t="shared" ref="N17:N66" si="8">SUM(A17:J17)</f>
        <v>0</v>
      </c>
      <c r="O17" s="83">
        <f t="shared" ref="O17:O66" si="9">SUM(K17:L17)</f>
        <v>0</v>
      </c>
      <c r="P17" s="83">
        <f t="shared" si="3"/>
        <v>0</v>
      </c>
      <c r="Q17" s="83">
        <v>0</v>
      </c>
      <c r="R17" s="81"/>
      <c r="S17" s="81"/>
      <c r="T17" s="81"/>
      <c r="U17" s="81">
        <v>0</v>
      </c>
      <c r="V17" s="81">
        <f t="shared" si="5"/>
        <v>0</v>
      </c>
      <c r="W17" s="364"/>
      <c r="X17" s="204">
        <f t="shared" si="6"/>
        <v>0</v>
      </c>
      <c r="Z17" s="182"/>
      <c r="AA17" s="182"/>
    </row>
    <row r="18" spans="1:29" x14ac:dyDescent="0.3">
      <c r="A18" s="4">
        <f>SUM(A7:A16)</f>
        <v>742142.7916</v>
      </c>
      <c r="B18" s="4">
        <f t="shared" ref="B18:L18" si="10">SUM(B7:B16)</f>
        <v>746515.55064000003</v>
      </c>
      <c r="C18" s="4">
        <f t="shared" si="10"/>
        <v>759196.49736000004</v>
      </c>
      <c r="D18" s="4">
        <f t="shared" si="10"/>
        <v>759415.16255999997</v>
      </c>
      <c r="E18" s="4">
        <f t="shared" si="10"/>
        <v>754605.12552</v>
      </c>
      <c r="F18" s="4">
        <f t="shared" si="10"/>
        <v>751216.23936000001</v>
      </c>
      <c r="G18" s="4">
        <f t="shared" si="10"/>
        <v>750560.34855999995</v>
      </c>
      <c r="H18" s="4">
        <f t="shared" si="10"/>
        <v>1164518.4516</v>
      </c>
      <c r="I18" s="4">
        <f t="shared" si="10"/>
        <v>762312.10704000003</v>
      </c>
      <c r="J18" s="4">
        <f t="shared" si="10"/>
        <v>766247.56712000002</v>
      </c>
      <c r="K18" s="4">
        <f t="shared" si="10"/>
        <v>766246.7916</v>
      </c>
      <c r="L18" s="4">
        <f t="shared" si="10"/>
        <v>622298.00760000001</v>
      </c>
      <c r="M18" s="13" t="s">
        <v>89</v>
      </c>
      <c r="N18" s="4">
        <f t="shared" ref="N18:O18" si="11">SUM(N7:N17)</f>
        <v>0</v>
      </c>
      <c r="O18" s="4">
        <f t="shared" si="11"/>
        <v>9345274.6405600011</v>
      </c>
      <c r="P18" s="4">
        <f t="shared" ref="P18:Q18" si="12">SUM(P7:P17)</f>
        <v>9345274.6405600011</v>
      </c>
      <c r="Q18" s="4">
        <f t="shared" si="12"/>
        <v>9345274.6405600011</v>
      </c>
      <c r="R18" s="4">
        <f t="shared" ref="R18:X18" si="13">SUM(R7:R16)</f>
        <v>0</v>
      </c>
      <c r="S18" s="4">
        <v>1819000</v>
      </c>
      <c r="T18" s="4">
        <v>-26022.395</v>
      </c>
      <c r="U18" s="4">
        <v>10395905.981567601</v>
      </c>
      <c r="V18" s="4">
        <f t="shared" si="5"/>
        <v>1050631.3410075996</v>
      </c>
      <c r="W18" s="365">
        <f t="shared" si="13"/>
        <v>0</v>
      </c>
      <c r="X18" s="4">
        <f t="shared" si="13"/>
        <v>0</v>
      </c>
      <c r="Z18" s="182">
        <v>9273309.9407256022</v>
      </c>
      <c r="AA18" s="182">
        <f>N18-Z18</f>
        <v>-9273309.9407256022</v>
      </c>
      <c r="AC18" s="182"/>
    </row>
    <row r="19" spans="1:29" x14ac:dyDescent="0.3">
      <c r="A19" s="81"/>
      <c r="B19" s="81"/>
      <c r="C19" s="81"/>
      <c r="D19" s="82"/>
      <c r="E19" s="86"/>
      <c r="F19" s="86"/>
      <c r="G19" s="86"/>
      <c r="H19" s="87"/>
      <c r="I19" s="87"/>
      <c r="J19" s="87"/>
      <c r="K19" s="88"/>
      <c r="L19" s="88"/>
      <c r="M19" s="122"/>
      <c r="N19" s="86">
        <f t="shared" si="8"/>
        <v>0</v>
      </c>
      <c r="O19" s="86">
        <f t="shared" si="9"/>
        <v>0</v>
      </c>
      <c r="P19" s="86">
        <f t="shared" si="3"/>
        <v>0</v>
      </c>
      <c r="Q19" s="86">
        <v>0</v>
      </c>
      <c r="R19" s="81"/>
      <c r="S19" s="81"/>
      <c r="T19" s="81"/>
      <c r="U19" s="81">
        <v>0</v>
      </c>
      <c r="V19" s="81">
        <f t="shared" si="5"/>
        <v>0</v>
      </c>
      <c r="W19" s="364"/>
      <c r="X19" s="204">
        <f t="shared" si="6"/>
        <v>0</v>
      </c>
      <c r="Z19" s="182"/>
      <c r="AA19" s="182"/>
    </row>
    <row r="20" spans="1:29" x14ac:dyDescent="0.3">
      <c r="A20" s="183">
        <f t="shared" ref="A20:L26" si="14">$Q20/12</f>
        <v>0</v>
      </c>
      <c r="B20" s="183">
        <f t="shared" si="14"/>
        <v>0</v>
      </c>
      <c r="C20" s="183">
        <f t="shared" si="14"/>
        <v>0</v>
      </c>
      <c r="D20" s="183">
        <f t="shared" si="14"/>
        <v>0</v>
      </c>
      <c r="E20" s="183">
        <f t="shared" si="14"/>
        <v>0</v>
      </c>
      <c r="F20" s="183">
        <f t="shared" si="14"/>
        <v>0</v>
      </c>
      <c r="G20" s="183">
        <f t="shared" si="14"/>
        <v>0</v>
      </c>
      <c r="H20" s="183">
        <f t="shared" si="14"/>
        <v>0</v>
      </c>
      <c r="I20" s="183">
        <f t="shared" si="14"/>
        <v>0</v>
      </c>
      <c r="J20" s="183">
        <f t="shared" si="14"/>
        <v>0</v>
      </c>
      <c r="K20" s="183">
        <f t="shared" si="14"/>
        <v>0</v>
      </c>
      <c r="L20" s="183">
        <f>$Q20/12</f>
        <v>0</v>
      </c>
      <c r="M20" s="238" t="s">
        <v>424</v>
      </c>
      <c r="N20" s="8">
        <f t="shared" ref="N20:N26" si="15">SUM(0)</f>
        <v>0</v>
      </c>
      <c r="O20" s="8">
        <f t="shared" ref="O20:O26" si="16">SUM(A20:L20)</f>
        <v>0</v>
      </c>
      <c r="P20" s="8">
        <f t="shared" si="3"/>
        <v>0</v>
      </c>
      <c r="Q20" s="8">
        <v>0</v>
      </c>
      <c r="R20" s="8">
        <f t="shared" ref="R20:R26" si="17">Q20-P20</f>
        <v>0</v>
      </c>
      <c r="S20" s="8"/>
      <c r="T20" s="8"/>
      <c r="U20" s="8">
        <v>0</v>
      </c>
      <c r="V20" s="8">
        <f t="shared" si="5"/>
        <v>0</v>
      </c>
      <c r="W20" s="362"/>
      <c r="X20" s="158">
        <f t="shared" si="6"/>
        <v>0</v>
      </c>
      <c r="Z20" s="182"/>
      <c r="AA20" s="182"/>
    </row>
    <row r="21" spans="1:29" x14ac:dyDescent="0.3">
      <c r="A21" s="7">
        <f t="shared" si="14"/>
        <v>0</v>
      </c>
      <c r="B21" s="7">
        <f t="shared" si="14"/>
        <v>0</v>
      </c>
      <c r="C21" s="7">
        <f t="shared" si="14"/>
        <v>0</v>
      </c>
      <c r="D21" s="7">
        <f t="shared" si="14"/>
        <v>0</v>
      </c>
      <c r="E21" s="7">
        <f t="shared" si="14"/>
        <v>0</v>
      </c>
      <c r="F21" s="7">
        <f t="shared" si="14"/>
        <v>0</v>
      </c>
      <c r="G21" s="7">
        <f t="shared" si="14"/>
        <v>0</v>
      </c>
      <c r="H21" s="7">
        <f t="shared" si="14"/>
        <v>0</v>
      </c>
      <c r="I21" s="7">
        <f t="shared" si="14"/>
        <v>0</v>
      </c>
      <c r="J21" s="7">
        <f t="shared" si="14"/>
        <v>0</v>
      </c>
      <c r="K21" s="7">
        <f t="shared" si="14"/>
        <v>0</v>
      </c>
      <c r="L21" s="7">
        <f t="shared" si="14"/>
        <v>0</v>
      </c>
      <c r="M21" s="13" t="s">
        <v>425</v>
      </c>
      <c r="N21" s="7">
        <f t="shared" si="15"/>
        <v>0</v>
      </c>
      <c r="O21" s="7">
        <f t="shared" si="16"/>
        <v>0</v>
      </c>
      <c r="P21" s="7">
        <f t="shared" si="3"/>
        <v>0</v>
      </c>
      <c r="Q21" s="7">
        <v>0</v>
      </c>
      <c r="R21" s="7">
        <f t="shared" si="17"/>
        <v>0</v>
      </c>
      <c r="S21" s="7"/>
      <c r="T21" s="7">
        <v>0</v>
      </c>
      <c r="U21" s="7">
        <v>0</v>
      </c>
      <c r="V21" s="7">
        <f t="shared" si="5"/>
        <v>0</v>
      </c>
      <c r="W21" s="359"/>
      <c r="X21" s="159">
        <f t="shared" si="6"/>
        <v>0</v>
      </c>
      <c r="Z21" s="182"/>
      <c r="AA21" s="182"/>
    </row>
    <row r="22" spans="1:29" x14ac:dyDescent="0.3">
      <c r="A22" s="7">
        <f t="shared" si="14"/>
        <v>0</v>
      </c>
      <c r="B22" s="7">
        <f t="shared" si="14"/>
        <v>0</v>
      </c>
      <c r="C22" s="7">
        <f t="shared" si="14"/>
        <v>0</v>
      </c>
      <c r="D22" s="7">
        <f t="shared" si="14"/>
        <v>0</v>
      </c>
      <c r="E22" s="7">
        <f t="shared" si="14"/>
        <v>0</v>
      </c>
      <c r="F22" s="7">
        <f t="shared" si="14"/>
        <v>0</v>
      </c>
      <c r="G22" s="7">
        <f t="shared" si="14"/>
        <v>0</v>
      </c>
      <c r="H22" s="7">
        <f t="shared" si="14"/>
        <v>0</v>
      </c>
      <c r="I22" s="7">
        <f t="shared" si="14"/>
        <v>0</v>
      </c>
      <c r="J22" s="7">
        <f t="shared" si="14"/>
        <v>0</v>
      </c>
      <c r="K22" s="7">
        <f t="shared" si="14"/>
        <v>0</v>
      </c>
      <c r="L22" s="7">
        <f t="shared" si="14"/>
        <v>0</v>
      </c>
      <c r="M22" s="13" t="s">
        <v>426</v>
      </c>
      <c r="N22" s="7">
        <f t="shared" si="15"/>
        <v>0</v>
      </c>
      <c r="O22" s="7">
        <f t="shared" si="16"/>
        <v>0</v>
      </c>
      <c r="P22" s="7">
        <f t="shared" si="3"/>
        <v>0</v>
      </c>
      <c r="Q22" s="7">
        <v>0</v>
      </c>
      <c r="R22" s="7">
        <f t="shared" si="17"/>
        <v>0</v>
      </c>
      <c r="S22" s="7"/>
      <c r="T22" s="7"/>
      <c r="U22" s="7">
        <v>0</v>
      </c>
      <c r="V22" s="7">
        <f t="shared" si="5"/>
        <v>0</v>
      </c>
      <c r="W22" s="359"/>
      <c r="X22" s="159">
        <f t="shared" si="6"/>
        <v>0</v>
      </c>
      <c r="Z22" s="182"/>
      <c r="AA22" s="182"/>
    </row>
    <row r="23" spans="1:29" x14ac:dyDescent="0.3">
      <c r="A23" s="7">
        <f t="shared" si="14"/>
        <v>0</v>
      </c>
      <c r="B23" s="7">
        <f t="shared" si="14"/>
        <v>0</v>
      </c>
      <c r="C23" s="7">
        <f t="shared" si="14"/>
        <v>0</v>
      </c>
      <c r="D23" s="7">
        <f t="shared" si="14"/>
        <v>0</v>
      </c>
      <c r="E23" s="7">
        <f t="shared" si="14"/>
        <v>0</v>
      </c>
      <c r="F23" s="7">
        <f t="shared" si="14"/>
        <v>0</v>
      </c>
      <c r="G23" s="7">
        <f t="shared" si="14"/>
        <v>0</v>
      </c>
      <c r="H23" s="7">
        <f t="shared" si="14"/>
        <v>0</v>
      </c>
      <c r="I23" s="7">
        <f t="shared" si="14"/>
        <v>0</v>
      </c>
      <c r="J23" s="7">
        <f t="shared" si="14"/>
        <v>0</v>
      </c>
      <c r="K23" s="7">
        <f t="shared" si="14"/>
        <v>0</v>
      </c>
      <c r="L23" s="7">
        <f t="shared" si="14"/>
        <v>0</v>
      </c>
      <c r="M23" s="125" t="s">
        <v>427</v>
      </c>
      <c r="N23" s="7">
        <f t="shared" si="15"/>
        <v>0</v>
      </c>
      <c r="O23" s="7">
        <f t="shared" si="16"/>
        <v>0</v>
      </c>
      <c r="P23" s="7">
        <f t="shared" si="3"/>
        <v>0</v>
      </c>
      <c r="Q23" s="7">
        <v>0</v>
      </c>
      <c r="R23" s="7">
        <f t="shared" si="17"/>
        <v>0</v>
      </c>
      <c r="S23" s="7"/>
      <c r="T23" s="7"/>
      <c r="U23" s="7">
        <v>0</v>
      </c>
      <c r="V23" s="7">
        <f t="shared" si="5"/>
        <v>0</v>
      </c>
      <c r="W23" s="359"/>
      <c r="X23" s="159">
        <f t="shared" si="6"/>
        <v>0</v>
      </c>
      <c r="Z23" s="182"/>
      <c r="AA23" s="182"/>
    </row>
    <row r="24" spans="1:29" x14ac:dyDescent="0.3">
      <c r="A24" s="7">
        <f t="shared" si="14"/>
        <v>0</v>
      </c>
      <c r="B24" s="7">
        <f t="shared" si="14"/>
        <v>0</v>
      </c>
      <c r="C24" s="7">
        <f t="shared" si="14"/>
        <v>0</v>
      </c>
      <c r="D24" s="7">
        <f t="shared" si="14"/>
        <v>0</v>
      </c>
      <c r="E24" s="7">
        <f t="shared" si="14"/>
        <v>0</v>
      </c>
      <c r="F24" s="7">
        <f t="shared" si="14"/>
        <v>0</v>
      </c>
      <c r="G24" s="7">
        <f t="shared" si="14"/>
        <v>0</v>
      </c>
      <c r="H24" s="7">
        <f t="shared" si="14"/>
        <v>0</v>
      </c>
      <c r="I24" s="7">
        <f t="shared" si="14"/>
        <v>0</v>
      </c>
      <c r="J24" s="7">
        <f t="shared" si="14"/>
        <v>0</v>
      </c>
      <c r="K24" s="7">
        <f t="shared" si="14"/>
        <v>0</v>
      </c>
      <c r="L24" s="7">
        <f t="shared" si="14"/>
        <v>0</v>
      </c>
      <c r="M24" s="125" t="s">
        <v>428</v>
      </c>
      <c r="N24" s="7">
        <f t="shared" si="15"/>
        <v>0</v>
      </c>
      <c r="O24" s="7">
        <f t="shared" si="16"/>
        <v>0</v>
      </c>
      <c r="P24" s="7">
        <f t="shared" si="3"/>
        <v>0</v>
      </c>
      <c r="Q24" s="7">
        <v>0</v>
      </c>
      <c r="R24" s="7">
        <f t="shared" si="17"/>
        <v>0</v>
      </c>
      <c r="S24" s="7"/>
      <c r="T24" s="7"/>
      <c r="U24" s="7">
        <v>0</v>
      </c>
      <c r="V24" s="7">
        <f t="shared" si="5"/>
        <v>0</v>
      </c>
      <c r="W24" s="359"/>
      <c r="X24" s="159">
        <f t="shared" si="6"/>
        <v>0</v>
      </c>
      <c r="Z24" s="182"/>
      <c r="AA24" s="182"/>
    </row>
    <row r="25" spans="1:29" x14ac:dyDescent="0.3">
      <c r="A25" s="7">
        <f t="shared" si="14"/>
        <v>0</v>
      </c>
      <c r="B25" s="7">
        <f t="shared" si="14"/>
        <v>0</v>
      </c>
      <c r="C25" s="7">
        <f t="shared" si="14"/>
        <v>0</v>
      </c>
      <c r="D25" s="7">
        <f t="shared" si="14"/>
        <v>0</v>
      </c>
      <c r="E25" s="7">
        <f t="shared" si="14"/>
        <v>0</v>
      </c>
      <c r="F25" s="7">
        <f t="shared" si="14"/>
        <v>0</v>
      </c>
      <c r="G25" s="7">
        <f t="shared" si="14"/>
        <v>0</v>
      </c>
      <c r="H25" s="7">
        <f t="shared" si="14"/>
        <v>0</v>
      </c>
      <c r="I25" s="7">
        <f t="shared" si="14"/>
        <v>0</v>
      </c>
      <c r="J25" s="7">
        <f t="shared" si="14"/>
        <v>0</v>
      </c>
      <c r="K25" s="7">
        <f t="shared" si="14"/>
        <v>0</v>
      </c>
      <c r="L25" s="7">
        <f t="shared" si="14"/>
        <v>0</v>
      </c>
      <c r="M25" s="13" t="s">
        <v>429</v>
      </c>
      <c r="N25" s="7">
        <f t="shared" si="15"/>
        <v>0</v>
      </c>
      <c r="O25" s="7">
        <f t="shared" si="16"/>
        <v>0</v>
      </c>
      <c r="P25" s="7">
        <f t="shared" si="3"/>
        <v>0</v>
      </c>
      <c r="Q25" s="7">
        <v>0</v>
      </c>
      <c r="R25" s="7">
        <f t="shared" si="17"/>
        <v>0</v>
      </c>
      <c r="S25" s="7"/>
      <c r="T25" s="7"/>
      <c r="U25" s="7">
        <v>0</v>
      </c>
      <c r="V25" s="7">
        <f t="shared" si="5"/>
        <v>0</v>
      </c>
      <c r="W25" s="359"/>
      <c r="X25" s="159">
        <f t="shared" si="6"/>
        <v>0</v>
      </c>
      <c r="Z25" s="182"/>
      <c r="AA25" s="182"/>
    </row>
    <row r="26" spans="1:29" x14ac:dyDescent="0.3">
      <c r="A26" s="11">
        <f t="shared" si="14"/>
        <v>0</v>
      </c>
      <c r="B26" s="11">
        <f t="shared" si="14"/>
        <v>0</v>
      </c>
      <c r="C26" s="11">
        <f t="shared" si="14"/>
        <v>0</v>
      </c>
      <c r="D26" s="11">
        <f t="shared" si="14"/>
        <v>0</v>
      </c>
      <c r="E26" s="11">
        <f t="shared" si="14"/>
        <v>0</v>
      </c>
      <c r="F26" s="11">
        <f t="shared" si="14"/>
        <v>0</v>
      </c>
      <c r="G26" s="11">
        <f t="shared" si="14"/>
        <v>0</v>
      </c>
      <c r="H26" s="11">
        <f t="shared" si="14"/>
        <v>0</v>
      </c>
      <c r="I26" s="11">
        <f t="shared" si="14"/>
        <v>0</v>
      </c>
      <c r="J26" s="11">
        <f t="shared" si="14"/>
        <v>0</v>
      </c>
      <c r="K26" s="11">
        <f t="shared" si="14"/>
        <v>0</v>
      </c>
      <c r="L26" s="11">
        <f t="shared" si="14"/>
        <v>0</v>
      </c>
      <c r="M26" s="13" t="s">
        <v>430</v>
      </c>
      <c r="N26" s="11">
        <f t="shared" si="15"/>
        <v>0</v>
      </c>
      <c r="O26" s="11">
        <f t="shared" si="16"/>
        <v>0</v>
      </c>
      <c r="P26" s="11">
        <f t="shared" si="3"/>
        <v>0</v>
      </c>
      <c r="Q26" s="11">
        <v>0</v>
      </c>
      <c r="R26" s="11">
        <f t="shared" si="17"/>
        <v>0</v>
      </c>
      <c r="S26" s="11"/>
      <c r="T26" s="11"/>
      <c r="U26" s="11">
        <v>0</v>
      </c>
      <c r="V26" s="11">
        <f t="shared" si="5"/>
        <v>0</v>
      </c>
      <c r="W26" s="363"/>
      <c r="X26" s="160">
        <f t="shared" si="6"/>
        <v>0</v>
      </c>
      <c r="Z26" s="182"/>
      <c r="AA26" s="182"/>
    </row>
    <row r="27" spans="1:29" x14ac:dyDescent="0.3">
      <c r="A27" s="81"/>
      <c r="B27" s="81"/>
      <c r="C27" s="81"/>
      <c r="D27" s="85"/>
      <c r="E27" s="83"/>
      <c r="F27" s="83"/>
      <c r="G27" s="83"/>
      <c r="H27" s="83"/>
      <c r="I27" s="83"/>
      <c r="J27" s="83"/>
      <c r="K27" s="84"/>
      <c r="L27" s="84"/>
      <c r="M27" s="13"/>
      <c r="N27" s="83">
        <f t="shared" si="8"/>
        <v>0</v>
      </c>
      <c r="O27" s="83">
        <f t="shared" si="9"/>
        <v>0</v>
      </c>
      <c r="P27" s="83">
        <f t="shared" si="3"/>
        <v>0</v>
      </c>
      <c r="Q27" s="83">
        <v>0</v>
      </c>
      <c r="R27" s="81"/>
      <c r="S27" s="81"/>
      <c r="T27" s="81"/>
      <c r="U27" s="81">
        <v>0</v>
      </c>
      <c r="V27" s="81">
        <f t="shared" si="5"/>
        <v>0</v>
      </c>
      <c r="W27" s="364"/>
      <c r="X27" s="204">
        <f t="shared" si="6"/>
        <v>0</v>
      </c>
      <c r="Z27" s="182"/>
      <c r="AA27" s="182"/>
    </row>
    <row r="28" spans="1:29" x14ac:dyDescent="0.3">
      <c r="A28" s="4">
        <f>SUM(A20:A26)</f>
        <v>0</v>
      </c>
      <c r="B28" s="4">
        <f t="shared" ref="B28:L28" si="18">SUM(B20:B26)</f>
        <v>0</v>
      </c>
      <c r="C28" s="4">
        <f t="shared" si="18"/>
        <v>0</v>
      </c>
      <c r="D28" s="4">
        <f t="shared" si="18"/>
        <v>0</v>
      </c>
      <c r="E28" s="4">
        <f t="shared" si="18"/>
        <v>0</v>
      </c>
      <c r="F28" s="4">
        <f t="shared" si="18"/>
        <v>0</v>
      </c>
      <c r="G28" s="4">
        <f t="shared" si="18"/>
        <v>0</v>
      </c>
      <c r="H28" s="4">
        <f t="shared" si="18"/>
        <v>0</v>
      </c>
      <c r="I28" s="4">
        <f t="shared" si="18"/>
        <v>0</v>
      </c>
      <c r="J28" s="4">
        <f t="shared" si="18"/>
        <v>0</v>
      </c>
      <c r="K28" s="4">
        <f t="shared" si="18"/>
        <v>0</v>
      </c>
      <c r="L28" s="4">
        <f t="shared" si="18"/>
        <v>0</v>
      </c>
      <c r="M28" s="13" t="s">
        <v>97</v>
      </c>
      <c r="N28" s="4">
        <f t="shared" ref="N28:O28" si="19">SUM(N20:N26)</f>
        <v>0</v>
      </c>
      <c r="O28" s="4">
        <f t="shared" si="19"/>
        <v>0</v>
      </c>
      <c r="P28" s="4">
        <f t="shared" ref="P28:Q28" si="20">SUM(P20:P26)</f>
        <v>0</v>
      </c>
      <c r="Q28" s="4">
        <f t="shared" si="20"/>
        <v>0</v>
      </c>
      <c r="R28" s="4">
        <f t="shared" ref="R28:W28" si="21">SUM(R20:R26)</f>
        <v>0</v>
      </c>
      <c r="S28" s="4">
        <v>0</v>
      </c>
      <c r="T28" s="4">
        <v>0</v>
      </c>
      <c r="U28" s="4">
        <v>0</v>
      </c>
      <c r="V28" s="4">
        <f t="shared" si="5"/>
        <v>0</v>
      </c>
      <c r="W28" s="365">
        <f t="shared" si="21"/>
        <v>0</v>
      </c>
      <c r="X28" s="162">
        <f t="shared" si="6"/>
        <v>0</v>
      </c>
      <c r="Z28" s="182"/>
      <c r="AA28" s="182"/>
    </row>
    <row r="29" spans="1:29" x14ac:dyDescent="0.3">
      <c r="A29" s="81"/>
      <c r="B29" s="81"/>
      <c r="C29" s="81"/>
      <c r="D29" s="82"/>
      <c r="E29" s="86"/>
      <c r="F29" s="86"/>
      <c r="G29" s="86"/>
      <c r="H29" s="87"/>
      <c r="I29" s="87"/>
      <c r="J29" s="87"/>
      <c r="K29" s="84"/>
      <c r="L29" s="84"/>
      <c r="M29" s="80"/>
      <c r="N29" s="86">
        <f t="shared" si="8"/>
        <v>0</v>
      </c>
      <c r="O29" s="86">
        <f t="shared" si="9"/>
        <v>0</v>
      </c>
      <c r="P29" s="86">
        <f t="shared" si="3"/>
        <v>0</v>
      </c>
      <c r="Q29" s="86">
        <v>0</v>
      </c>
      <c r="R29" s="81"/>
      <c r="S29" s="81"/>
      <c r="T29" s="81"/>
      <c r="U29" s="81">
        <v>0</v>
      </c>
      <c r="V29" s="81">
        <f t="shared" si="5"/>
        <v>0</v>
      </c>
      <c r="W29" s="364"/>
      <c r="X29" s="204">
        <f t="shared" si="6"/>
        <v>0</v>
      </c>
      <c r="Z29" s="182"/>
      <c r="AA29" s="182"/>
    </row>
    <row r="30" spans="1:29" x14ac:dyDescent="0.3">
      <c r="A30" s="8">
        <f t="shared" ref="A30:L44" si="22">$Q30/12</f>
        <v>0</v>
      </c>
      <c r="B30" s="8">
        <f t="shared" si="22"/>
        <v>0</v>
      </c>
      <c r="C30" s="8">
        <f t="shared" si="22"/>
        <v>0</v>
      </c>
      <c r="D30" s="8">
        <f t="shared" si="22"/>
        <v>0</v>
      </c>
      <c r="E30" s="8">
        <f t="shared" si="22"/>
        <v>0</v>
      </c>
      <c r="F30" s="8">
        <f t="shared" si="22"/>
        <v>0</v>
      </c>
      <c r="G30" s="8">
        <f t="shared" si="22"/>
        <v>0</v>
      </c>
      <c r="H30" s="8">
        <f t="shared" si="22"/>
        <v>0</v>
      </c>
      <c r="I30" s="8">
        <f t="shared" si="22"/>
        <v>0</v>
      </c>
      <c r="J30" s="8">
        <f t="shared" si="22"/>
        <v>0</v>
      </c>
      <c r="K30" s="8">
        <f t="shared" si="22"/>
        <v>0</v>
      </c>
      <c r="L30" s="8">
        <f t="shared" si="22"/>
        <v>0</v>
      </c>
      <c r="M30" s="238" t="s">
        <v>431</v>
      </c>
      <c r="N30" s="8">
        <f t="shared" ref="N30:N44" si="23">SUM(0)</f>
        <v>0</v>
      </c>
      <c r="O30" s="8">
        <f t="shared" ref="O30:O44" si="24">SUM(A30:L30)</f>
        <v>0</v>
      </c>
      <c r="P30" s="8">
        <f t="shared" si="3"/>
        <v>0</v>
      </c>
      <c r="Q30" s="8">
        <v>0</v>
      </c>
      <c r="R30" s="8">
        <f t="shared" ref="R30:R44" si="25">Q30-P30</f>
        <v>0</v>
      </c>
      <c r="S30" s="8"/>
      <c r="T30" s="8"/>
      <c r="U30" s="8">
        <v>0</v>
      </c>
      <c r="V30" s="8">
        <f t="shared" si="5"/>
        <v>0</v>
      </c>
      <c r="W30" s="362"/>
      <c r="X30" s="158">
        <f t="shared" si="6"/>
        <v>0</v>
      </c>
      <c r="Z30" s="182"/>
      <c r="AA30" s="182"/>
    </row>
    <row r="31" spans="1:29" x14ac:dyDescent="0.3">
      <c r="A31" s="7">
        <f t="shared" si="22"/>
        <v>0</v>
      </c>
      <c r="B31" s="7">
        <f t="shared" si="22"/>
        <v>0</v>
      </c>
      <c r="C31" s="7">
        <f t="shared" si="22"/>
        <v>0</v>
      </c>
      <c r="D31" s="7">
        <f t="shared" si="22"/>
        <v>0</v>
      </c>
      <c r="E31" s="7">
        <f t="shared" si="22"/>
        <v>0</v>
      </c>
      <c r="F31" s="7">
        <f t="shared" si="22"/>
        <v>0</v>
      </c>
      <c r="G31" s="7">
        <f t="shared" si="22"/>
        <v>0</v>
      </c>
      <c r="H31" s="7">
        <f t="shared" si="22"/>
        <v>0</v>
      </c>
      <c r="I31" s="7">
        <f t="shared" si="22"/>
        <v>0</v>
      </c>
      <c r="J31" s="7">
        <f t="shared" si="22"/>
        <v>0</v>
      </c>
      <c r="K31" s="7">
        <f t="shared" si="22"/>
        <v>0</v>
      </c>
      <c r="L31" s="7">
        <f t="shared" si="22"/>
        <v>0</v>
      </c>
      <c r="M31" s="13" t="s">
        <v>432</v>
      </c>
      <c r="N31" s="7">
        <f t="shared" si="23"/>
        <v>0</v>
      </c>
      <c r="O31" s="7">
        <f t="shared" si="24"/>
        <v>0</v>
      </c>
      <c r="P31" s="7">
        <f t="shared" si="3"/>
        <v>0</v>
      </c>
      <c r="Q31" s="7">
        <v>0</v>
      </c>
      <c r="R31" s="7">
        <f t="shared" si="25"/>
        <v>0</v>
      </c>
      <c r="S31" s="7"/>
      <c r="T31" s="7"/>
      <c r="U31" s="7">
        <v>0</v>
      </c>
      <c r="V31" s="7">
        <f t="shared" si="5"/>
        <v>0</v>
      </c>
      <c r="W31" s="359"/>
      <c r="X31" s="159">
        <f t="shared" si="6"/>
        <v>0</v>
      </c>
      <c r="Z31" s="182"/>
      <c r="AA31" s="182"/>
    </row>
    <row r="32" spans="1:29" x14ac:dyDescent="0.3">
      <c r="A32" s="7">
        <f t="shared" si="22"/>
        <v>0</v>
      </c>
      <c r="B32" s="7">
        <f t="shared" si="22"/>
        <v>0</v>
      </c>
      <c r="C32" s="7">
        <f t="shared" si="22"/>
        <v>0</v>
      </c>
      <c r="D32" s="7">
        <f t="shared" si="22"/>
        <v>0</v>
      </c>
      <c r="E32" s="7">
        <f t="shared" si="22"/>
        <v>0</v>
      </c>
      <c r="F32" s="7">
        <f t="shared" si="22"/>
        <v>0</v>
      </c>
      <c r="G32" s="7">
        <f t="shared" si="22"/>
        <v>0</v>
      </c>
      <c r="H32" s="7">
        <f t="shared" si="22"/>
        <v>0</v>
      </c>
      <c r="I32" s="7">
        <f t="shared" si="22"/>
        <v>0</v>
      </c>
      <c r="J32" s="7">
        <f t="shared" si="22"/>
        <v>0</v>
      </c>
      <c r="K32" s="7">
        <f t="shared" si="22"/>
        <v>0</v>
      </c>
      <c r="L32" s="7">
        <f t="shared" si="22"/>
        <v>0</v>
      </c>
      <c r="M32" s="13" t="s">
        <v>433</v>
      </c>
      <c r="N32" s="7">
        <f t="shared" si="23"/>
        <v>0</v>
      </c>
      <c r="O32" s="7">
        <f t="shared" si="24"/>
        <v>0</v>
      </c>
      <c r="P32" s="7">
        <f t="shared" si="3"/>
        <v>0</v>
      </c>
      <c r="Q32" s="7">
        <v>0</v>
      </c>
      <c r="R32" s="7">
        <f t="shared" si="25"/>
        <v>0</v>
      </c>
      <c r="S32" s="7"/>
      <c r="T32" s="7"/>
      <c r="U32" s="7">
        <v>0</v>
      </c>
      <c r="V32" s="7">
        <f t="shared" si="5"/>
        <v>0</v>
      </c>
      <c r="W32" s="359"/>
      <c r="X32" s="159">
        <f t="shared" si="6"/>
        <v>0</v>
      </c>
      <c r="Z32" s="182"/>
      <c r="AA32" s="182"/>
    </row>
    <row r="33" spans="1:27" x14ac:dyDescent="0.3">
      <c r="A33" s="7">
        <f t="shared" si="22"/>
        <v>0</v>
      </c>
      <c r="B33" s="7">
        <f t="shared" si="22"/>
        <v>0</v>
      </c>
      <c r="C33" s="7">
        <f t="shared" si="22"/>
        <v>0</v>
      </c>
      <c r="D33" s="7">
        <f t="shared" si="22"/>
        <v>0</v>
      </c>
      <c r="E33" s="7">
        <f t="shared" si="22"/>
        <v>0</v>
      </c>
      <c r="F33" s="7">
        <f t="shared" si="22"/>
        <v>0</v>
      </c>
      <c r="G33" s="7">
        <f t="shared" si="22"/>
        <v>0</v>
      </c>
      <c r="H33" s="7">
        <f t="shared" si="22"/>
        <v>0</v>
      </c>
      <c r="I33" s="7">
        <f t="shared" si="22"/>
        <v>0</v>
      </c>
      <c r="J33" s="7">
        <f t="shared" si="22"/>
        <v>0</v>
      </c>
      <c r="K33" s="7">
        <f t="shared" si="22"/>
        <v>0</v>
      </c>
      <c r="L33" s="7">
        <f t="shared" si="22"/>
        <v>0</v>
      </c>
      <c r="M33" s="13" t="s">
        <v>434</v>
      </c>
      <c r="N33" s="7">
        <f t="shared" si="23"/>
        <v>0</v>
      </c>
      <c r="O33" s="7">
        <f t="shared" si="24"/>
        <v>0</v>
      </c>
      <c r="P33" s="7">
        <f t="shared" si="3"/>
        <v>0</v>
      </c>
      <c r="Q33" s="7">
        <v>0</v>
      </c>
      <c r="R33" s="7">
        <f t="shared" si="25"/>
        <v>0</v>
      </c>
      <c r="S33" s="7"/>
      <c r="T33" s="7"/>
      <c r="U33" s="7">
        <v>0</v>
      </c>
      <c r="V33" s="7">
        <f t="shared" si="5"/>
        <v>0</v>
      </c>
      <c r="W33" s="359"/>
      <c r="X33" s="159">
        <f t="shared" si="6"/>
        <v>0</v>
      </c>
      <c r="Z33" s="182"/>
      <c r="AA33" s="182"/>
    </row>
    <row r="34" spans="1:27" x14ac:dyDescent="0.3">
      <c r="A34" s="7">
        <f t="shared" si="22"/>
        <v>0</v>
      </c>
      <c r="B34" s="7">
        <f t="shared" si="22"/>
        <v>0</v>
      </c>
      <c r="C34" s="7">
        <f t="shared" si="22"/>
        <v>0</v>
      </c>
      <c r="D34" s="7">
        <f t="shared" si="22"/>
        <v>0</v>
      </c>
      <c r="E34" s="7">
        <f t="shared" si="22"/>
        <v>0</v>
      </c>
      <c r="F34" s="7">
        <f t="shared" si="22"/>
        <v>0</v>
      </c>
      <c r="G34" s="7">
        <f t="shared" si="22"/>
        <v>0</v>
      </c>
      <c r="H34" s="7">
        <f t="shared" si="22"/>
        <v>0</v>
      </c>
      <c r="I34" s="7">
        <f t="shared" si="22"/>
        <v>0</v>
      </c>
      <c r="J34" s="7">
        <f t="shared" si="22"/>
        <v>0</v>
      </c>
      <c r="K34" s="7">
        <f t="shared" si="22"/>
        <v>0</v>
      </c>
      <c r="L34" s="7">
        <f t="shared" si="22"/>
        <v>0</v>
      </c>
      <c r="M34" s="13" t="s">
        <v>435</v>
      </c>
      <c r="N34" s="7">
        <f t="shared" si="23"/>
        <v>0</v>
      </c>
      <c r="O34" s="7">
        <f t="shared" si="24"/>
        <v>0</v>
      </c>
      <c r="P34" s="7">
        <f t="shared" si="3"/>
        <v>0</v>
      </c>
      <c r="Q34" s="7">
        <v>0</v>
      </c>
      <c r="R34" s="7">
        <f t="shared" si="25"/>
        <v>0</v>
      </c>
      <c r="S34" s="7"/>
      <c r="T34" s="7"/>
      <c r="U34" s="7">
        <v>0</v>
      </c>
      <c r="V34" s="7">
        <f t="shared" si="5"/>
        <v>0</v>
      </c>
      <c r="W34" s="359"/>
      <c r="X34" s="159">
        <f t="shared" si="6"/>
        <v>0</v>
      </c>
      <c r="Z34" s="182"/>
      <c r="AA34" s="182"/>
    </row>
    <row r="35" spans="1:27" x14ac:dyDescent="0.3">
      <c r="A35" s="7">
        <f t="shared" si="22"/>
        <v>0</v>
      </c>
      <c r="B35" s="7">
        <f t="shared" si="22"/>
        <v>0</v>
      </c>
      <c r="C35" s="7">
        <f t="shared" si="22"/>
        <v>0</v>
      </c>
      <c r="D35" s="7">
        <f t="shared" si="22"/>
        <v>0</v>
      </c>
      <c r="E35" s="7">
        <f t="shared" si="22"/>
        <v>0</v>
      </c>
      <c r="F35" s="7">
        <f t="shared" si="22"/>
        <v>0</v>
      </c>
      <c r="G35" s="7">
        <f t="shared" si="22"/>
        <v>0</v>
      </c>
      <c r="H35" s="7">
        <f t="shared" si="22"/>
        <v>0</v>
      </c>
      <c r="I35" s="7">
        <f t="shared" si="22"/>
        <v>0</v>
      </c>
      <c r="J35" s="7">
        <f t="shared" si="22"/>
        <v>0</v>
      </c>
      <c r="K35" s="7">
        <f t="shared" si="22"/>
        <v>0</v>
      </c>
      <c r="L35" s="7">
        <f t="shared" si="22"/>
        <v>0</v>
      </c>
      <c r="M35" s="13" t="s">
        <v>436</v>
      </c>
      <c r="N35" s="7">
        <f t="shared" si="23"/>
        <v>0</v>
      </c>
      <c r="O35" s="7">
        <f t="shared" si="24"/>
        <v>0</v>
      </c>
      <c r="P35" s="7">
        <f t="shared" si="3"/>
        <v>0</v>
      </c>
      <c r="Q35" s="7">
        <v>0</v>
      </c>
      <c r="R35" s="7">
        <f t="shared" si="25"/>
        <v>0</v>
      </c>
      <c r="S35" s="7"/>
      <c r="T35" s="7"/>
      <c r="U35" s="7">
        <v>0</v>
      </c>
      <c r="V35" s="7">
        <f t="shared" si="5"/>
        <v>0</v>
      </c>
      <c r="W35" s="359"/>
      <c r="X35" s="159">
        <f t="shared" si="6"/>
        <v>0</v>
      </c>
      <c r="Z35" s="182"/>
      <c r="AA35" s="182"/>
    </row>
    <row r="36" spans="1:27" x14ac:dyDescent="0.3">
      <c r="A36" s="7">
        <f t="shared" si="22"/>
        <v>0</v>
      </c>
      <c r="B36" s="7">
        <f t="shared" si="22"/>
        <v>0</v>
      </c>
      <c r="C36" s="7">
        <f t="shared" si="22"/>
        <v>0</v>
      </c>
      <c r="D36" s="7">
        <f t="shared" si="22"/>
        <v>0</v>
      </c>
      <c r="E36" s="7">
        <f t="shared" si="22"/>
        <v>0</v>
      </c>
      <c r="F36" s="7">
        <f t="shared" si="22"/>
        <v>0</v>
      </c>
      <c r="G36" s="7">
        <f t="shared" si="22"/>
        <v>0</v>
      </c>
      <c r="H36" s="7">
        <f t="shared" si="22"/>
        <v>0</v>
      </c>
      <c r="I36" s="7">
        <f t="shared" si="22"/>
        <v>0</v>
      </c>
      <c r="J36" s="7">
        <f t="shared" si="22"/>
        <v>0</v>
      </c>
      <c r="K36" s="7">
        <f t="shared" si="22"/>
        <v>0</v>
      </c>
      <c r="L36" s="7">
        <f t="shared" si="22"/>
        <v>0</v>
      </c>
      <c r="M36" s="13" t="s">
        <v>437</v>
      </c>
      <c r="N36" s="7">
        <f t="shared" si="23"/>
        <v>0</v>
      </c>
      <c r="O36" s="7">
        <f t="shared" si="24"/>
        <v>0</v>
      </c>
      <c r="P36" s="7">
        <f t="shared" si="3"/>
        <v>0</v>
      </c>
      <c r="Q36" s="7">
        <v>0</v>
      </c>
      <c r="R36" s="7">
        <f t="shared" si="25"/>
        <v>0</v>
      </c>
      <c r="S36" s="7"/>
      <c r="T36" s="7"/>
      <c r="U36" s="7">
        <v>0</v>
      </c>
      <c r="V36" s="7">
        <f t="shared" si="5"/>
        <v>0</v>
      </c>
      <c r="W36" s="359"/>
      <c r="X36" s="159">
        <f t="shared" si="6"/>
        <v>0</v>
      </c>
      <c r="Z36" s="182"/>
      <c r="AA36" s="182"/>
    </row>
    <row r="37" spans="1:27" x14ac:dyDescent="0.3">
      <c r="A37" s="7">
        <f t="shared" si="22"/>
        <v>0</v>
      </c>
      <c r="B37" s="7">
        <f t="shared" si="22"/>
        <v>0</v>
      </c>
      <c r="C37" s="7">
        <f t="shared" si="22"/>
        <v>0</v>
      </c>
      <c r="D37" s="7">
        <f t="shared" si="22"/>
        <v>0</v>
      </c>
      <c r="E37" s="7">
        <f t="shared" si="22"/>
        <v>0</v>
      </c>
      <c r="F37" s="7">
        <f t="shared" si="22"/>
        <v>0</v>
      </c>
      <c r="G37" s="7">
        <f t="shared" si="22"/>
        <v>0</v>
      </c>
      <c r="H37" s="7">
        <f t="shared" si="22"/>
        <v>0</v>
      </c>
      <c r="I37" s="7">
        <f t="shared" si="22"/>
        <v>0</v>
      </c>
      <c r="J37" s="7">
        <f t="shared" si="22"/>
        <v>0</v>
      </c>
      <c r="K37" s="7">
        <f t="shared" si="22"/>
        <v>0</v>
      </c>
      <c r="L37" s="7">
        <f t="shared" si="22"/>
        <v>0</v>
      </c>
      <c r="M37" s="238" t="s">
        <v>438</v>
      </c>
      <c r="N37" s="7">
        <f t="shared" si="23"/>
        <v>0</v>
      </c>
      <c r="O37" s="7">
        <f t="shared" si="24"/>
        <v>0</v>
      </c>
      <c r="P37" s="7">
        <f t="shared" si="3"/>
        <v>0</v>
      </c>
      <c r="Q37" s="7">
        <v>0</v>
      </c>
      <c r="R37" s="7">
        <f t="shared" si="25"/>
        <v>0</v>
      </c>
      <c r="S37" s="7"/>
      <c r="T37" s="7"/>
      <c r="U37" s="7">
        <v>0</v>
      </c>
      <c r="V37" s="7">
        <f t="shared" si="5"/>
        <v>0</v>
      </c>
      <c r="W37" s="359"/>
      <c r="X37" s="159">
        <f t="shared" si="6"/>
        <v>0</v>
      </c>
      <c r="Z37" s="182"/>
      <c r="AA37" s="182"/>
    </row>
    <row r="38" spans="1:27" x14ac:dyDescent="0.3">
      <c r="A38" s="7">
        <f t="shared" si="22"/>
        <v>0</v>
      </c>
      <c r="B38" s="7">
        <f t="shared" si="22"/>
        <v>0</v>
      </c>
      <c r="C38" s="7">
        <f t="shared" si="22"/>
        <v>0</v>
      </c>
      <c r="D38" s="7">
        <f t="shared" si="22"/>
        <v>0</v>
      </c>
      <c r="E38" s="7">
        <f t="shared" si="22"/>
        <v>0</v>
      </c>
      <c r="F38" s="7">
        <f t="shared" si="22"/>
        <v>0</v>
      </c>
      <c r="G38" s="7">
        <f t="shared" si="22"/>
        <v>0</v>
      </c>
      <c r="H38" s="7">
        <f t="shared" si="22"/>
        <v>0</v>
      </c>
      <c r="I38" s="7">
        <f t="shared" si="22"/>
        <v>0</v>
      </c>
      <c r="J38" s="7">
        <f t="shared" si="22"/>
        <v>0</v>
      </c>
      <c r="K38" s="7">
        <f t="shared" si="22"/>
        <v>0</v>
      </c>
      <c r="L38" s="7">
        <f t="shared" si="22"/>
        <v>0</v>
      </c>
      <c r="M38" s="13" t="s">
        <v>439</v>
      </c>
      <c r="N38" s="7">
        <f t="shared" si="23"/>
        <v>0</v>
      </c>
      <c r="O38" s="7">
        <f t="shared" si="24"/>
        <v>0</v>
      </c>
      <c r="P38" s="7">
        <f t="shared" si="3"/>
        <v>0</v>
      </c>
      <c r="Q38" s="7">
        <v>0</v>
      </c>
      <c r="R38" s="7">
        <f t="shared" si="25"/>
        <v>0</v>
      </c>
      <c r="S38" s="7"/>
      <c r="T38" s="7"/>
      <c r="U38" s="7">
        <v>0</v>
      </c>
      <c r="V38" s="7">
        <f t="shared" si="5"/>
        <v>0</v>
      </c>
      <c r="W38" s="359"/>
      <c r="X38" s="159">
        <f t="shared" si="6"/>
        <v>0</v>
      </c>
      <c r="Z38" s="182"/>
      <c r="AA38" s="182"/>
    </row>
    <row r="39" spans="1:27" x14ac:dyDescent="0.3">
      <c r="A39" s="7">
        <f t="shared" si="22"/>
        <v>0</v>
      </c>
      <c r="B39" s="7">
        <f t="shared" si="22"/>
        <v>0</v>
      </c>
      <c r="C39" s="7">
        <f t="shared" si="22"/>
        <v>0</v>
      </c>
      <c r="D39" s="7">
        <f t="shared" si="22"/>
        <v>0</v>
      </c>
      <c r="E39" s="7">
        <f t="shared" si="22"/>
        <v>0</v>
      </c>
      <c r="F39" s="7">
        <f t="shared" si="22"/>
        <v>0</v>
      </c>
      <c r="G39" s="7">
        <f t="shared" si="22"/>
        <v>0</v>
      </c>
      <c r="H39" s="7">
        <f t="shared" si="22"/>
        <v>0</v>
      </c>
      <c r="I39" s="7">
        <f t="shared" si="22"/>
        <v>0</v>
      </c>
      <c r="J39" s="7">
        <f t="shared" si="22"/>
        <v>0</v>
      </c>
      <c r="K39" s="7">
        <f t="shared" si="22"/>
        <v>0</v>
      </c>
      <c r="L39" s="7">
        <f t="shared" si="22"/>
        <v>0</v>
      </c>
      <c r="M39" s="13" t="s">
        <v>440</v>
      </c>
      <c r="N39" s="7">
        <f t="shared" si="23"/>
        <v>0</v>
      </c>
      <c r="O39" s="7">
        <f t="shared" si="24"/>
        <v>0</v>
      </c>
      <c r="P39" s="7">
        <f t="shared" si="3"/>
        <v>0</v>
      </c>
      <c r="Q39" s="7">
        <v>0</v>
      </c>
      <c r="R39" s="7">
        <f t="shared" si="25"/>
        <v>0</v>
      </c>
      <c r="S39" s="7"/>
      <c r="T39" s="7"/>
      <c r="U39" s="7">
        <v>0</v>
      </c>
      <c r="V39" s="7">
        <f t="shared" si="5"/>
        <v>0</v>
      </c>
      <c r="W39" s="359"/>
      <c r="X39" s="159">
        <f t="shared" si="6"/>
        <v>0</v>
      </c>
      <c r="Z39" s="182"/>
      <c r="AA39" s="182"/>
    </row>
    <row r="40" spans="1:27" x14ac:dyDescent="0.3">
      <c r="A40" s="7">
        <f t="shared" si="22"/>
        <v>0</v>
      </c>
      <c r="B40" s="7">
        <f t="shared" si="22"/>
        <v>0</v>
      </c>
      <c r="C40" s="7">
        <f t="shared" si="22"/>
        <v>0</v>
      </c>
      <c r="D40" s="7">
        <f t="shared" si="22"/>
        <v>0</v>
      </c>
      <c r="E40" s="7">
        <f t="shared" si="22"/>
        <v>0</v>
      </c>
      <c r="F40" s="7">
        <f t="shared" si="22"/>
        <v>0</v>
      </c>
      <c r="G40" s="7">
        <f t="shared" si="22"/>
        <v>0</v>
      </c>
      <c r="H40" s="7">
        <f t="shared" si="22"/>
        <v>0</v>
      </c>
      <c r="I40" s="7">
        <f t="shared" si="22"/>
        <v>0</v>
      </c>
      <c r="J40" s="7">
        <f t="shared" si="22"/>
        <v>0</v>
      </c>
      <c r="K40" s="7">
        <f t="shared" si="22"/>
        <v>0</v>
      </c>
      <c r="L40" s="7">
        <f t="shared" si="22"/>
        <v>0</v>
      </c>
      <c r="M40" s="13" t="s">
        <v>441</v>
      </c>
      <c r="N40" s="7">
        <f t="shared" si="23"/>
        <v>0</v>
      </c>
      <c r="O40" s="7">
        <f t="shared" si="24"/>
        <v>0</v>
      </c>
      <c r="P40" s="7">
        <f t="shared" si="3"/>
        <v>0</v>
      </c>
      <c r="Q40" s="7">
        <v>0</v>
      </c>
      <c r="R40" s="7">
        <f t="shared" si="25"/>
        <v>0</v>
      </c>
      <c r="S40" s="7"/>
      <c r="T40" s="7"/>
      <c r="U40" s="7">
        <v>0</v>
      </c>
      <c r="V40" s="7">
        <f t="shared" si="5"/>
        <v>0</v>
      </c>
      <c r="W40" s="359"/>
      <c r="X40" s="159">
        <f t="shared" si="6"/>
        <v>0</v>
      </c>
      <c r="Z40" s="182"/>
      <c r="AA40" s="182"/>
    </row>
    <row r="41" spans="1:27" x14ac:dyDescent="0.3">
      <c r="A41" s="7">
        <f t="shared" si="22"/>
        <v>0</v>
      </c>
      <c r="B41" s="7">
        <f t="shared" si="22"/>
        <v>0</v>
      </c>
      <c r="C41" s="7">
        <f t="shared" si="22"/>
        <v>0</v>
      </c>
      <c r="D41" s="7">
        <f t="shared" si="22"/>
        <v>0</v>
      </c>
      <c r="E41" s="7">
        <f t="shared" si="22"/>
        <v>0</v>
      </c>
      <c r="F41" s="7">
        <f t="shared" si="22"/>
        <v>0</v>
      </c>
      <c r="G41" s="7">
        <f t="shared" si="22"/>
        <v>0</v>
      </c>
      <c r="H41" s="7">
        <f t="shared" si="22"/>
        <v>0</v>
      </c>
      <c r="I41" s="7">
        <f t="shared" si="22"/>
        <v>0</v>
      </c>
      <c r="J41" s="7">
        <f t="shared" si="22"/>
        <v>0</v>
      </c>
      <c r="K41" s="7">
        <f t="shared" si="22"/>
        <v>0</v>
      </c>
      <c r="L41" s="7">
        <f t="shared" si="22"/>
        <v>0</v>
      </c>
      <c r="M41" s="13" t="s">
        <v>442</v>
      </c>
      <c r="N41" s="7">
        <f t="shared" si="23"/>
        <v>0</v>
      </c>
      <c r="O41" s="7">
        <f t="shared" si="24"/>
        <v>0</v>
      </c>
      <c r="P41" s="7">
        <f t="shared" si="3"/>
        <v>0</v>
      </c>
      <c r="Q41" s="7">
        <v>0</v>
      </c>
      <c r="R41" s="7">
        <f t="shared" si="25"/>
        <v>0</v>
      </c>
      <c r="S41" s="7"/>
      <c r="T41" s="7"/>
      <c r="U41" s="7">
        <v>0</v>
      </c>
      <c r="V41" s="7">
        <f t="shared" si="5"/>
        <v>0</v>
      </c>
      <c r="W41" s="359"/>
      <c r="X41" s="159">
        <f t="shared" si="6"/>
        <v>0</v>
      </c>
      <c r="Z41" s="182"/>
      <c r="AA41" s="182"/>
    </row>
    <row r="42" spans="1:27" x14ac:dyDescent="0.3">
      <c r="A42" s="7">
        <f t="shared" si="22"/>
        <v>0</v>
      </c>
      <c r="B42" s="7">
        <f t="shared" si="22"/>
        <v>0</v>
      </c>
      <c r="C42" s="7">
        <f t="shared" si="22"/>
        <v>0</v>
      </c>
      <c r="D42" s="7">
        <f t="shared" si="22"/>
        <v>0</v>
      </c>
      <c r="E42" s="7">
        <f t="shared" si="22"/>
        <v>0</v>
      </c>
      <c r="F42" s="7">
        <f t="shared" si="22"/>
        <v>0</v>
      </c>
      <c r="G42" s="7">
        <f t="shared" si="22"/>
        <v>0</v>
      </c>
      <c r="H42" s="7">
        <f t="shared" si="22"/>
        <v>0</v>
      </c>
      <c r="I42" s="7">
        <f t="shared" si="22"/>
        <v>0</v>
      </c>
      <c r="J42" s="7">
        <f t="shared" si="22"/>
        <v>0</v>
      </c>
      <c r="K42" s="7">
        <f t="shared" si="22"/>
        <v>0</v>
      </c>
      <c r="L42" s="7">
        <f t="shared" si="22"/>
        <v>0</v>
      </c>
      <c r="M42" s="13" t="s">
        <v>443</v>
      </c>
      <c r="N42" s="7">
        <f t="shared" si="23"/>
        <v>0</v>
      </c>
      <c r="O42" s="7">
        <f t="shared" si="24"/>
        <v>0</v>
      </c>
      <c r="P42" s="7">
        <f t="shared" si="3"/>
        <v>0</v>
      </c>
      <c r="Q42" s="7">
        <v>0</v>
      </c>
      <c r="R42" s="7">
        <f t="shared" si="25"/>
        <v>0</v>
      </c>
      <c r="S42" s="7"/>
      <c r="T42" s="7"/>
      <c r="U42" s="7">
        <v>0</v>
      </c>
      <c r="V42" s="7">
        <f t="shared" si="5"/>
        <v>0</v>
      </c>
      <c r="W42" s="359"/>
      <c r="X42" s="159">
        <f t="shared" si="6"/>
        <v>0</v>
      </c>
      <c r="Z42" s="182"/>
      <c r="AA42" s="182"/>
    </row>
    <row r="43" spans="1:27" x14ac:dyDescent="0.3">
      <c r="A43" s="7">
        <f t="shared" si="22"/>
        <v>0</v>
      </c>
      <c r="B43" s="7">
        <f t="shared" si="22"/>
        <v>0</v>
      </c>
      <c r="C43" s="7">
        <f t="shared" si="22"/>
        <v>0</v>
      </c>
      <c r="D43" s="7">
        <f t="shared" si="22"/>
        <v>0</v>
      </c>
      <c r="E43" s="7">
        <f t="shared" si="22"/>
        <v>0</v>
      </c>
      <c r="F43" s="7">
        <f t="shared" si="22"/>
        <v>0</v>
      </c>
      <c r="G43" s="7">
        <f t="shared" si="22"/>
        <v>0</v>
      </c>
      <c r="H43" s="7">
        <f t="shared" si="22"/>
        <v>0</v>
      </c>
      <c r="I43" s="7">
        <f t="shared" si="22"/>
        <v>0</v>
      </c>
      <c r="J43" s="7">
        <f t="shared" si="22"/>
        <v>0</v>
      </c>
      <c r="K43" s="7">
        <f t="shared" si="22"/>
        <v>0</v>
      </c>
      <c r="L43" s="7">
        <f t="shared" si="22"/>
        <v>0</v>
      </c>
      <c r="M43" s="13" t="s">
        <v>444</v>
      </c>
      <c r="N43" s="7">
        <f t="shared" si="23"/>
        <v>0</v>
      </c>
      <c r="O43" s="7">
        <f t="shared" si="24"/>
        <v>0</v>
      </c>
      <c r="P43" s="7">
        <f t="shared" si="3"/>
        <v>0</v>
      </c>
      <c r="Q43" s="7">
        <v>0</v>
      </c>
      <c r="R43" s="7">
        <f t="shared" si="25"/>
        <v>0</v>
      </c>
      <c r="S43" s="7"/>
      <c r="T43" s="7"/>
      <c r="U43" s="7">
        <v>0</v>
      </c>
      <c r="V43" s="7">
        <f t="shared" si="5"/>
        <v>0</v>
      </c>
      <c r="W43" s="359"/>
      <c r="X43" s="159">
        <f t="shared" si="6"/>
        <v>0</v>
      </c>
      <c r="Z43" s="182"/>
      <c r="AA43" s="182"/>
    </row>
    <row r="44" spans="1:27" x14ac:dyDescent="0.3">
      <c r="A44" s="11">
        <f t="shared" si="22"/>
        <v>0</v>
      </c>
      <c r="B44" s="11">
        <f t="shared" si="22"/>
        <v>0</v>
      </c>
      <c r="C44" s="11">
        <f t="shared" si="22"/>
        <v>0</v>
      </c>
      <c r="D44" s="11">
        <f t="shared" si="22"/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238" t="s">
        <v>113</v>
      </c>
      <c r="N44" s="11">
        <f t="shared" si="23"/>
        <v>0</v>
      </c>
      <c r="O44" s="11">
        <f t="shared" si="24"/>
        <v>0</v>
      </c>
      <c r="P44" s="11">
        <f t="shared" si="3"/>
        <v>0</v>
      </c>
      <c r="Q44" s="11">
        <v>0</v>
      </c>
      <c r="R44" s="11">
        <f t="shared" si="25"/>
        <v>0</v>
      </c>
      <c r="S44" s="11"/>
      <c r="T44" s="11"/>
      <c r="U44" s="11">
        <v>0</v>
      </c>
      <c r="V44" s="11">
        <f t="shared" si="5"/>
        <v>0</v>
      </c>
      <c r="W44" s="363"/>
      <c r="X44" s="160">
        <f t="shared" si="6"/>
        <v>0</v>
      </c>
      <c r="Z44" s="182"/>
      <c r="AA44" s="182"/>
    </row>
    <row r="45" spans="1:27" x14ac:dyDescent="0.3">
      <c r="A45" s="8"/>
      <c r="B45" s="86"/>
      <c r="C45" s="86"/>
      <c r="D45" s="85"/>
      <c r="E45" s="83"/>
      <c r="F45" s="83"/>
      <c r="G45" s="83"/>
      <c r="H45" s="83"/>
      <c r="I45" s="83"/>
      <c r="J45" s="83"/>
      <c r="K45" s="84"/>
      <c r="L45" s="84"/>
      <c r="M45" s="13"/>
      <c r="N45" s="83">
        <f t="shared" si="8"/>
        <v>0</v>
      </c>
      <c r="O45" s="83">
        <f t="shared" si="9"/>
        <v>0</v>
      </c>
      <c r="P45" s="83">
        <f t="shared" si="3"/>
        <v>0</v>
      </c>
      <c r="Q45" s="83">
        <v>0</v>
      </c>
      <c r="R45" s="86"/>
      <c r="S45" s="86"/>
      <c r="T45" s="86"/>
      <c r="U45" s="86">
        <v>0</v>
      </c>
      <c r="V45" s="86">
        <f t="shared" si="5"/>
        <v>0</v>
      </c>
      <c r="W45" s="366"/>
      <c r="X45" s="205">
        <f t="shared" si="6"/>
        <v>0</v>
      </c>
      <c r="Z45" s="182"/>
      <c r="AA45" s="182"/>
    </row>
    <row r="46" spans="1:27" x14ac:dyDescent="0.3">
      <c r="A46" s="4">
        <f>SUM(A30:A44)</f>
        <v>0</v>
      </c>
      <c r="B46" s="4">
        <f t="shared" ref="B46:L46" si="26">SUM(B30:B44)</f>
        <v>0</v>
      </c>
      <c r="C46" s="4">
        <f t="shared" si="26"/>
        <v>0</v>
      </c>
      <c r="D46" s="4">
        <f t="shared" si="26"/>
        <v>0</v>
      </c>
      <c r="E46" s="4">
        <f t="shared" si="26"/>
        <v>0</v>
      </c>
      <c r="F46" s="4">
        <f t="shared" si="26"/>
        <v>0</v>
      </c>
      <c r="G46" s="4">
        <f t="shared" si="26"/>
        <v>0</v>
      </c>
      <c r="H46" s="4">
        <f t="shared" si="26"/>
        <v>0</v>
      </c>
      <c r="I46" s="4">
        <f t="shared" si="26"/>
        <v>0</v>
      </c>
      <c r="J46" s="4">
        <f t="shared" si="26"/>
        <v>0</v>
      </c>
      <c r="K46" s="4">
        <f t="shared" si="26"/>
        <v>0</v>
      </c>
      <c r="L46" s="4">
        <f t="shared" si="26"/>
        <v>0</v>
      </c>
      <c r="M46" s="13" t="s">
        <v>114</v>
      </c>
      <c r="N46" s="4">
        <f t="shared" ref="N46:O46" si="27">SUM(N30:N44)</f>
        <v>0</v>
      </c>
      <c r="O46" s="4">
        <f t="shared" si="27"/>
        <v>0</v>
      </c>
      <c r="P46" s="4">
        <f t="shared" ref="P46:Q46" si="28">SUM(P30:P44)</f>
        <v>0</v>
      </c>
      <c r="Q46" s="4">
        <f t="shared" si="28"/>
        <v>0</v>
      </c>
      <c r="R46" s="4">
        <f t="shared" ref="R46:W46" si="29">SUM(R30:R44)</f>
        <v>0</v>
      </c>
      <c r="S46" s="4">
        <v>0</v>
      </c>
      <c r="T46" s="4">
        <v>0</v>
      </c>
      <c r="U46" s="4">
        <v>0</v>
      </c>
      <c r="V46" s="4">
        <f t="shared" si="5"/>
        <v>0</v>
      </c>
      <c r="W46" s="365">
        <f t="shared" si="29"/>
        <v>0</v>
      </c>
      <c r="X46" s="162">
        <f t="shared" si="6"/>
        <v>0</v>
      </c>
      <c r="Z46" s="182"/>
      <c r="AA46" s="182"/>
    </row>
    <row r="47" spans="1:27" x14ac:dyDescent="0.3">
      <c r="A47" s="81"/>
      <c r="B47" s="81"/>
      <c r="C47" s="81"/>
      <c r="D47" s="82"/>
      <c r="E47" s="86"/>
      <c r="F47" s="86"/>
      <c r="G47" s="86"/>
      <c r="H47" s="87"/>
      <c r="I47" s="87"/>
      <c r="J47" s="87"/>
      <c r="K47" s="84"/>
      <c r="L47" s="84"/>
      <c r="M47" s="80"/>
      <c r="N47" s="86">
        <f t="shared" si="8"/>
        <v>0</v>
      </c>
      <c r="O47" s="86">
        <f t="shared" si="9"/>
        <v>0</v>
      </c>
      <c r="P47" s="86">
        <f t="shared" si="3"/>
        <v>0</v>
      </c>
      <c r="Q47" s="86">
        <v>0</v>
      </c>
      <c r="R47" s="81"/>
      <c r="S47" s="81"/>
      <c r="T47" s="81"/>
      <c r="U47" s="81">
        <v>0</v>
      </c>
      <c r="V47" s="81">
        <f t="shared" si="5"/>
        <v>0</v>
      </c>
      <c r="W47" s="364"/>
      <c r="X47" s="204">
        <f t="shared" si="6"/>
        <v>0</v>
      </c>
      <c r="Z47" s="182"/>
      <c r="AA47" s="182"/>
    </row>
    <row r="48" spans="1:27" x14ac:dyDescent="0.3">
      <c r="A48" s="8">
        <v>0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238" t="s">
        <v>445</v>
      </c>
      <c r="N48" s="8">
        <f t="shared" ref="N48:N63" si="30">SUM(0)</f>
        <v>0</v>
      </c>
      <c r="O48" s="8">
        <f t="shared" ref="O48:O63" si="31">SUM(A48:L48)</f>
        <v>0</v>
      </c>
      <c r="P48" s="8">
        <f t="shared" si="3"/>
        <v>0</v>
      </c>
      <c r="Q48" s="8">
        <v>0</v>
      </c>
      <c r="R48" s="8">
        <f t="shared" ref="R48:R63" si="32">Q48-P48</f>
        <v>0</v>
      </c>
      <c r="S48" s="8"/>
      <c r="T48" s="8"/>
      <c r="U48" s="8">
        <v>0</v>
      </c>
      <c r="V48" s="8">
        <f t="shared" si="5"/>
        <v>0</v>
      </c>
      <c r="W48" s="362"/>
      <c r="X48" s="158">
        <f t="shared" si="6"/>
        <v>0</v>
      </c>
      <c r="Z48" s="182"/>
      <c r="AA48" s="182"/>
    </row>
    <row r="49" spans="1:27" x14ac:dyDescent="0.3">
      <c r="A49" s="7"/>
      <c r="B49" s="7"/>
      <c r="C49" s="7"/>
      <c r="D49" s="7"/>
      <c r="E49" s="7">
        <f>1773*1.048</f>
        <v>1858.104</v>
      </c>
      <c r="F49" s="7"/>
      <c r="G49" s="7"/>
      <c r="H49" s="7"/>
      <c r="I49" s="7"/>
      <c r="J49" s="7"/>
      <c r="K49" s="7"/>
      <c r="L49" s="7">
        <f>481.774983372728*1.048</f>
        <v>504.90018257461895</v>
      </c>
      <c r="M49" s="13" t="s">
        <v>446</v>
      </c>
      <c r="N49" s="7">
        <f t="shared" si="30"/>
        <v>0</v>
      </c>
      <c r="O49" s="7">
        <f t="shared" si="31"/>
        <v>2363.0041825746189</v>
      </c>
      <c r="P49" s="7">
        <f t="shared" si="3"/>
        <v>2363.0041825746189</v>
      </c>
      <c r="Q49" s="7">
        <v>2363.0041825746189</v>
      </c>
      <c r="R49" s="7">
        <f t="shared" si="32"/>
        <v>0</v>
      </c>
      <c r="S49" s="7"/>
      <c r="T49" s="7"/>
      <c r="U49" s="7">
        <v>2226.0419999999999</v>
      </c>
      <c r="V49" s="7">
        <f t="shared" si="5"/>
        <v>-136.96218257461896</v>
      </c>
      <c r="W49" s="359"/>
      <c r="X49" s="159">
        <f t="shared" si="6"/>
        <v>0</v>
      </c>
      <c r="Z49" s="182"/>
      <c r="AA49" s="182"/>
    </row>
    <row r="50" spans="1:27" x14ac:dyDescent="0.3">
      <c r="A50" s="7"/>
      <c r="B50" s="7"/>
      <c r="C50" s="7"/>
      <c r="D50" s="7"/>
      <c r="E50" s="7"/>
      <c r="F50" s="7">
        <f>107*1.048</f>
        <v>112.13600000000001</v>
      </c>
      <c r="G50" s="7"/>
      <c r="H50" s="7"/>
      <c r="I50" s="7"/>
      <c r="J50" s="7"/>
      <c r="K50" s="7"/>
      <c r="L50" s="7"/>
      <c r="M50" s="13" t="s">
        <v>447</v>
      </c>
      <c r="N50" s="7">
        <f t="shared" si="30"/>
        <v>0</v>
      </c>
      <c r="O50" s="7">
        <f t="shared" si="31"/>
        <v>112.13600000000001</v>
      </c>
      <c r="P50" s="7">
        <f t="shared" si="3"/>
        <v>112.13600000000001</v>
      </c>
      <c r="Q50" s="7">
        <v>112.13600000000001</v>
      </c>
      <c r="R50" s="7">
        <f t="shared" si="32"/>
        <v>0</v>
      </c>
      <c r="S50" s="7"/>
      <c r="T50" s="7">
        <v>-21302</v>
      </c>
      <c r="U50" s="7">
        <v>0.14552832000117633</v>
      </c>
      <c r="V50" s="7">
        <f t="shared" si="5"/>
        <v>-111.99047167999883</v>
      </c>
      <c r="W50" s="359" t="s">
        <v>385</v>
      </c>
      <c r="X50" s="159">
        <f t="shared" si="6"/>
        <v>0</v>
      </c>
      <c r="Z50" s="182"/>
      <c r="AA50" s="182"/>
    </row>
    <row r="51" spans="1:27" x14ac:dyDescent="0.3">
      <c r="A51" s="7">
        <v>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13" t="s">
        <v>448</v>
      </c>
      <c r="N51" s="7">
        <f t="shared" si="30"/>
        <v>0</v>
      </c>
      <c r="O51" s="7">
        <f t="shared" si="31"/>
        <v>0</v>
      </c>
      <c r="P51" s="7">
        <f t="shared" si="3"/>
        <v>0</v>
      </c>
      <c r="Q51" s="7">
        <v>0</v>
      </c>
      <c r="R51" s="7">
        <f t="shared" si="32"/>
        <v>0</v>
      </c>
      <c r="S51" s="7"/>
      <c r="T51" s="7"/>
      <c r="U51" s="7">
        <v>0</v>
      </c>
      <c r="V51" s="7">
        <f t="shared" si="5"/>
        <v>0</v>
      </c>
      <c r="W51" s="359"/>
      <c r="X51" s="159">
        <f t="shared" si="6"/>
        <v>0</v>
      </c>
      <c r="Z51" s="182"/>
      <c r="AA51" s="182"/>
    </row>
    <row r="52" spans="1:27" x14ac:dyDescent="0.3">
      <c r="A52" s="7"/>
      <c r="B52" s="7"/>
      <c r="C52" s="7"/>
      <c r="D52" s="7"/>
      <c r="E52" s="7">
        <f>215*1.048</f>
        <v>225.32000000000002</v>
      </c>
      <c r="F52" s="7"/>
      <c r="G52" s="7"/>
      <c r="H52" s="7"/>
      <c r="I52" s="7"/>
      <c r="J52" s="7"/>
      <c r="K52" s="7"/>
      <c r="L52" s="7"/>
      <c r="M52" s="13" t="s">
        <v>449</v>
      </c>
      <c r="N52" s="7">
        <f t="shared" si="30"/>
        <v>0</v>
      </c>
      <c r="O52" s="7">
        <f t="shared" si="31"/>
        <v>225.32000000000002</v>
      </c>
      <c r="P52" s="7">
        <f t="shared" si="3"/>
        <v>225.32000000000002</v>
      </c>
      <c r="Q52" s="7">
        <v>225.32000000000002</v>
      </c>
      <c r="R52" s="7">
        <f t="shared" si="32"/>
        <v>0</v>
      </c>
      <c r="S52" s="7"/>
      <c r="T52" s="7"/>
      <c r="U52" s="7">
        <v>0</v>
      </c>
      <c r="V52" s="7">
        <f t="shared" si="5"/>
        <v>-225.32000000000002</v>
      </c>
      <c r="W52" s="359"/>
      <c r="X52" s="159">
        <f t="shared" si="6"/>
        <v>0</v>
      </c>
      <c r="Z52" s="182"/>
      <c r="AA52" s="182"/>
    </row>
    <row r="53" spans="1:27" ht="52.95" customHeight="1" x14ac:dyDescent="0.3">
      <c r="A53" s="7">
        <f>5178.91666666667*1.048</f>
        <v>5427.5046666666703</v>
      </c>
      <c r="B53" s="7">
        <f t="shared" ref="B53:K53" si="33">5178.91666666667*1.048</f>
        <v>5427.5046666666703</v>
      </c>
      <c r="C53" s="7">
        <f t="shared" si="33"/>
        <v>5427.5046666666703</v>
      </c>
      <c r="D53" s="7">
        <f t="shared" si="33"/>
        <v>5427.5046666666703</v>
      </c>
      <c r="E53" s="7">
        <f t="shared" si="33"/>
        <v>5427.5046666666703</v>
      </c>
      <c r="F53" s="7">
        <f t="shared" si="33"/>
        <v>5427.5046666666703</v>
      </c>
      <c r="G53" s="7">
        <f t="shared" si="33"/>
        <v>5427.5046666666703</v>
      </c>
      <c r="H53" s="7">
        <f t="shared" si="33"/>
        <v>5427.5046666666703</v>
      </c>
      <c r="I53" s="7">
        <f t="shared" si="33"/>
        <v>5427.5046666666703</v>
      </c>
      <c r="J53" s="7">
        <f t="shared" si="33"/>
        <v>5427.5046666666703</v>
      </c>
      <c r="K53" s="7">
        <f t="shared" si="33"/>
        <v>5427.5046666666703</v>
      </c>
      <c r="L53" s="7">
        <f>(5178.91666666667*1.048)+9</f>
        <v>5436.5046666666703</v>
      </c>
      <c r="M53" s="13" t="s">
        <v>450</v>
      </c>
      <c r="N53" s="7">
        <f t="shared" si="30"/>
        <v>0</v>
      </c>
      <c r="O53" s="7">
        <f t="shared" si="31"/>
        <v>65139.056000000033</v>
      </c>
      <c r="P53" s="7">
        <f t="shared" si="3"/>
        <v>65139.056000000033</v>
      </c>
      <c r="Q53" s="7">
        <v>65139.056000000033</v>
      </c>
      <c r="R53" s="7">
        <f t="shared" si="32"/>
        <v>0</v>
      </c>
      <c r="S53" s="7"/>
      <c r="T53" s="7">
        <v>29556</v>
      </c>
      <c r="U53" s="7">
        <v>62147</v>
      </c>
      <c r="V53" s="7">
        <f t="shared" si="5"/>
        <v>-2992.0560000000332</v>
      </c>
      <c r="W53" s="359" t="s">
        <v>391</v>
      </c>
      <c r="X53" s="159">
        <f t="shared" si="6"/>
        <v>0</v>
      </c>
      <c r="Z53" s="182"/>
      <c r="AA53" s="182"/>
    </row>
    <row r="54" spans="1:27" x14ac:dyDescent="0.3">
      <c r="A54" s="7">
        <v>0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13" t="s">
        <v>451</v>
      </c>
      <c r="N54" s="7">
        <f t="shared" si="30"/>
        <v>0</v>
      </c>
      <c r="O54" s="7">
        <f t="shared" si="31"/>
        <v>0</v>
      </c>
      <c r="P54" s="7">
        <f t="shared" si="3"/>
        <v>0</v>
      </c>
      <c r="Q54" s="7">
        <v>0</v>
      </c>
      <c r="R54" s="7">
        <f t="shared" si="32"/>
        <v>0</v>
      </c>
      <c r="S54" s="7"/>
      <c r="T54" s="7"/>
      <c r="U54" s="7">
        <v>0</v>
      </c>
      <c r="V54" s="7">
        <f t="shared" si="5"/>
        <v>0</v>
      </c>
      <c r="W54" s="359"/>
      <c r="X54" s="159">
        <f t="shared" si="6"/>
        <v>0</v>
      </c>
      <c r="Z54" s="182"/>
      <c r="AA54" s="182"/>
    </row>
    <row r="55" spans="1:27" x14ac:dyDescent="0.3">
      <c r="A55" s="7">
        <f>216.487421466667</f>
        <v>216.487421466667</v>
      </c>
      <c r="B55" s="7">
        <f t="shared" ref="B55:L55" si="34">216.487421466667</f>
        <v>216.487421466667</v>
      </c>
      <c r="C55" s="7">
        <f t="shared" si="34"/>
        <v>216.487421466667</v>
      </c>
      <c r="D55" s="7">
        <f t="shared" si="34"/>
        <v>216.487421466667</v>
      </c>
      <c r="E55" s="7">
        <f t="shared" si="34"/>
        <v>216.487421466667</v>
      </c>
      <c r="F55" s="7">
        <f t="shared" si="34"/>
        <v>216.487421466667</v>
      </c>
      <c r="G55" s="7">
        <f t="shared" si="34"/>
        <v>216.487421466667</v>
      </c>
      <c r="H55" s="7">
        <f t="shared" si="34"/>
        <v>216.487421466667</v>
      </c>
      <c r="I55" s="7">
        <f t="shared" si="34"/>
        <v>216.487421466667</v>
      </c>
      <c r="J55" s="7">
        <f t="shared" si="34"/>
        <v>216.487421466667</v>
      </c>
      <c r="K55" s="7">
        <f t="shared" si="34"/>
        <v>216.487421466667</v>
      </c>
      <c r="L55" s="7">
        <f t="shared" si="34"/>
        <v>216.487421466667</v>
      </c>
      <c r="M55" s="238" t="s">
        <v>452</v>
      </c>
      <c r="N55" s="7">
        <f t="shared" si="30"/>
        <v>0</v>
      </c>
      <c r="O55" s="7">
        <f t="shared" si="31"/>
        <v>2597.849057600004</v>
      </c>
      <c r="P55" s="7">
        <f t="shared" si="3"/>
        <v>2597.849057600004</v>
      </c>
      <c r="Q55" s="7">
        <v>2597.849057600004</v>
      </c>
      <c r="R55" s="7">
        <f t="shared" si="32"/>
        <v>0</v>
      </c>
      <c r="S55" s="7"/>
      <c r="T55" s="7">
        <v>-1486</v>
      </c>
      <c r="U55" s="7">
        <v>2597.8490576000013</v>
      </c>
      <c r="V55" s="7">
        <f t="shared" si="5"/>
        <v>0</v>
      </c>
      <c r="W55" s="359" t="s">
        <v>392</v>
      </c>
      <c r="X55" s="159">
        <f t="shared" si="6"/>
        <v>0</v>
      </c>
      <c r="Z55" s="182"/>
      <c r="AA55" s="182"/>
    </row>
    <row r="56" spans="1:27" x14ac:dyDescent="0.3">
      <c r="A56" s="7">
        <v>0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13" t="s">
        <v>453</v>
      </c>
      <c r="N56" s="7">
        <f t="shared" si="30"/>
        <v>0</v>
      </c>
      <c r="O56" s="7">
        <f t="shared" si="31"/>
        <v>0</v>
      </c>
      <c r="P56" s="7">
        <f t="shared" si="3"/>
        <v>0</v>
      </c>
      <c r="Q56" s="7">
        <v>0</v>
      </c>
      <c r="R56" s="7">
        <f t="shared" si="32"/>
        <v>0</v>
      </c>
      <c r="S56" s="7"/>
      <c r="T56" s="7"/>
      <c r="U56" s="7">
        <v>0</v>
      </c>
      <c r="V56" s="7">
        <f t="shared" si="5"/>
        <v>0</v>
      </c>
      <c r="W56" s="359"/>
      <c r="X56" s="159">
        <f t="shared" si="6"/>
        <v>0</v>
      </c>
      <c r="Z56" s="182"/>
      <c r="AA56" s="182"/>
    </row>
    <row r="57" spans="1:27" x14ac:dyDescent="0.3">
      <c r="A57" s="7">
        <v>0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13" t="s">
        <v>454</v>
      </c>
      <c r="N57" s="7">
        <f t="shared" si="30"/>
        <v>0</v>
      </c>
      <c r="O57" s="7">
        <f t="shared" si="31"/>
        <v>0</v>
      </c>
      <c r="P57" s="7">
        <f t="shared" si="3"/>
        <v>0</v>
      </c>
      <c r="Q57" s="7">
        <v>0</v>
      </c>
      <c r="R57" s="7">
        <f t="shared" si="32"/>
        <v>0</v>
      </c>
      <c r="S57" s="7"/>
      <c r="T57" s="7"/>
      <c r="U57" s="7">
        <v>0</v>
      </c>
      <c r="V57" s="7">
        <f t="shared" si="5"/>
        <v>0</v>
      </c>
      <c r="W57" s="359"/>
      <c r="X57" s="159">
        <f t="shared" si="6"/>
        <v>0</v>
      </c>
      <c r="Z57" s="182"/>
      <c r="AA57" s="182"/>
    </row>
    <row r="58" spans="1:27" x14ac:dyDescent="0.3">
      <c r="A58" s="7">
        <f>998.833333333333*1.048</f>
        <v>1046.777333333333</v>
      </c>
      <c r="B58" s="7">
        <f t="shared" ref="B58:L58" si="35">998.833333333333*1.048</f>
        <v>1046.777333333333</v>
      </c>
      <c r="C58" s="7">
        <f t="shared" si="35"/>
        <v>1046.777333333333</v>
      </c>
      <c r="D58" s="7">
        <f t="shared" si="35"/>
        <v>1046.777333333333</v>
      </c>
      <c r="E58" s="7">
        <f t="shared" si="35"/>
        <v>1046.777333333333</v>
      </c>
      <c r="F58" s="7">
        <f t="shared" si="35"/>
        <v>1046.777333333333</v>
      </c>
      <c r="G58" s="7">
        <f t="shared" si="35"/>
        <v>1046.777333333333</v>
      </c>
      <c r="H58" s="7">
        <f t="shared" si="35"/>
        <v>1046.777333333333</v>
      </c>
      <c r="I58" s="7">
        <f t="shared" si="35"/>
        <v>1046.777333333333</v>
      </c>
      <c r="J58" s="7">
        <f t="shared" si="35"/>
        <v>1046.777333333333</v>
      </c>
      <c r="K58" s="7">
        <f t="shared" si="35"/>
        <v>1046.777333333333</v>
      </c>
      <c r="L58" s="7">
        <f t="shared" si="35"/>
        <v>1046.777333333333</v>
      </c>
      <c r="M58" s="13" t="s">
        <v>455</v>
      </c>
      <c r="N58" s="7">
        <f t="shared" si="30"/>
        <v>0</v>
      </c>
      <c r="O58" s="7">
        <f t="shared" si="31"/>
        <v>12561.328</v>
      </c>
      <c r="P58" s="7">
        <f t="shared" si="3"/>
        <v>12561.328</v>
      </c>
      <c r="Q58" s="7">
        <v>12561.328</v>
      </c>
      <c r="R58" s="7">
        <f t="shared" si="32"/>
        <v>0</v>
      </c>
      <c r="S58" s="7"/>
      <c r="T58" s="7"/>
      <c r="U58" s="7">
        <v>11986</v>
      </c>
      <c r="V58" s="7">
        <f t="shared" si="5"/>
        <v>-575.32799999999952</v>
      </c>
      <c r="W58" s="359"/>
      <c r="X58" s="159">
        <f t="shared" si="6"/>
        <v>0</v>
      </c>
      <c r="Z58" s="182"/>
      <c r="AA58" s="182"/>
    </row>
    <row r="59" spans="1:27" x14ac:dyDescent="0.3">
      <c r="A59" s="7">
        <v>0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13" t="s">
        <v>456</v>
      </c>
      <c r="N59" s="7">
        <f t="shared" si="30"/>
        <v>0</v>
      </c>
      <c r="O59" s="7">
        <f t="shared" si="31"/>
        <v>0</v>
      </c>
      <c r="P59" s="7">
        <f t="shared" si="3"/>
        <v>0</v>
      </c>
      <c r="Q59" s="7">
        <v>0</v>
      </c>
      <c r="R59" s="7">
        <f t="shared" si="32"/>
        <v>0</v>
      </c>
      <c r="S59" s="7"/>
      <c r="T59" s="7">
        <v>2727.395</v>
      </c>
      <c r="U59" s="7">
        <v>10925</v>
      </c>
      <c r="V59" s="7">
        <f t="shared" si="5"/>
        <v>10925</v>
      </c>
      <c r="W59" s="359" t="s">
        <v>386</v>
      </c>
      <c r="X59" s="159">
        <f t="shared" si="6"/>
        <v>0</v>
      </c>
      <c r="Z59" s="182"/>
      <c r="AA59" s="182"/>
    </row>
    <row r="60" spans="1:27" x14ac:dyDescent="0.3">
      <c r="A60" s="7">
        <f>3250*1.048</f>
        <v>3406</v>
      </c>
      <c r="B60" s="7">
        <f t="shared" ref="B60:L60" si="36">3250*1.048</f>
        <v>3406</v>
      </c>
      <c r="C60" s="7">
        <f t="shared" si="36"/>
        <v>3406</v>
      </c>
      <c r="D60" s="7">
        <f t="shared" si="36"/>
        <v>3406</v>
      </c>
      <c r="E60" s="7">
        <f t="shared" si="36"/>
        <v>3406</v>
      </c>
      <c r="F60" s="7">
        <f t="shared" si="36"/>
        <v>3406</v>
      </c>
      <c r="G60" s="7">
        <f t="shared" si="36"/>
        <v>3406</v>
      </c>
      <c r="H60" s="7">
        <f t="shared" si="36"/>
        <v>3406</v>
      </c>
      <c r="I60" s="7">
        <f t="shared" si="36"/>
        <v>3406</v>
      </c>
      <c r="J60" s="7">
        <f t="shared" si="36"/>
        <v>3406</v>
      </c>
      <c r="K60" s="7">
        <f t="shared" si="36"/>
        <v>3406</v>
      </c>
      <c r="L60" s="7">
        <f t="shared" si="36"/>
        <v>3406</v>
      </c>
      <c r="M60" s="13" t="s">
        <v>457</v>
      </c>
      <c r="N60" s="7">
        <f t="shared" si="30"/>
        <v>0</v>
      </c>
      <c r="O60" s="7">
        <f t="shared" si="31"/>
        <v>40872</v>
      </c>
      <c r="P60" s="7">
        <f t="shared" si="3"/>
        <v>40872</v>
      </c>
      <c r="Q60" s="7">
        <v>40872</v>
      </c>
      <c r="R60" s="7">
        <f t="shared" si="32"/>
        <v>0</v>
      </c>
      <c r="S60" s="7"/>
      <c r="T60" s="7"/>
      <c r="U60" s="7">
        <v>39000</v>
      </c>
      <c r="V60" s="7">
        <f t="shared" si="5"/>
        <v>-1872</v>
      </c>
      <c r="W60" s="359"/>
      <c r="X60" s="159">
        <f t="shared" si="6"/>
        <v>0</v>
      </c>
      <c r="Z60" s="182"/>
      <c r="AA60" s="182"/>
    </row>
    <row r="61" spans="1:27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13" t="s">
        <v>458</v>
      </c>
      <c r="N61" s="7">
        <f t="shared" si="30"/>
        <v>0</v>
      </c>
      <c r="O61" s="7">
        <f t="shared" si="31"/>
        <v>0</v>
      </c>
      <c r="P61" s="7">
        <f t="shared" si="3"/>
        <v>0</v>
      </c>
      <c r="Q61" s="7">
        <v>0</v>
      </c>
      <c r="R61" s="7">
        <f t="shared" si="32"/>
        <v>0</v>
      </c>
      <c r="S61" s="7"/>
      <c r="T61" s="7"/>
      <c r="U61" s="7">
        <v>0</v>
      </c>
      <c r="V61" s="7">
        <f t="shared" si="5"/>
        <v>0</v>
      </c>
      <c r="W61" s="359"/>
      <c r="X61" s="159">
        <f t="shared" si="6"/>
        <v>0</v>
      </c>
      <c r="Z61" s="182"/>
      <c r="AA61" s="182"/>
    </row>
    <row r="62" spans="1:27" x14ac:dyDescent="0.3">
      <c r="A62" s="7">
        <v>0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238" t="s">
        <v>459</v>
      </c>
      <c r="N62" s="7">
        <f t="shared" si="30"/>
        <v>0</v>
      </c>
      <c r="O62" s="7">
        <f t="shared" si="31"/>
        <v>0</v>
      </c>
      <c r="P62" s="7">
        <f t="shared" si="3"/>
        <v>0</v>
      </c>
      <c r="Q62" s="7">
        <v>0</v>
      </c>
      <c r="R62" s="7">
        <f t="shared" si="32"/>
        <v>0</v>
      </c>
      <c r="S62" s="7"/>
      <c r="T62" s="7"/>
      <c r="U62" s="7">
        <v>0</v>
      </c>
      <c r="V62" s="7">
        <f t="shared" si="5"/>
        <v>0</v>
      </c>
      <c r="W62" s="359"/>
      <c r="X62" s="159">
        <f t="shared" si="6"/>
        <v>0</v>
      </c>
      <c r="Z62" s="182"/>
      <c r="AA62" s="182"/>
    </row>
    <row r="63" spans="1:27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238" t="s">
        <v>460</v>
      </c>
      <c r="N63" s="11">
        <f t="shared" si="30"/>
        <v>0</v>
      </c>
      <c r="O63" s="11">
        <f t="shared" si="31"/>
        <v>0</v>
      </c>
      <c r="P63" s="11">
        <f t="shared" si="3"/>
        <v>0</v>
      </c>
      <c r="Q63" s="11">
        <v>0</v>
      </c>
      <c r="R63" s="11">
        <f t="shared" si="32"/>
        <v>0</v>
      </c>
      <c r="S63" s="11"/>
      <c r="T63" s="11"/>
      <c r="U63" s="11">
        <v>0</v>
      </c>
      <c r="V63" s="11">
        <f t="shared" si="5"/>
        <v>0</v>
      </c>
      <c r="W63" s="363"/>
      <c r="X63" s="160">
        <f t="shared" si="6"/>
        <v>0</v>
      </c>
      <c r="Z63" s="182"/>
      <c r="AA63" s="182"/>
    </row>
    <row r="64" spans="1:27" ht="15" thickBot="1" x14ac:dyDescent="0.35">
      <c r="A64" s="89"/>
      <c r="B64" s="89"/>
      <c r="C64" s="89"/>
      <c r="D64" s="90"/>
      <c r="E64" s="91"/>
      <c r="F64" s="91"/>
      <c r="G64" s="91"/>
      <c r="H64" s="91"/>
      <c r="I64" s="91"/>
      <c r="J64" s="91"/>
      <c r="K64" s="92"/>
      <c r="L64" s="92"/>
      <c r="M64" s="13"/>
      <c r="N64" s="91">
        <f t="shared" si="8"/>
        <v>0</v>
      </c>
      <c r="O64" s="91">
        <f t="shared" si="9"/>
        <v>0</v>
      </c>
      <c r="P64" s="91">
        <f t="shared" si="3"/>
        <v>0</v>
      </c>
      <c r="Q64" s="91">
        <v>0</v>
      </c>
      <c r="R64" s="89"/>
      <c r="S64" s="89"/>
      <c r="T64" s="89"/>
      <c r="U64" s="89">
        <v>0</v>
      </c>
      <c r="V64" s="89">
        <f t="shared" si="5"/>
        <v>0</v>
      </c>
      <c r="W64" s="367"/>
      <c r="X64" s="207">
        <f t="shared" si="6"/>
        <v>0</v>
      </c>
      <c r="Z64" s="182"/>
      <c r="AA64" s="182"/>
    </row>
    <row r="65" spans="1:27" x14ac:dyDescent="0.3">
      <c r="A65" s="4">
        <f>SUM(A48:A63)</f>
        <v>10096.76942146667</v>
      </c>
      <c r="B65" s="4">
        <f t="shared" ref="B65:L65" si="37">SUM(B48:B63)</f>
        <v>10096.76942146667</v>
      </c>
      <c r="C65" s="4">
        <f t="shared" si="37"/>
        <v>10096.76942146667</v>
      </c>
      <c r="D65" s="4">
        <f t="shared" si="37"/>
        <v>10096.76942146667</v>
      </c>
      <c r="E65" s="4">
        <f t="shared" si="37"/>
        <v>12180.193421466671</v>
      </c>
      <c r="F65" s="4">
        <f t="shared" si="37"/>
        <v>10208.90542146667</v>
      </c>
      <c r="G65" s="4">
        <f t="shared" si="37"/>
        <v>10096.76942146667</v>
      </c>
      <c r="H65" s="4">
        <f t="shared" si="37"/>
        <v>10096.76942146667</v>
      </c>
      <c r="I65" s="4">
        <f t="shared" si="37"/>
        <v>10096.76942146667</v>
      </c>
      <c r="J65" s="4">
        <f t="shared" si="37"/>
        <v>10096.76942146667</v>
      </c>
      <c r="K65" s="4">
        <f t="shared" si="37"/>
        <v>10096.76942146667</v>
      </c>
      <c r="L65" s="4">
        <f t="shared" si="37"/>
        <v>10610.66960404129</v>
      </c>
      <c r="M65" s="13" t="s">
        <v>132</v>
      </c>
      <c r="N65" s="4">
        <f t="shared" ref="N65:O65" si="38">SUM(N48:N63)</f>
        <v>0</v>
      </c>
      <c r="O65" s="4">
        <f t="shared" si="38"/>
        <v>123870.69324017465</v>
      </c>
      <c r="P65" s="4">
        <f t="shared" ref="P65:Q65" si="39">SUM(P48:P63)</f>
        <v>123870.69324017465</v>
      </c>
      <c r="Q65" s="4">
        <f t="shared" si="39"/>
        <v>123870.69324017465</v>
      </c>
      <c r="R65" s="4">
        <f t="shared" ref="R65:W65" si="40">SUM(R48:R63)</f>
        <v>0</v>
      </c>
      <c r="S65" s="4">
        <v>0</v>
      </c>
      <c r="T65" s="4">
        <v>9495.3950000000004</v>
      </c>
      <c r="U65" s="4">
        <v>128882.03658592001</v>
      </c>
      <c r="V65" s="4">
        <f t="shared" si="5"/>
        <v>5011.3433457453648</v>
      </c>
      <c r="W65" s="365">
        <f t="shared" si="40"/>
        <v>0</v>
      </c>
      <c r="X65" s="162">
        <f t="shared" si="6"/>
        <v>0</v>
      </c>
      <c r="Z65" s="182"/>
      <c r="AA65" s="182"/>
    </row>
    <row r="66" spans="1:27" x14ac:dyDescent="0.3">
      <c r="A66" s="81"/>
      <c r="B66" s="81"/>
      <c r="C66" s="81"/>
      <c r="D66" s="82"/>
      <c r="E66" s="86"/>
      <c r="F66" s="86"/>
      <c r="G66" s="86"/>
      <c r="H66" s="87"/>
      <c r="I66" s="87"/>
      <c r="J66" s="87"/>
      <c r="K66" s="84"/>
      <c r="L66" s="84"/>
      <c r="M66" s="80"/>
      <c r="N66" s="86">
        <f t="shared" si="8"/>
        <v>0</v>
      </c>
      <c r="O66" s="86">
        <f t="shared" si="9"/>
        <v>0</v>
      </c>
      <c r="P66" s="86">
        <f t="shared" si="3"/>
        <v>0</v>
      </c>
      <c r="Q66" s="86"/>
      <c r="R66" s="81"/>
      <c r="S66" s="81"/>
      <c r="T66" s="81"/>
      <c r="U66" s="81">
        <v>0</v>
      </c>
      <c r="V66" s="81">
        <f t="shared" si="5"/>
        <v>0</v>
      </c>
      <c r="W66" s="364"/>
      <c r="X66" s="204">
        <f t="shared" si="6"/>
        <v>0</v>
      </c>
      <c r="Z66" s="182"/>
      <c r="AA66" s="182"/>
    </row>
    <row r="67" spans="1:27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238" t="s">
        <v>461</v>
      </c>
      <c r="N67" s="8">
        <f t="shared" ref="N67:N89" si="41">SUM(0)</f>
        <v>0</v>
      </c>
      <c r="O67" s="8">
        <f t="shared" ref="O67:O89" si="42">SUM(A67:L67)</f>
        <v>0</v>
      </c>
      <c r="P67" s="8">
        <f t="shared" si="3"/>
        <v>0</v>
      </c>
      <c r="Q67" s="8">
        <v>0</v>
      </c>
      <c r="R67" s="8">
        <f t="shared" ref="R67:R89" si="43">Q67-P67</f>
        <v>0</v>
      </c>
      <c r="S67" s="8"/>
      <c r="T67" s="8"/>
      <c r="U67" s="8">
        <v>0</v>
      </c>
      <c r="V67" s="8">
        <f t="shared" si="5"/>
        <v>0</v>
      </c>
      <c r="W67" s="362"/>
      <c r="X67" s="158">
        <f t="shared" si="6"/>
        <v>0</v>
      </c>
      <c r="Z67" s="182"/>
      <c r="AA67" s="182"/>
    </row>
    <row r="68" spans="1:27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13" t="s">
        <v>462</v>
      </c>
      <c r="N68" s="7">
        <f t="shared" si="41"/>
        <v>0</v>
      </c>
      <c r="O68" s="7">
        <f t="shared" si="42"/>
        <v>0</v>
      </c>
      <c r="P68" s="7">
        <f t="shared" si="3"/>
        <v>0</v>
      </c>
      <c r="Q68" s="7">
        <v>0</v>
      </c>
      <c r="R68" s="7">
        <f t="shared" si="43"/>
        <v>0</v>
      </c>
      <c r="S68" s="7"/>
      <c r="T68" s="7"/>
      <c r="U68" s="7">
        <v>0</v>
      </c>
      <c r="V68" s="7">
        <f t="shared" si="5"/>
        <v>0</v>
      </c>
      <c r="W68" s="359"/>
      <c r="X68" s="159">
        <f t="shared" si="6"/>
        <v>0</v>
      </c>
      <c r="Z68" s="182"/>
      <c r="AA68" s="182"/>
    </row>
    <row r="69" spans="1:27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13" t="s">
        <v>463</v>
      </c>
      <c r="N69" s="7">
        <f t="shared" si="41"/>
        <v>0</v>
      </c>
      <c r="O69" s="7">
        <f t="shared" si="42"/>
        <v>0</v>
      </c>
      <c r="P69" s="7">
        <f t="shared" si="3"/>
        <v>0</v>
      </c>
      <c r="Q69" s="7">
        <v>0</v>
      </c>
      <c r="R69" s="7">
        <f t="shared" si="43"/>
        <v>0</v>
      </c>
      <c r="S69" s="7"/>
      <c r="T69" s="7"/>
      <c r="U69" s="7">
        <v>0</v>
      </c>
      <c r="V69" s="7">
        <f t="shared" si="5"/>
        <v>0</v>
      </c>
      <c r="W69" s="359"/>
      <c r="X69" s="159">
        <f t="shared" si="6"/>
        <v>0</v>
      </c>
      <c r="Z69" s="182"/>
      <c r="AA69" s="182"/>
    </row>
    <row r="70" spans="1:27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13" t="s">
        <v>464</v>
      </c>
      <c r="N70" s="7">
        <f t="shared" si="41"/>
        <v>0</v>
      </c>
      <c r="O70" s="7">
        <f t="shared" si="42"/>
        <v>0</v>
      </c>
      <c r="P70" s="7">
        <f t="shared" si="3"/>
        <v>0</v>
      </c>
      <c r="Q70" s="7">
        <v>0</v>
      </c>
      <c r="R70" s="7">
        <f t="shared" si="43"/>
        <v>0</v>
      </c>
      <c r="S70" s="7"/>
      <c r="T70" s="7"/>
      <c r="U70" s="7">
        <v>0</v>
      </c>
      <c r="V70" s="7">
        <f t="shared" si="5"/>
        <v>0</v>
      </c>
      <c r="W70" s="359"/>
      <c r="X70" s="159">
        <f t="shared" si="6"/>
        <v>0</v>
      </c>
      <c r="Z70" s="182"/>
      <c r="AA70" s="182"/>
    </row>
    <row r="71" spans="1:27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13" t="s">
        <v>465</v>
      </c>
      <c r="N71" s="7">
        <f t="shared" si="41"/>
        <v>0</v>
      </c>
      <c r="O71" s="7">
        <f t="shared" si="42"/>
        <v>0</v>
      </c>
      <c r="P71" s="7">
        <f t="shared" si="3"/>
        <v>0</v>
      </c>
      <c r="Q71" s="7">
        <v>0</v>
      </c>
      <c r="R71" s="7">
        <f t="shared" si="43"/>
        <v>0</v>
      </c>
      <c r="S71" s="7"/>
      <c r="T71" s="7"/>
      <c r="U71" s="7">
        <v>0</v>
      </c>
      <c r="V71" s="7">
        <f t="shared" si="5"/>
        <v>0</v>
      </c>
      <c r="W71" s="359"/>
      <c r="X71" s="159">
        <f t="shared" si="6"/>
        <v>0</v>
      </c>
      <c r="Z71" s="182"/>
      <c r="AA71" s="182"/>
    </row>
    <row r="72" spans="1:27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13" t="s">
        <v>466</v>
      </c>
      <c r="N72" s="7">
        <f t="shared" si="41"/>
        <v>0</v>
      </c>
      <c r="O72" s="7">
        <f t="shared" si="42"/>
        <v>0</v>
      </c>
      <c r="P72" s="7">
        <f t="shared" ref="P72:R128" si="44">SUM(N72:O72)</f>
        <v>0</v>
      </c>
      <c r="Q72" s="7">
        <v>0</v>
      </c>
      <c r="R72" s="7">
        <f t="shared" si="43"/>
        <v>0</v>
      </c>
      <c r="S72" s="7"/>
      <c r="T72" s="7"/>
      <c r="U72" s="7">
        <v>0</v>
      </c>
      <c r="V72" s="7">
        <f t="shared" ref="V72:V129" si="45">U72-P72</f>
        <v>0</v>
      </c>
      <c r="W72" s="359"/>
      <c r="X72" s="159">
        <f t="shared" si="6"/>
        <v>0</v>
      </c>
      <c r="Z72" s="182"/>
      <c r="AA72" s="182"/>
    </row>
    <row r="73" spans="1:27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13" t="s">
        <v>453</v>
      </c>
      <c r="N73" s="7">
        <f t="shared" si="41"/>
        <v>0</v>
      </c>
      <c r="O73" s="7">
        <f t="shared" si="42"/>
        <v>0</v>
      </c>
      <c r="P73" s="7">
        <f t="shared" si="44"/>
        <v>0</v>
      </c>
      <c r="Q73" s="7">
        <v>0</v>
      </c>
      <c r="R73" s="7">
        <f t="shared" si="43"/>
        <v>0</v>
      </c>
      <c r="S73" s="7"/>
      <c r="T73" s="7"/>
      <c r="U73" s="7">
        <v>0</v>
      </c>
      <c r="V73" s="7">
        <f t="shared" si="45"/>
        <v>0</v>
      </c>
      <c r="W73" s="359"/>
      <c r="X73" s="159">
        <f t="shared" ref="X73:X129" si="46">IFERROR(N73/Q73,0)</f>
        <v>0</v>
      </c>
      <c r="Z73" s="182"/>
      <c r="AA73" s="182"/>
    </row>
    <row r="74" spans="1:27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238" t="s">
        <v>467</v>
      </c>
      <c r="N74" s="7">
        <f t="shared" si="41"/>
        <v>0</v>
      </c>
      <c r="O74" s="7">
        <f t="shared" si="42"/>
        <v>0</v>
      </c>
      <c r="P74" s="7">
        <f t="shared" si="44"/>
        <v>0</v>
      </c>
      <c r="Q74" s="7">
        <v>0</v>
      </c>
      <c r="R74" s="7">
        <f t="shared" si="43"/>
        <v>0</v>
      </c>
      <c r="S74" s="7"/>
      <c r="T74" s="7"/>
      <c r="U74" s="7">
        <v>0</v>
      </c>
      <c r="V74" s="7">
        <f t="shared" si="45"/>
        <v>0</v>
      </c>
      <c r="W74" s="359"/>
      <c r="X74" s="159">
        <f t="shared" si="46"/>
        <v>0</v>
      </c>
      <c r="Z74" s="182"/>
      <c r="AA74" s="182"/>
    </row>
    <row r="75" spans="1:27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13" t="s">
        <v>468</v>
      </c>
      <c r="N75" s="7">
        <f t="shared" si="41"/>
        <v>0</v>
      </c>
      <c r="O75" s="7">
        <f t="shared" si="42"/>
        <v>0</v>
      </c>
      <c r="P75" s="7">
        <f t="shared" si="44"/>
        <v>0</v>
      </c>
      <c r="Q75" s="7">
        <v>0</v>
      </c>
      <c r="R75" s="7">
        <f t="shared" si="43"/>
        <v>0</v>
      </c>
      <c r="S75" s="7"/>
      <c r="T75" s="7"/>
      <c r="U75" s="7">
        <v>0</v>
      </c>
      <c r="V75" s="7">
        <f t="shared" si="45"/>
        <v>0</v>
      </c>
      <c r="W75" s="359"/>
      <c r="X75" s="159">
        <f t="shared" si="46"/>
        <v>0</v>
      </c>
      <c r="Z75" s="182"/>
      <c r="AA75" s="182"/>
    </row>
    <row r="76" spans="1:27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13" t="s">
        <v>469</v>
      </c>
      <c r="N76" s="7">
        <f t="shared" si="41"/>
        <v>0</v>
      </c>
      <c r="O76" s="7">
        <f t="shared" si="42"/>
        <v>0</v>
      </c>
      <c r="P76" s="7">
        <f t="shared" si="44"/>
        <v>0</v>
      </c>
      <c r="Q76" s="7">
        <v>0</v>
      </c>
      <c r="R76" s="7">
        <f t="shared" si="43"/>
        <v>0</v>
      </c>
      <c r="S76" s="7"/>
      <c r="T76" s="7"/>
      <c r="U76" s="7">
        <v>0</v>
      </c>
      <c r="V76" s="7">
        <f t="shared" si="45"/>
        <v>0</v>
      </c>
      <c r="W76" s="359"/>
      <c r="X76" s="159">
        <f t="shared" si="46"/>
        <v>0</v>
      </c>
      <c r="Z76" s="182"/>
      <c r="AA76" s="182"/>
    </row>
    <row r="77" spans="1:27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13" t="s">
        <v>470</v>
      </c>
      <c r="N77" s="7">
        <f t="shared" si="41"/>
        <v>0</v>
      </c>
      <c r="O77" s="7">
        <f t="shared" si="42"/>
        <v>0</v>
      </c>
      <c r="P77" s="7">
        <f t="shared" si="44"/>
        <v>0</v>
      </c>
      <c r="Q77" s="7">
        <v>0</v>
      </c>
      <c r="R77" s="7">
        <f t="shared" si="43"/>
        <v>0</v>
      </c>
      <c r="S77" s="7"/>
      <c r="T77" s="7"/>
      <c r="U77" s="7">
        <v>0</v>
      </c>
      <c r="V77" s="7">
        <f t="shared" si="45"/>
        <v>0</v>
      </c>
      <c r="W77" s="359"/>
      <c r="X77" s="159">
        <f t="shared" si="46"/>
        <v>0</v>
      </c>
      <c r="Z77" s="182"/>
      <c r="AA77" s="182"/>
    </row>
    <row r="78" spans="1:27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13" t="s">
        <v>471</v>
      </c>
      <c r="N78" s="7">
        <f t="shared" si="41"/>
        <v>0</v>
      </c>
      <c r="O78" s="7">
        <f t="shared" si="42"/>
        <v>0</v>
      </c>
      <c r="P78" s="7">
        <f t="shared" si="44"/>
        <v>0</v>
      </c>
      <c r="Q78" s="7">
        <v>0</v>
      </c>
      <c r="R78" s="7">
        <f t="shared" si="43"/>
        <v>0</v>
      </c>
      <c r="S78" s="7"/>
      <c r="T78" s="7"/>
      <c r="U78" s="7">
        <v>0</v>
      </c>
      <c r="V78" s="7">
        <f t="shared" si="45"/>
        <v>0</v>
      </c>
      <c r="W78" s="359"/>
      <c r="X78" s="159">
        <f t="shared" si="46"/>
        <v>0</v>
      </c>
      <c r="Z78" s="182"/>
      <c r="AA78" s="182"/>
    </row>
    <row r="79" spans="1:27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13" t="s">
        <v>472</v>
      </c>
      <c r="N79" s="7">
        <f t="shared" si="41"/>
        <v>0</v>
      </c>
      <c r="O79" s="7">
        <f t="shared" si="42"/>
        <v>0</v>
      </c>
      <c r="P79" s="7">
        <f t="shared" si="44"/>
        <v>0</v>
      </c>
      <c r="Q79" s="7">
        <v>0</v>
      </c>
      <c r="R79" s="7">
        <f t="shared" si="43"/>
        <v>0</v>
      </c>
      <c r="S79" s="7"/>
      <c r="T79" s="7"/>
      <c r="U79" s="7">
        <v>0</v>
      </c>
      <c r="V79" s="7">
        <f t="shared" si="45"/>
        <v>0</v>
      </c>
      <c r="W79" s="359"/>
      <c r="X79" s="159">
        <f t="shared" si="46"/>
        <v>0</v>
      </c>
      <c r="Z79" s="182"/>
      <c r="AA79" s="182"/>
    </row>
    <row r="80" spans="1:27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13" t="s">
        <v>145</v>
      </c>
      <c r="N80" s="7">
        <f t="shared" si="41"/>
        <v>0</v>
      </c>
      <c r="O80" s="7">
        <f t="shared" si="42"/>
        <v>0</v>
      </c>
      <c r="P80" s="7">
        <f t="shared" si="44"/>
        <v>0</v>
      </c>
      <c r="Q80" s="7">
        <v>0</v>
      </c>
      <c r="R80" s="7">
        <f t="shared" si="43"/>
        <v>0</v>
      </c>
      <c r="S80" s="7"/>
      <c r="T80" s="7"/>
      <c r="U80" s="7">
        <v>0</v>
      </c>
      <c r="V80" s="7">
        <f t="shared" si="45"/>
        <v>0</v>
      </c>
      <c r="W80" s="359"/>
      <c r="X80" s="159">
        <f t="shared" si="46"/>
        <v>0</v>
      </c>
      <c r="Z80" s="182"/>
      <c r="AA80" s="182"/>
    </row>
    <row r="81" spans="1:27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>
        <f>10000*1.048</f>
        <v>10480</v>
      </c>
      <c r="M81" s="238" t="s">
        <v>473</v>
      </c>
      <c r="N81" s="7">
        <f t="shared" si="41"/>
        <v>0</v>
      </c>
      <c r="O81" s="7">
        <f t="shared" si="42"/>
        <v>10480</v>
      </c>
      <c r="P81" s="7">
        <f t="shared" si="44"/>
        <v>10480</v>
      </c>
      <c r="Q81" s="7">
        <v>10480</v>
      </c>
      <c r="R81" s="7">
        <f t="shared" si="43"/>
        <v>0</v>
      </c>
      <c r="S81" s="7"/>
      <c r="T81" s="202">
        <v>1110</v>
      </c>
      <c r="U81" s="7">
        <v>16110</v>
      </c>
      <c r="V81" s="7">
        <f t="shared" si="45"/>
        <v>5630</v>
      </c>
      <c r="W81" s="359" t="s">
        <v>387</v>
      </c>
      <c r="X81" s="159">
        <f t="shared" si="46"/>
        <v>0</v>
      </c>
      <c r="Z81" s="182"/>
      <c r="AA81" s="182"/>
    </row>
    <row r="82" spans="1:27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238" t="s">
        <v>474</v>
      </c>
      <c r="N82" s="7">
        <f t="shared" si="41"/>
        <v>0</v>
      </c>
      <c r="O82" s="7">
        <f t="shared" si="42"/>
        <v>0</v>
      </c>
      <c r="P82" s="7">
        <f t="shared" si="44"/>
        <v>0</v>
      </c>
      <c r="Q82" s="7">
        <v>0</v>
      </c>
      <c r="R82" s="7">
        <f t="shared" si="43"/>
        <v>0</v>
      </c>
      <c r="S82" s="7"/>
      <c r="T82" s="7"/>
      <c r="U82" s="7">
        <v>0</v>
      </c>
      <c r="V82" s="7">
        <f t="shared" si="45"/>
        <v>0</v>
      </c>
      <c r="W82" s="359"/>
      <c r="X82" s="159">
        <f t="shared" si="46"/>
        <v>0</v>
      </c>
      <c r="Z82" s="182"/>
      <c r="AA82" s="182"/>
    </row>
    <row r="83" spans="1:27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238" t="s">
        <v>148</v>
      </c>
      <c r="N83" s="7">
        <f t="shared" si="41"/>
        <v>0</v>
      </c>
      <c r="O83" s="7">
        <f t="shared" si="42"/>
        <v>0</v>
      </c>
      <c r="P83" s="7">
        <f t="shared" si="44"/>
        <v>0</v>
      </c>
      <c r="Q83" s="7">
        <v>0</v>
      </c>
      <c r="R83" s="7">
        <f t="shared" si="43"/>
        <v>0</v>
      </c>
      <c r="S83" s="7"/>
      <c r="T83" s="7"/>
      <c r="U83" s="7">
        <v>0</v>
      </c>
      <c r="V83" s="7">
        <f t="shared" si="45"/>
        <v>0</v>
      </c>
      <c r="W83" s="359"/>
      <c r="X83" s="159">
        <f t="shared" si="46"/>
        <v>0</v>
      </c>
      <c r="Z83" s="182"/>
      <c r="AA83" s="182"/>
    </row>
    <row r="84" spans="1:27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13" t="s">
        <v>475</v>
      </c>
      <c r="N84" s="7">
        <f t="shared" si="41"/>
        <v>0</v>
      </c>
      <c r="O84" s="7">
        <f t="shared" si="42"/>
        <v>0</v>
      </c>
      <c r="P84" s="7">
        <f t="shared" si="44"/>
        <v>0</v>
      </c>
      <c r="Q84" s="7">
        <v>0</v>
      </c>
      <c r="R84" s="7">
        <f t="shared" si="43"/>
        <v>0</v>
      </c>
      <c r="S84" s="7"/>
      <c r="T84" s="7"/>
      <c r="U84" s="7">
        <v>0</v>
      </c>
      <c r="V84" s="7">
        <f t="shared" si="45"/>
        <v>0</v>
      </c>
      <c r="W84" s="359"/>
      <c r="X84" s="159">
        <f t="shared" si="46"/>
        <v>0</v>
      </c>
      <c r="Z84" s="182"/>
      <c r="AA84" s="182"/>
    </row>
    <row r="85" spans="1:27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13" t="s">
        <v>476</v>
      </c>
      <c r="N85" s="7">
        <f t="shared" si="41"/>
        <v>0</v>
      </c>
      <c r="O85" s="7">
        <f t="shared" si="42"/>
        <v>0</v>
      </c>
      <c r="P85" s="7">
        <f t="shared" si="44"/>
        <v>0</v>
      </c>
      <c r="Q85" s="7">
        <v>0</v>
      </c>
      <c r="R85" s="7">
        <f t="shared" si="43"/>
        <v>0</v>
      </c>
      <c r="S85" s="7"/>
      <c r="T85" s="7"/>
      <c r="U85" s="7">
        <v>0</v>
      </c>
      <c r="V85" s="7">
        <f t="shared" si="45"/>
        <v>0</v>
      </c>
      <c r="W85" s="359"/>
      <c r="X85" s="159">
        <f t="shared" si="46"/>
        <v>0</v>
      </c>
      <c r="Z85" s="182"/>
      <c r="AA85" s="182"/>
    </row>
    <row r="86" spans="1:27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13" t="s">
        <v>151</v>
      </c>
      <c r="N86" s="7">
        <f t="shared" si="41"/>
        <v>0</v>
      </c>
      <c r="O86" s="7">
        <f t="shared" si="42"/>
        <v>0</v>
      </c>
      <c r="P86" s="7">
        <f t="shared" si="44"/>
        <v>0</v>
      </c>
      <c r="Q86" s="7">
        <v>0</v>
      </c>
      <c r="R86" s="7">
        <f t="shared" si="43"/>
        <v>0</v>
      </c>
      <c r="S86" s="7"/>
      <c r="T86" s="7"/>
      <c r="U86" s="7">
        <v>0</v>
      </c>
      <c r="V86" s="7">
        <f t="shared" si="45"/>
        <v>0</v>
      </c>
      <c r="W86" s="359"/>
      <c r="X86" s="159">
        <f t="shared" si="46"/>
        <v>0</v>
      </c>
      <c r="Z86" s="182"/>
      <c r="AA86" s="182"/>
    </row>
    <row r="87" spans="1:27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13" t="s">
        <v>477</v>
      </c>
      <c r="N87" s="7">
        <f t="shared" si="41"/>
        <v>0</v>
      </c>
      <c r="O87" s="7">
        <f t="shared" si="42"/>
        <v>0</v>
      </c>
      <c r="P87" s="7">
        <f t="shared" si="44"/>
        <v>0</v>
      </c>
      <c r="Q87" s="7">
        <v>0</v>
      </c>
      <c r="R87" s="7">
        <f t="shared" si="43"/>
        <v>0</v>
      </c>
      <c r="S87" s="7"/>
      <c r="T87" s="7"/>
      <c r="U87" s="7">
        <v>0</v>
      </c>
      <c r="V87" s="7">
        <f t="shared" si="45"/>
        <v>0</v>
      </c>
      <c r="W87" s="359"/>
      <c r="X87" s="159">
        <f t="shared" si="46"/>
        <v>0</v>
      </c>
      <c r="Z87" s="182"/>
      <c r="AA87" s="182"/>
    </row>
    <row r="88" spans="1:27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13" t="s">
        <v>478</v>
      </c>
      <c r="N88" s="7">
        <f t="shared" si="41"/>
        <v>0</v>
      </c>
      <c r="O88" s="7">
        <f t="shared" si="42"/>
        <v>0</v>
      </c>
      <c r="P88" s="7">
        <f t="shared" si="44"/>
        <v>0</v>
      </c>
      <c r="Q88" s="7">
        <v>0</v>
      </c>
      <c r="R88" s="7">
        <f t="shared" si="43"/>
        <v>0</v>
      </c>
      <c r="S88" s="7"/>
      <c r="T88" s="7"/>
      <c r="U88" s="7">
        <v>0</v>
      </c>
      <c r="V88" s="7">
        <f t="shared" si="45"/>
        <v>0</v>
      </c>
      <c r="W88" s="359"/>
      <c r="X88" s="159">
        <f t="shared" si="46"/>
        <v>0</v>
      </c>
      <c r="Z88" s="182"/>
      <c r="AA88" s="182"/>
    </row>
    <row r="89" spans="1:27" x14ac:dyDescent="0.3">
      <c r="A89" s="11"/>
      <c r="B89" s="11"/>
      <c r="C89" s="11"/>
      <c r="D89" s="7"/>
      <c r="E89" s="11"/>
      <c r="F89" s="11"/>
      <c r="G89" s="11"/>
      <c r="H89" s="11"/>
      <c r="I89" s="11"/>
      <c r="J89" s="11"/>
      <c r="K89" s="11"/>
      <c r="L89" s="11"/>
      <c r="M89" s="238" t="s">
        <v>479</v>
      </c>
      <c r="N89" s="11">
        <f t="shared" si="41"/>
        <v>0</v>
      </c>
      <c r="O89" s="11">
        <f t="shared" si="42"/>
        <v>0</v>
      </c>
      <c r="P89" s="11">
        <f t="shared" si="44"/>
        <v>0</v>
      </c>
      <c r="Q89" s="11">
        <v>0</v>
      </c>
      <c r="R89" s="11">
        <f t="shared" si="43"/>
        <v>0</v>
      </c>
      <c r="S89" s="11"/>
      <c r="T89" s="11"/>
      <c r="U89" s="11">
        <v>0</v>
      </c>
      <c r="V89" s="11">
        <f t="shared" si="45"/>
        <v>0</v>
      </c>
      <c r="W89" s="363"/>
      <c r="X89" s="160">
        <f t="shared" si="46"/>
        <v>0</v>
      </c>
      <c r="Z89" s="182"/>
      <c r="AA89" s="182"/>
    </row>
    <row r="90" spans="1:27" ht="15" thickBot="1" x14ac:dyDescent="0.35">
      <c r="A90" s="93"/>
      <c r="B90" s="93"/>
      <c r="C90" s="93"/>
      <c r="D90" s="94"/>
      <c r="E90" s="91"/>
      <c r="F90" s="91"/>
      <c r="G90" s="91"/>
      <c r="H90" s="91"/>
      <c r="I90" s="91"/>
      <c r="J90" s="91"/>
      <c r="K90" s="92"/>
      <c r="L90" s="92"/>
      <c r="M90" s="13"/>
      <c r="N90" s="91">
        <f t="shared" ref="N90:N128" si="47">SUM(A90:J90)</f>
        <v>0</v>
      </c>
      <c r="O90" s="91">
        <f t="shared" ref="O90:O128" si="48">SUM(K90:L90)</f>
        <v>0</v>
      </c>
      <c r="P90" s="91">
        <f t="shared" si="44"/>
        <v>0</v>
      </c>
      <c r="Q90" s="91">
        <v>0</v>
      </c>
      <c r="R90" s="93"/>
      <c r="S90" s="93"/>
      <c r="T90" s="93"/>
      <c r="U90" s="93">
        <v>0</v>
      </c>
      <c r="V90" s="93">
        <f t="shared" si="45"/>
        <v>0</v>
      </c>
      <c r="W90" s="368"/>
      <c r="X90" s="208">
        <f t="shared" si="46"/>
        <v>0</v>
      </c>
      <c r="Z90" s="182"/>
      <c r="AA90" s="182"/>
    </row>
    <row r="91" spans="1:27" x14ac:dyDescent="0.3">
      <c r="A91" s="4">
        <f>SUM(A67:A89)</f>
        <v>0</v>
      </c>
      <c r="B91" s="4">
        <f t="shared" ref="B91:L91" si="49">SUM(B67:B89)</f>
        <v>0</v>
      </c>
      <c r="C91" s="4">
        <f t="shared" si="49"/>
        <v>0</v>
      </c>
      <c r="D91" s="4">
        <f t="shared" si="49"/>
        <v>0</v>
      </c>
      <c r="E91" s="4">
        <f t="shared" si="49"/>
        <v>0</v>
      </c>
      <c r="F91" s="4">
        <f t="shared" si="49"/>
        <v>0</v>
      </c>
      <c r="G91" s="4">
        <f t="shared" si="49"/>
        <v>0</v>
      </c>
      <c r="H91" s="4">
        <f t="shared" si="49"/>
        <v>0</v>
      </c>
      <c r="I91" s="4">
        <f t="shared" si="49"/>
        <v>0</v>
      </c>
      <c r="J91" s="4">
        <f t="shared" si="49"/>
        <v>0</v>
      </c>
      <c r="K91" s="4">
        <f t="shared" si="49"/>
        <v>0</v>
      </c>
      <c r="L91" s="4">
        <f t="shared" si="49"/>
        <v>10480</v>
      </c>
      <c r="M91" s="13" t="s">
        <v>155</v>
      </c>
      <c r="N91" s="4">
        <f t="shared" ref="N91:O91" si="50">SUM(N67:N89)</f>
        <v>0</v>
      </c>
      <c r="O91" s="4">
        <f t="shared" si="50"/>
        <v>10480</v>
      </c>
      <c r="P91" s="4">
        <f t="shared" ref="P91:Q91" si="51">SUM(P67:P89)</f>
        <v>10480</v>
      </c>
      <c r="Q91" s="4">
        <f t="shared" si="51"/>
        <v>10480</v>
      </c>
      <c r="R91" s="4">
        <f t="shared" ref="R91:W91" si="52">SUM(R67:R89)</f>
        <v>0</v>
      </c>
      <c r="S91" s="4">
        <v>0</v>
      </c>
      <c r="T91" s="4">
        <v>1110</v>
      </c>
      <c r="U91" s="4">
        <v>16110</v>
      </c>
      <c r="V91" s="4">
        <f t="shared" si="45"/>
        <v>5630</v>
      </c>
      <c r="W91" s="365">
        <f t="shared" si="52"/>
        <v>0</v>
      </c>
      <c r="X91" s="162">
        <f t="shared" si="46"/>
        <v>0</v>
      </c>
      <c r="Z91" s="182"/>
      <c r="AA91" s="182"/>
    </row>
    <row r="92" spans="1:27" x14ac:dyDescent="0.3">
      <c r="A92" s="81"/>
      <c r="B92" s="81"/>
      <c r="C92" s="81"/>
      <c r="D92" s="82"/>
      <c r="E92" s="86"/>
      <c r="F92" s="86"/>
      <c r="G92" s="86"/>
      <c r="H92" s="87"/>
      <c r="I92" s="87"/>
      <c r="J92" s="87"/>
      <c r="K92" s="84"/>
      <c r="L92" s="84"/>
      <c r="M92" s="80"/>
      <c r="N92" s="86">
        <f t="shared" si="47"/>
        <v>0</v>
      </c>
      <c r="O92" s="86">
        <f t="shared" si="48"/>
        <v>0</v>
      </c>
      <c r="P92" s="86">
        <f t="shared" si="44"/>
        <v>0</v>
      </c>
      <c r="Q92" s="86">
        <v>0</v>
      </c>
      <c r="R92" s="81"/>
      <c r="S92" s="81"/>
      <c r="T92" s="81"/>
      <c r="U92" s="81">
        <v>0</v>
      </c>
      <c r="V92" s="81">
        <f t="shared" si="45"/>
        <v>0</v>
      </c>
      <c r="W92" s="364"/>
      <c r="X92" s="204">
        <f t="shared" si="46"/>
        <v>0</v>
      </c>
      <c r="Z92" s="182"/>
      <c r="AA92" s="182"/>
    </row>
    <row r="93" spans="1:27" ht="46.9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>
        <f>(156974*1.048)-8</f>
        <v>164500.75200000001</v>
      </c>
      <c r="M93" s="238" t="s">
        <v>480</v>
      </c>
      <c r="N93" s="8">
        <f t="shared" ref="N93:N100" si="53">SUM(0)</f>
        <v>0</v>
      </c>
      <c r="O93" s="8">
        <f t="shared" ref="O93:O100" si="54">SUM(A93:L93)</f>
        <v>164500.75200000001</v>
      </c>
      <c r="P93" s="8">
        <f t="shared" si="44"/>
        <v>164500.75200000001</v>
      </c>
      <c r="Q93" s="8">
        <v>164500.75200000001</v>
      </c>
      <c r="R93" s="8">
        <f t="shared" ref="R93:R100" si="55">Q93-P93</f>
        <v>0</v>
      </c>
      <c r="S93" s="8"/>
      <c r="T93" s="8">
        <v>27173</v>
      </c>
      <c r="U93" s="8">
        <v>156974.075534</v>
      </c>
      <c r="V93" s="8">
        <f t="shared" si="45"/>
        <v>-7526.6764660000044</v>
      </c>
      <c r="W93" s="362" t="s">
        <v>388</v>
      </c>
      <c r="X93" s="158">
        <f t="shared" si="46"/>
        <v>0</v>
      </c>
      <c r="Z93" s="182"/>
      <c r="AA93" s="182"/>
    </row>
    <row r="94" spans="1:27" x14ac:dyDescent="0.3">
      <c r="A94" s="168">
        <f>2720.85202408333*1.048</f>
        <v>2851.45292123933</v>
      </c>
      <c r="B94" s="168">
        <f t="shared" ref="B94:K94" si="56">2720.85202408333*1.048</f>
        <v>2851.45292123933</v>
      </c>
      <c r="C94" s="168">
        <f t="shared" si="56"/>
        <v>2851.45292123933</v>
      </c>
      <c r="D94" s="168">
        <f t="shared" si="56"/>
        <v>2851.45292123933</v>
      </c>
      <c r="E94" s="168">
        <f t="shared" si="56"/>
        <v>2851.45292123933</v>
      </c>
      <c r="F94" s="168">
        <f t="shared" si="56"/>
        <v>2851.45292123933</v>
      </c>
      <c r="G94" s="168">
        <f t="shared" si="56"/>
        <v>2851.45292123933</v>
      </c>
      <c r="H94" s="168">
        <f t="shared" si="56"/>
        <v>2851.45292123933</v>
      </c>
      <c r="I94" s="168">
        <f t="shared" si="56"/>
        <v>2851.45292123933</v>
      </c>
      <c r="J94" s="168">
        <f t="shared" si="56"/>
        <v>2851.45292123933</v>
      </c>
      <c r="K94" s="168">
        <f t="shared" si="56"/>
        <v>2851.45292123933</v>
      </c>
      <c r="L94" s="168">
        <f>(2720.85202408333*1.048)-2</f>
        <v>2849.45292123933</v>
      </c>
      <c r="M94" s="13" t="s">
        <v>481</v>
      </c>
      <c r="N94" s="7">
        <f t="shared" si="53"/>
        <v>0</v>
      </c>
      <c r="O94" s="7">
        <f t="shared" si="54"/>
        <v>34215.435054871967</v>
      </c>
      <c r="P94" s="7">
        <f t="shared" si="44"/>
        <v>34215.435054871967</v>
      </c>
      <c r="Q94" s="7">
        <v>34215.435054871967</v>
      </c>
      <c r="R94" s="7">
        <f t="shared" si="55"/>
        <v>0</v>
      </c>
      <c r="S94" s="7"/>
      <c r="T94" s="7"/>
      <c r="U94" s="7">
        <v>52650.224288999998</v>
      </c>
      <c r="V94" s="7">
        <f t="shared" si="45"/>
        <v>18434.789234128031</v>
      </c>
      <c r="W94" s="359"/>
      <c r="X94" s="159">
        <f t="shared" si="46"/>
        <v>0</v>
      </c>
      <c r="Z94" s="182"/>
      <c r="AA94" s="182"/>
    </row>
    <row r="95" spans="1:27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13" t="s">
        <v>482</v>
      </c>
      <c r="N95" s="7">
        <f t="shared" si="53"/>
        <v>0</v>
      </c>
      <c r="O95" s="7">
        <f t="shared" si="54"/>
        <v>0</v>
      </c>
      <c r="P95" s="7">
        <f t="shared" si="44"/>
        <v>0</v>
      </c>
      <c r="Q95" s="7">
        <v>0</v>
      </c>
      <c r="R95" s="7">
        <f t="shared" si="55"/>
        <v>0</v>
      </c>
      <c r="S95" s="7"/>
      <c r="T95" s="7"/>
      <c r="U95" s="7">
        <v>0</v>
      </c>
      <c r="V95" s="7">
        <f t="shared" si="45"/>
        <v>0</v>
      </c>
      <c r="W95" s="359"/>
      <c r="X95" s="159">
        <f t="shared" si="46"/>
        <v>0</v>
      </c>
      <c r="Z95" s="182"/>
      <c r="AA95" s="182"/>
    </row>
    <row r="96" spans="1:27" x14ac:dyDescent="0.3">
      <c r="A96" s="7">
        <f>186*1.048</f>
        <v>194.928</v>
      </c>
      <c r="B96" s="7">
        <f t="shared" ref="B96:K96" si="57">186*1.048</f>
        <v>194.928</v>
      </c>
      <c r="C96" s="7">
        <f t="shared" si="57"/>
        <v>194.928</v>
      </c>
      <c r="D96" s="7">
        <f t="shared" si="57"/>
        <v>194.928</v>
      </c>
      <c r="E96" s="7">
        <f t="shared" si="57"/>
        <v>194.928</v>
      </c>
      <c r="F96" s="7">
        <f t="shared" si="57"/>
        <v>194.928</v>
      </c>
      <c r="G96" s="7">
        <f t="shared" si="57"/>
        <v>194.928</v>
      </c>
      <c r="H96" s="7">
        <f t="shared" si="57"/>
        <v>194.928</v>
      </c>
      <c r="I96" s="7">
        <f t="shared" si="57"/>
        <v>194.928</v>
      </c>
      <c r="J96" s="7">
        <f t="shared" si="57"/>
        <v>194.928</v>
      </c>
      <c r="K96" s="7">
        <f t="shared" si="57"/>
        <v>194.928</v>
      </c>
      <c r="L96" s="7">
        <f>(186*1.048)-14.7290311119978</f>
        <v>180.19896888800224</v>
      </c>
      <c r="M96" s="13" t="s">
        <v>483</v>
      </c>
      <c r="N96" s="7">
        <f t="shared" si="53"/>
        <v>0</v>
      </c>
      <c r="O96" s="7">
        <f t="shared" si="54"/>
        <v>2324.4069688880018</v>
      </c>
      <c r="P96" s="7">
        <f t="shared" si="44"/>
        <v>2324.4069688880018</v>
      </c>
      <c r="Q96" s="7">
        <v>2324.4069688880018</v>
      </c>
      <c r="R96" s="7">
        <f t="shared" si="55"/>
        <v>0</v>
      </c>
      <c r="S96" s="7"/>
      <c r="T96" s="7"/>
      <c r="U96" s="7">
        <v>2226.0419999999999</v>
      </c>
      <c r="V96" s="7">
        <f t="shared" si="45"/>
        <v>-98.36496888800184</v>
      </c>
      <c r="W96" s="359"/>
      <c r="X96" s="159">
        <f>IFERROR(N96/Q96,0)</f>
        <v>0</v>
      </c>
      <c r="Z96" s="182"/>
      <c r="AA96" s="182"/>
    </row>
    <row r="97" spans="1:27" x14ac:dyDescent="0.3">
      <c r="A97" s="7">
        <f>176*1.048</f>
        <v>184.44800000000001</v>
      </c>
      <c r="B97" s="7">
        <f t="shared" ref="B97:L97" si="58">176*1.048</f>
        <v>184.44800000000001</v>
      </c>
      <c r="C97" s="7">
        <f t="shared" si="58"/>
        <v>184.44800000000001</v>
      </c>
      <c r="D97" s="7">
        <f t="shared" si="58"/>
        <v>184.44800000000001</v>
      </c>
      <c r="E97" s="7">
        <f t="shared" si="58"/>
        <v>184.44800000000001</v>
      </c>
      <c r="F97" s="7">
        <f t="shared" si="58"/>
        <v>184.44800000000001</v>
      </c>
      <c r="G97" s="7">
        <f t="shared" si="58"/>
        <v>184.44800000000001</v>
      </c>
      <c r="H97" s="7">
        <f t="shared" si="58"/>
        <v>184.44800000000001</v>
      </c>
      <c r="I97" s="7">
        <f t="shared" si="58"/>
        <v>184.44800000000001</v>
      </c>
      <c r="J97" s="7">
        <f t="shared" si="58"/>
        <v>184.44800000000001</v>
      </c>
      <c r="K97" s="7">
        <f t="shared" si="58"/>
        <v>184.44800000000001</v>
      </c>
      <c r="L97" s="7">
        <f t="shared" si="58"/>
        <v>184.44800000000001</v>
      </c>
      <c r="M97" s="13" t="s">
        <v>484</v>
      </c>
      <c r="N97" s="7">
        <f t="shared" si="53"/>
        <v>0</v>
      </c>
      <c r="O97" s="7">
        <f t="shared" si="54"/>
        <v>2213.3760000000007</v>
      </c>
      <c r="P97" s="7">
        <f t="shared" si="44"/>
        <v>2213.3760000000007</v>
      </c>
      <c r="Q97" s="7">
        <v>2213.3760000000007</v>
      </c>
      <c r="R97" s="7">
        <f t="shared" si="55"/>
        <v>0</v>
      </c>
      <c r="S97" s="7"/>
      <c r="T97" s="7"/>
      <c r="U97" s="7">
        <v>2106</v>
      </c>
      <c r="V97" s="7">
        <f t="shared" si="45"/>
        <v>-107.37600000000066</v>
      </c>
      <c r="W97" s="359"/>
      <c r="X97" s="159">
        <f t="shared" si="46"/>
        <v>0</v>
      </c>
      <c r="Z97" s="182"/>
      <c r="AA97" s="182"/>
    </row>
    <row r="98" spans="1:27" x14ac:dyDescent="0.3">
      <c r="A98" s="7">
        <f>35*1.048</f>
        <v>36.68</v>
      </c>
      <c r="B98" s="7">
        <f t="shared" ref="B98:L98" si="59">35*1.048</f>
        <v>36.68</v>
      </c>
      <c r="C98" s="7">
        <f t="shared" si="59"/>
        <v>36.68</v>
      </c>
      <c r="D98" s="7">
        <f t="shared" si="59"/>
        <v>36.68</v>
      </c>
      <c r="E98" s="7">
        <f t="shared" si="59"/>
        <v>36.68</v>
      </c>
      <c r="F98" s="7">
        <f t="shared" si="59"/>
        <v>36.68</v>
      </c>
      <c r="G98" s="7">
        <f t="shared" si="59"/>
        <v>36.68</v>
      </c>
      <c r="H98" s="7">
        <f t="shared" si="59"/>
        <v>36.68</v>
      </c>
      <c r="I98" s="7">
        <f t="shared" si="59"/>
        <v>36.68</v>
      </c>
      <c r="J98" s="7">
        <f t="shared" si="59"/>
        <v>36.68</v>
      </c>
      <c r="K98" s="7">
        <f t="shared" si="59"/>
        <v>36.68</v>
      </c>
      <c r="L98" s="7">
        <f t="shared" si="59"/>
        <v>36.68</v>
      </c>
      <c r="M98" s="13" t="s">
        <v>485</v>
      </c>
      <c r="N98" s="7">
        <f t="shared" si="53"/>
        <v>0</v>
      </c>
      <c r="O98" s="7">
        <f t="shared" si="54"/>
        <v>440.16</v>
      </c>
      <c r="P98" s="7">
        <f t="shared" si="44"/>
        <v>440.16</v>
      </c>
      <c r="Q98" s="7">
        <v>440.16</v>
      </c>
      <c r="R98" s="7">
        <f t="shared" si="55"/>
        <v>0</v>
      </c>
      <c r="S98" s="7"/>
      <c r="T98" s="7">
        <v>-6956</v>
      </c>
      <c r="U98" s="7">
        <v>415</v>
      </c>
      <c r="V98" s="7">
        <f t="shared" si="45"/>
        <v>-25.160000000000025</v>
      </c>
      <c r="W98" s="359" t="s">
        <v>389</v>
      </c>
      <c r="X98" s="159">
        <f t="shared" si="46"/>
        <v>0</v>
      </c>
      <c r="Z98" s="182"/>
      <c r="AA98" s="182"/>
    </row>
    <row r="99" spans="1:27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13" t="s">
        <v>486</v>
      </c>
      <c r="N99" s="7">
        <f t="shared" si="53"/>
        <v>0</v>
      </c>
      <c r="O99" s="7">
        <f t="shared" si="54"/>
        <v>0</v>
      </c>
      <c r="P99" s="7">
        <f t="shared" si="44"/>
        <v>0</v>
      </c>
      <c r="Q99" s="7">
        <v>0</v>
      </c>
      <c r="R99" s="7">
        <f t="shared" si="55"/>
        <v>0</v>
      </c>
      <c r="S99" s="7"/>
      <c r="T99" s="7"/>
      <c r="U99" s="7">
        <v>0</v>
      </c>
      <c r="V99" s="7">
        <f t="shared" si="45"/>
        <v>0</v>
      </c>
      <c r="W99" s="359"/>
      <c r="X99" s="159">
        <f t="shared" si="46"/>
        <v>0</v>
      </c>
      <c r="Z99" s="182"/>
      <c r="AA99" s="182"/>
    </row>
    <row r="100" spans="1:27" x14ac:dyDescent="0.3">
      <c r="A100" s="11">
        <f>210*1.048</f>
        <v>220.08</v>
      </c>
      <c r="B100" s="11">
        <f t="shared" ref="B100:L100" si="60">210*1.048</f>
        <v>220.08</v>
      </c>
      <c r="C100" s="11">
        <f t="shared" si="60"/>
        <v>220.08</v>
      </c>
      <c r="D100" s="11">
        <f t="shared" si="60"/>
        <v>220.08</v>
      </c>
      <c r="E100" s="11">
        <f t="shared" si="60"/>
        <v>220.08</v>
      </c>
      <c r="F100" s="11">
        <f t="shared" si="60"/>
        <v>220.08</v>
      </c>
      <c r="G100" s="11">
        <f t="shared" si="60"/>
        <v>220.08</v>
      </c>
      <c r="H100" s="11">
        <f t="shared" si="60"/>
        <v>220.08</v>
      </c>
      <c r="I100" s="11">
        <f t="shared" si="60"/>
        <v>220.08</v>
      </c>
      <c r="J100" s="11">
        <f t="shared" si="60"/>
        <v>220.08</v>
      </c>
      <c r="K100" s="11">
        <f t="shared" si="60"/>
        <v>220.08</v>
      </c>
      <c r="L100" s="11">
        <f t="shared" si="60"/>
        <v>220.08</v>
      </c>
      <c r="M100" s="212" t="s">
        <v>487</v>
      </c>
      <c r="N100" s="11">
        <f t="shared" si="53"/>
        <v>0</v>
      </c>
      <c r="O100" s="11">
        <f t="shared" si="54"/>
        <v>2640.9599999999996</v>
      </c>
      <c r="P100" s="11">
        <f t="shared" si="44"/>
        <v>2640.9599999999996</v>
      </c>
      <c r="Q100" s="11">
        <v>2640.9599999999996</v>
      </c>
      <c r="R100" s="211">
        <f t="shared" si="55"/>
        <v>0</v>
      </c>
      <c r="S100" s="211"/>
      <c r="T100" s="11">
        <v>-4800</v>
      </c>
      <c r="U100" s="11">
        <v>2522</v>
      </c>
      <c r="V100" s="11">
        <f t="shared" si="45"/>
        <v>-118.95999999999958</v>
      </c>
      <c r="W100" s="359" t="s">
        <v>390</v>
      </c>
      <c r="X100" s="160">
        <f t="shared" si="46"/>
        <v>0</v>
      </c>
      <c r="Z100" s="182"/>
      <c r="AA100" s="182"/>
    </row>
    <row r="101" spans="1:27" ht="15" thickBot="1" x14ac:dyDescent="0.35">
      <c r="A101" s="89"/>
      <c r="B101" s="89"/>
      <c r="C101" s="89"/>
      <c r="D101" s="90"/>
      <c r="E101" s="91"/>
      <c r="F101" s="91"/>
      <c r="G101" s="91"/>
      <c r="H101" s="91"/>
      <c r="I101" s="91"/>
      <c r="J101" s="91"/>
      <c r="K101" s="92"/>
      <c r="L101" s="92"/>
      <c r="M101" s="13"/>
      <c r="N101" s="91">
        <f t="shared" si="47"/>
        <v>0</v>
      </c>
      <c r="O101" s="91">
        <f t="shared" si="48"/>
        <v>0</v>
      </c>
      <c r="P101" s="91">
        <f t="shared" si="44"/>
        <v>0</v>
      </c>
      <c r="Q101" s="91">
        <v>0</v>
      </c>
      <c r="R101" s="89"/>
      <c r="S101" s="89"/>
      <c r="T101" s="89"/>
      <c r="U101" s="89">
        <v>0</v>
      </c>
      <c r="V101" s="89">
        <f t="shared" si="45"/>
        <v>0</v>
      </c>
      <c r="W101" s="367"/>
      <c r="X101" s="207"/>
      <c r="Z101" s="182"/>
      <c r="AA101" s="182"/>
    </row>
    <row r="102" spans="1:27" x14ac:dyDescent="0.3">
      <c r="A102" s="4">
        <f>SUM(A93:A100)</f>
        <v>3487.5889212393295</v>
      </c>
      <c r="B102" s="4">
        <f t="shared" ref="B102:L102" si="61">SUM(B93:B100)</f>
        <v>3487.5889212393295</v>
      </c>
      <c r="C102" s="4">
        <f t="shared" si="61"/>
        <v>3487.5889212393295</v>
      </c>
      <c r="D102" s="4">
        <f t="shared" si="61"/>
        <v>3487.5889212393295</v>
      </c>
      <c r="E102" s="4">
        <f t="shared" si="61"/>
        <v>3487.5889212393295</v>
      </c>
      <c r="F102" s="4">
        <f t="shared" si="61"/>
        <v>3487.5889212393295</v>
      </c>
      <c r="G102" s="4">
        <f t="shared" si="61"/>
        <v>3487.5889212393295</v>
      </c>
      <c r="H102" s="4">
        <f t="shared" si="61"/>
        <v>3487.5889212393295</v>
      </c>
      <c r="I102" s="4">
        <f t="shared" si="61"/>
        <v>3487.5889212393295</v>
      </c>
      <c r="J102" s="4">
        <f t="shared" si="61"/>
        <v>3487.5889212393295</v>
      </c>
      <c r="K102" s="4">
        <f t="shared" si="61"/>
        <v>3487.5889212393295</v>
      </c>
      <c r="L102" s="4">
        <f t="shared" si="61"/>
        <v>167971.61189012733</v>
      </c>
      <c r="M102" s="13" t="s">
        <v>166</v>
      </c>
      <c r="N102" s="4">
        <f t="shared" ref="N102:O102" si="62">SUM(N93:N100)</f>
        <v>0</v>
      </c>
      <c r="O102" s="4">
        <f t="shared" si="62"/>
        <v>206335.09002375999</v>
      </c>
      <c r="P102" s="4">
        <f t="shared" ref="P102:Q102" si="63">SUM(P93:P100)</f>
        <v>206335.09002375999</v>
      </c>
      <c r="Q102" s="4">
        <f t="shared" si="63"/>
        <v>206335.09002375999</v>
      </c>
      <c r="R102" s="4">
        <f t="shared" ref="R102:W102" si="64">SUM(R93:R100)</f>
        <v>0</v>
      </c>
      <c r="S102" s="4">
        <v>0</v>
      </c>
      <c r="T102" s="4">
        <v>15417</v>
      </c>
      <c r="U102" s="4">
        <v>216893.341823</v>
      </c>
      <c r="V102" s="4">
        <f t="shared" si="45"/>
        <v>10558.25179924001</v>
      </c>
      <c r="W102" s="365">
        <f t="shared" si="64"/>
        <v>0</v>
      </c>
      <c r="X102" s="162">
        <f t="shared" si="46"/>
        <v>0</v>
      </c>
      <c r="Z102" s="182"/>
      <c r="AA102" s="182"/>
    </row>
    <row r="103" spans="1:27" x14ac:dyDescent="0.3">
      <c r="A103" s="81"/>
      <c r="B103" s="81"/>
      <c r="C103" s="81"/>
      <c r="D103" s="82"/>
      <c r="E103" s="86"/>
      <c r="F103" s="86"/>
      <c r="G103" s="86"/>
      <c r="H103" s="87"/>
      <c r="I103" s="87"/>
      <c r="J103" s="87"/>
      <c r="K103" s="84"/>
      <c r="L103" s="84"/>
      <c r="M103" s="80"/>
      <c r="N103" s="86">
        <f t="shared" si="47"/>
        <v>0</v>
      </c>
      <c r="O103" s="86">
        <f t="shared" si="48"/>
        <v>0</v>
      </c>
      <c r="P103" s="86">
        <f t="shared" si="44"/>
        <v>0</v>
      </c>
      <c r="Q103" s="86">
        <v>0</v>
      </c>
      <c r="R103" s="81"/>
      <c r="S103" s="81"/>
      <c r="T103" s="81"/>
      <c r="U103" s="81">
        <v>0</v>
      </c>
      <c r="V103" s="81">
        <f t="shared" si="45"/>
        <v>0</v>
      </c>
      <c r="W103" s="364"/>
      <c r="X103" s="204"/>
      <c r="Z103" s="182"/>
      <c r="AA103" s="182"/>
    </row>
    <row r="104" spans="1:27" x14ac:dyDescent="0.3">
      <c r="A104" s="8"/>
      <c r="B104" s="8"/>
      <c r="C104" s="183"/>
      <c r="D104" s="8"/>
      <c r="E104" s="8"/>
      <c r="F104" s="8"/>
      <c r="G104" s="8"/>
      <c r="H104" s="8"/>
      <c r="I104" s="8"/>
      <c r="J104" s="8"/>
      <c r="K104" s="8"/>
      <c r="L104" s="8">
        <f>2000*1.048</f>
        <v>2096</v>
      </c>
      <c r="M104" s="238" t="s">
        <v>488</v>
      </c>
      <c r="N104" s="8">
        <f t="shared" ref="N104:N106" si="65">SUM(0)</f>
        <v>0</v>
      </c>
      <c r="O104" s="8">
        <f t="shared" ref="O104:O106" si="66">SUM(A104:L104)</f>
        <v>2096</v>
      </c>
      <c r="P104" s="8">
        <f t="shared" si="44"/>
        <v>2096</v>
      </c>
      <c r="Q104" s="8">
        <v>2096</v>
      </c>
      <c r="R104" s="8">
        <f t="shared" ref="R104:R106" si="67">Q104-P104</f>
        <v>0</v>
      </c>
      <c r="S104" s="8"/>
      <c r="T104" s="8"/>
      <c r="U104" s="8">
        <v>2000</v>
      </c>
      <c r="V104" s="8">
        <f t="shared" si="45"/>
        <v>-96</v>
      </c>
      <c r="W104" s="362"/>
      <c r="X104" s="158">
        <f t="shared" si="46"/>
        <v>0</v>
      </c>
      <c r="Z104" s="182"/>
      <c r="AA104" s="182"/>
    </row>
    <row r="105" spans="1:27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13" t="s">
        <v>489</v>
      </c>
      <c r="N105" s="7">
        <f t="shared" si="65"/>
        <v>0</v>
      </c>
      <c r="O105" s="7">
        <f t="shared" si="66"/>
        <v>0</v>
      </c>
      <c r="P105" s="7">
        <f t="shared" si="44"/>
        <v>0</v>
      </c>
      <c r="Q105" s="7">
        <v>0</v>
      </c>
      <c r="R105" s="7">
        <f t="shared" si="67"/>
        <v>0</v>
      </c>
      <c r="S105" s="7"/>
      <c r="T105" s="7"/>
      <c r="U105" s="7">
        <v>0</v>
      </c>
      <c r="V105" s="7">
        <f t="shared" si="45"/>
        <v>0</v>
      </c>
      <c r="W105" s="359"/>
      <c r="X105" s="159">
        <f t="shared" si="46"/>
        <v>0</v>
      </c>
      <c r="Z105" s="182"/>
      <c r="AA105" s="182"/>
    </row>
    <row r="106" spans="1:27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3" t="s">
        <v>490</v>
      </c>
      <c r="N106" s="11">
        <f t="shared" si="65"/>
        <v>0</v>
      </c>
      <c r="O106" s="11">
        <f t="shared" si="66"/>
        <v>0</v>
      </c>
      <c r="P106" s="11">
        <f t="shared" si="44"/>
        <v>0</v>
      </c>
      <c r="Q106" s="11">
        <v>0</v>
      </c>
      <c r="R106" s="11">
        <f t="shared" si="67"/>
        <v>0</v>
      </c>
      <c r="S106" s="11"/>
      <c r="T106" s="11"/>
      <c r="U106" s="11">
        <v>0</v>
      </c>
      <c r="V106" s="11">
        <f t="shared" si="45"/>
        <v>0</v>
      </c>
      <c r="W106" s="363"/>
      <c r="X106" s="160">
        <f t="shared" si="46"/>
        <v>0</v>
      </c>
      <c r="Z106" s="182"/>
      <c r="AA106" s="182"/>
    </row>
    <row r="107" spans="1:27" ht="15" thickBot="1" x14ac:dyDescent="0.35">
      <c r="A107" s="89"/>
      <c r="B107" s="89"/>
      <c r="C107" s="89"/>
      <c r="D107" s="90"/>
      <c r="E107" s="91"/>
      <c r="F107" s="91"/>
      <c r="G107" s="91"/>
      <c r="H107" s="91"/>
      <c r="I107" s="91"/>
      <c r="J107" s="91"/>
      <c r="K107" s="92"/>
      <c r="L107" s="92"/>
      <c r="M107" s="13"/>
      <c r="N107" s="91">
        <f t="shared" si="47"/>
        <v>0</v>
      </c>
      <c r="O107" s="91">
        <f t="shared" si="48"/>
        <v>0</v>
      </c>
      <c r="P107" s="91">
        <f t="shared" si="44"/>
        <v>0</v>
      </c>
      <c r="Q107" s="91">
        <v>0</v>
      </c>
      <c r="R107" s="89"/>
      <c r="S107" s="89"/>
      <c r="T107" s="89"/>
      <c r="U107" s="89">
        <v>0</v>
      </c>
      <c r="V107" s="89">
        <f t="shared" si="45"/>
        <v>0</v>
      </c>
      <c r="W107" s="367"/>
      <c r="X107" s="207">
        <f t="shared" si="46"/>
        <v>0</v>
      </c>
      <c r="Z107" s="182"/>
      <c r="AA107" s="182"/>
    </row>
    <row r="108" spans="1:27" x14ac:dyDescent="0.3">
      <c r="A108" s="4">
        <f>SUM(A104:A106)</f>
        <v>0</v>
      </c>
      <c r="B108" s="4">
        <f t="shared" ref="B108:L108" si="68">SUM(B104:B106)</f>
        <v>0</v>
      </c>
      <c r="C108" s="4">
        <f t="shared" si="68"/>
        <v>0</v>
      </c>
      <c r="D108" s="4">
        <f t="shared" si="68"/>
        <v>0</v>
      </c>
      <c r="E108" s="4">
        <f t="shared" si="68"/>
        <v>0</v>
      </c>
      <c r="F108" s="4">
        <f t="shared" si="68"/>
        <v>0</v>
      </c>
      <c r="G108" s="4">
        <f t="shared" si="68"/>
        <v>0</v>
      </c>
      <c r="H108" s="4">
        <f t="shared" si="68"/>
        <v>0</v>
      </c>
      <c r="I108" s="4">
        <f t="shared" si="68"/>
        <v>0</v>
      </c>
      <c r="J108" s="4">
        <f t="shared" si="68"/>
        <v>0</v>
      </c>
      <c r="K108" s="4">
        <f t="shared" si="68"/>
        <v>0</v>
      </c>
      <c r="L108" s="4">
        <f t="shared" si="68"/>
        <v>2096</v>
      </c>
      <c r="M108" s="13" t="s">
        <v>170</v>
      </c>
      <c r="N108" s="4">
        <f t="shared" ref="N108:O108" si="69">SUM(N104:N106)</f>
        <v>0</v>
      </c>
      <c r="O108" s="4">
        <f t="shared" si="69"/>
        <v>2096</v>
      </c>
      <c r="P108" s="4">
        <f t="shared" ref="P108:Q108" si="70">SUM(P104:P106)</f>
        <v>2096</v>
      </c>
      <c r="Q108" s="4">
        <f t="shared" si="70"/>
        <v>2096</v>
      </c>
      <c r="R108" s="4">
        <f t="shared" ref="R108:W108" si="71">SUM(R104:R106)</f>
        <v>0</v>
      </c>
      <c r="S108" s="4">
        <v>0</v>
      </c>
      <c r="T108" s="4">
        <v>0</v>
      </c>
      <c r="U108" s="4">
        <v>2000</v>
      </c>
      <c r="V108" s="4">
        <f t="shared" si="45"/>
        <v>-96</v>
      </c>
      <c r="W108" s="365">
        <f t="shared" si="71"/>
        <v>0</v>
      </c>
      <c r="X108" s="162">
        <f t="shared" si="46"/>
        <v>0</v>
      </c>
      <c r="Z108" s="182"/>
      <c r="AA108" s="182"/>
    </row>
    <row r="109" spans="1:27" x14ac:dyDescent="0.3">
      <c r="A109" s="81"/>
      <c r="B109" s="81"/>
      <c r="C109" s="81"/>
      <c r="D109" s="82"/>
      <c r="E109" s="81"/>
      <c r="F109" s="81"/>
      <c r="G109" s="81"/>
      <c r="H109" s="87"/>
      <c r="I109" s="87"/>
      <c r="J109" s="87"/>
      <c r="K109" s="88"/>
      <c r="L109" s="88"/>
      <c r="M109" s="80"/>
      <c r="N109" s="81">
        <f t="shared" si="47"/>
        <v>0</v>
      </c>
      <c r="O109" s="81">
        <f t="shared" si="48"/>
        <v>0</v>
      </c>
      <c r="P109" s="81">
        <f t="shared" si="44"/>
        <v>0</v>
      </c>
      <c r="Q109" s="81">
        <v>0</v>
      </c>
      <c r="R109" s="81"/>
      <c r="S109" s="81"/>
      <c r="T109" s="81"/>
      <c r="U109" s="81">
        <v>0</v>
      </c>
      <c r="V109" s="81">
        <f t="shared" si="45"/>
        <v>0</v>
      </c>
      <c r="W109" s="364"/>
      <c r="X109" s="204"/>
      <c r="Z109" s="182"/>
      <c r="AA109" s="182"/>
    </row>
    <row r="110" spans="1:27" x14ac:dyDescent="0.3">
      <c r="A110" s="4">
        <f>A28+A46+A65+A91+A102+A108</f>
        <v>13584.358342706</v>
      </c>
      <c r="B110" s="4">
        <f t="shared" ref="B110:L110" si="72">B28+B46+B65+B91+B102+B108</f>
        <v>13584.358342706</v>
      </c>
      <c r="C110" s="4">
        <f t="shared" si="72"/>
        <v>13584.358342706</v>
      </c>
      <c r="D110" s="4">
        <f t="shared" si="72"/>
        <v>13584.358342706</v>
      </c>
      <c r="E110" s="4">
        <f t="shared" si="72"/>
        <v>15667.782342705999</v>
      </c>
      <c r="F110" s="4">
        <f t="shared" si="72"/>
        <v>13696.494342705999</v>
      </c>
      <c r="G110" s="4">
        <f t="shared" si="72"/>
        <v>13584.358342706</v>
      </c>
      <c r="H110" s="4">
        <f t="shared" si="72"/>
        <v>13584.358342706</v>
      </c>
      <c r="I110" s="4">
        <f t="shared" si="72"/>
        <v>13584.358342706</v>
      </c>
      <c r="J110" s="4">
        <f t="shared" si="72"/>
        <v>13584.358342706</v>
      </c>
      <c r="K110" s="4">
        <f t="shared" si="72"/>
        <v>13584.358342706</v>
      </c>
      <c r="L110" s="4">
        <f t="shared" si="72"/>
        <v>191158.28149416862</v>
      </c>
      <c r="M110" s="238" t="s">
        <v>171</v>
      </c>
      <c r="N110" s="4">
        <f t="shared" ref="N110:O110" si="73">N28+N46+N65+N91+N102+N108</f>
        <v>0</v>
      </c>
      <c r="O110" s="4">
        <f t="shared" si="73"/>
        <v>342781.78326393466</v>
      </c>
      <c r="P110" s="4">
        <f>P28+P46+P65+P91+P102+P108</f>
        <v>342781.78326393466</v>
      </c>
      <c r="Q110" s="4">
        <f>Q28+Q46+Q65+Q91+Q102+Q108</f>
        <v>342781.78326393466</v>
      </c>
      <c r="R110" s="4">
        <f>R28+R46+R65+R91+R102+R108</f>
        <v>0</v>
      </c>
      <c r="S110" s="4">
        <v>0</v>
      </c>
      <c r="T110" s="4">
        <v>26022.395</v>
      </c>
      <c r="U110" s="4">
        <v>363885.37840892002</v>
      </c>
      <c r="V110" s="4">
        <f t="shared" si="45"/>
        <v>21103.59514498536</v>
      </c>
      <c r="W110" s="365">
        <f t="shared" ref="W110" si="74">W28+W46+W65+W91+W102+W108</f>
        <v>0</v>
      </c>
      <c r="X110" s="162">
        <f t="shared" si="46"/>
        <v>0</v>
      </c>
      <c r="Z110" s="182"/>
      <c r="AA110" s="182"/>
    </row>
    <row r="111" spans="1:27" x14ac:dyDescent="0.3">
      <c r="A111" s="81"/>
      <c r="B111" s="81"/>
      <c r="C111" s="81"/>
      <c r="D111" s="82"/>
      <c r="E111" s="81"/>
      <c r="F111" s="81"/>
      <c r="G111" s="81"/>
      <c r="H111" s="87"/>
      <c r="I111" s="87"/>
      <c r="J111" s="87"/>
      <c r="K111" s="88"/>
      <c r="L111" s="88"/>
      <c r="M111" s="122"/>
      <c r="N111" s="81">
        <f t="shared" si="47"/>
        <v>0</v>
      </c>
      <c r="O111" s="81">
        <f t="shared" si="48"/>
        <v>0</v>
      </c>
      <c r="P111" s="81">
        <f t="shared" si="44"/>
        <v>0</v>
      </c>
      <c r="Q111" s="81">
        <v>0</v>
      </c>
      <c r="R111" s="81"/>
      <c r="S111" s="81"/>
      <c r="T111" s="81"/>
      <c r="U111" s="81">
        <v>0</v>
      </c>
      <c r="V111" s="81">
        <f t="shared" si="45"/>
        <v>0</v>
      </c>
      <c r="W111" s="364"/>
      <c r="X111" s="204">
        <f t="shared" si="46"/>
        <v>0</v>
      </c>
      <c r="Z111" s="182"/>
      <c r="AA111" s="182"/>
    </row>
    <row r="112" spans="1:27" x14ac:dyDescent="0.3">
      <c r="A112" s="4">
        <f>A18+A110</f>
        <v>755727.14994270599</v>
      </c>
      <c r="B112" s="4">
        <f t="shared" ref="B112:L112" si="75">B18+B110</f>
        <v>760099.90898270602</v>
      </c>
      <c r="C112" s="4">
        <f t="shared" si="75"/>
        <v>772780.85570270603</v>
      </c>
      <c r="D112" s="4">
        <f t="shared" si="75"/>
        <v>772999.52090270596</v>
      </c>
      <c r="E112" s="4">
        <f t="shared" si="75"/>
        <v>770272.90786270599</v>
      </c>
      <c r="F112" s="4">
        <f t="shared" si="75"/>
        <v>764912.73370270606</v>
      </c>
      <c r="G112" s="4">
        <f t="shared" si="75"/>
        <v>764144.70690270595</v>
      </c>
      <c r="H112" s="4">
        <f t="shared" si="75"/>
        <v>1178102.809942706</v>
      </c>
      <c r="I112" s="4">
        <f t="shared" si="75"/>
        <v>775896.46538270602</v>
      </c>
      <c r="J112" s="4">
        <f t="shared" si="75"/>
        <v>779831.92546270601</v>
      </c>
      <c r="K112" s="4">
        <f t="shared" si="75"/>
        <v>779831.14994270599</v>
      </c>
      <c r="L112" s="4">
        <f t="shared" si="75"/>
        <v>813456.28909416869</v>
      </c>
      <c r="M112" s="13" t="s">
        <v>240</v>
      </c>
      <c r="N112" s="4">
        <f t="shared" ref="N112:O112" si="76">N18+N110</f>
        <v>0</v>
      </c>
      <c r="O112" s="4">
        <f t="shared" si="76"/>
        <v>9688056.4238239359</v>
      </c>
      <c r="P112" s="4">
        <f>P18+P110</f>
        <v>9688056.4238239359</v>
      </c>
      <c r="Q112" s="4">
        <f>Q18+Q110</f>
        <v>9688056.4238239359</v>
      </c>
      <c r="R112" s="4">
        <f>R18+R110</f>
        <v>0</v>
      </c>
      <c r="S112" s="4">
        <v>1819000</v>
      </c>
      <c r="T112" s="224">
        <v>0</v>
      </c>
      <c r="U112" s="224">
        <v>10759791.359976521</v>
      </c>
      <c r="V112" s="224">
        <f t="shared" si="45"/>
        <v>1071734.9361525849</v>
      </c>
      <c r="W112" s="365">
        <f t="shared" ref="W112" si="77">W18+W110</f>
        <v>0</v>
      </c>
      <c r="X112" s="162">
        <f t="shared" si="46"/>
        <v>0</v>
      </c>
      <c r="Z112" s="182"/>
      <c r="AA112" s="182"/>
    </row>
    <row r="113" spans="1:27" x14ac:dyDescent="0.3">
      <c r="A113" s="81"/>
      <c r="B113" s="81"/>
      <c r="C113" s="81"/>
      <c r="D113" s="82"/>
      <c r="E113" s="81"/>
      <c r="F113" s="81"/>
      <c r="G113" s="81"/>
      <c r="H113" s="87"/>
      <c r="I113" s="87"/>
      <c r="J113" s="87"/>
      <c r="K113" s="88"/>
      <c r="L113" s="88"/>
      <c r="M113" s="122"/>
      <c r="N113" s="81">
        <f t="shared" si="47"/>
        <v>0</v>
      </c>
      <c r="O113" s="81">
        <f t="shared" si="48"/>
        <v>0</v>
      </c>
      <c r="P113" s="81">
        <f t="shared" si="44"/>
        <v>0</v>
      </c>
      <c r="Q113" s="81">
        <v>0</v>
      </c>
      <c r="R113" s="81"/>
      <c r="S113" s="81"/>
      <c r="T113" s="81"/>
      <c r="U113" s="81">
        <v>0</v>
      </c>
      <c r="V113" s="81">
        <f t="shared" si="45"/>
        <v>0</v>
      </c>
      <c r="W113" s="364"/>
      <c r="X113" s="204">
        <f t="shared" si="46"/>
        <v>0</v>
      </c>
      <c r="Z113" s="182"/>
      <c r="AA113" s="182"/>
    </row>
    <row r="114" spans="1:27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>
        <f>48140*1.048</f>
        <v>50450.720000000001</v>
      </c>
      <c r="M114" s="238" t="s">
        <v>491</v>
      </c>
      <c r="N114" s="8">
        <f t="shared" ref="N114:N125" si="78">SUM(0)</f>
        <v>0</v>
      </c>
      <c r="O114" s="8">
        <f t="shared" ref="O114:O125" si="79">SUM(A114:L114)</f>
        <v>50450.720000000001</v>
      </c>
      <c r="P114" s="8">
        <f t="shared" si="44"/>
        <v>50450.720000000001</v>
      </c>
      <c r="Q114" s="8">
        <v>50450.720000000001</v>
      </c>
      <c r="R114" s="8">
        <f t="shared" ref="R114:R125" si="80">Q114-P114</f>
        <v>0</v>
      </c>
      <c r="S114" s="8"/>
      <c r="T114" s="8">
        <v>74113</v>
      </c>
      <c r="U114" s="8">
        <v>111842</v>
      </c>
      <c r="V114" s="8">
        <f t="shared" si="45"/>
        <v>61391.28</v>
      </c>
      <c r="W114" s="362"/>
      <c r="X114" s="158">
        <f t="shared" si="46"/>
        <v>0</v>
      </c>
      <c r="Z114" s="182"/>
      <c r="AA114" s="182"/>
    </row>
    <row r="115" spans="1:27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13" t="s">
        <v>492</v>
      </c>
      <c r="N115" s="7">
        <f t="shared" si="78"/>
        <v>0</v>
      </c>
      <c r="O115" s="7">
        <f t="shared" si="79"/>
        <v>0</v>
      </c>
      <c r="P115" s="7">
        <f t="shared" si="44"/>
        <v>0</v>
      </c>
      <c r="Q115" s="7">
        <v>0</v>
      </c>
      <c r="R115" s="7">
        <f t="shared" si="80"/>
        <v>0</v>
      </c>
      <c r="S115" s="7"/>
      <c r="T115" s="7">
        <v>199</v>
      </c>
      <c r="U115" s="7">
        <v>199</v>
      </c>
      <c r="V115" s="7">
        <f t="shared" si="45"/>
        <v>199</v>
      </c>
      <c r="W115" s="372"/>
      <c r="X115" s="159">
        <f t="shared" si="46"/>
        <v>0</v>
      </c>
      <c r="Z115" s="182"/>
      <c r="AA115" s="182"/>
    </row>
    <row r="116" spans="1:27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13" t="s">
        <v>493</v>
      </c>
      <c r="N116" s="7">
        <f t="shared" si="78"/>
        <v>0</v>
      </c>
      <c r="O116" s="7">
        <f t="shared" si="79"/>
        <v>0</v>
      </c>
      <c r="P116" s="7">
        <f t="shared" si="44"/>
        <v>0</v>
      </c>
      <c r="Q116" s="7">
        <v>0</v>
      </c>
      <c r="R116" s="7">
        <f t="shared" si="80"/>
        <v>0</v>
      </c>
      <c r="S116" s="7"/>
      <c r="T116" s="7"/>
      <c r="U116" s="7">
        <v>0</v>
      </c>
      <c r="V116" s="7">
        <f t="shared" si="45"/>
        <v>0</v>
      </c>
      <c r="W116" s="359"/>
      <c r="X116" s="159">
        <f t="shared" si="46"/>
        <v>0</v>
      </c>
      <c r="Z116" s="182"/>
      <c r="AA116" s="182"/>
    </row>
    <row r="117" spans="1:27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238" t="s">
        <v>494</v>
      </c>
      <c r="N117" s="7">
        <f t="shared" si="78"/>
        <v>0</v>
      </c>
      <c r="O117" s="7">
        <f t="shared" si="79"/>
        <v>0</v>
      </c>
      <c r="P117" s="7">
        <f t="shared" si="44"/>
        <v>0</v>
      </c>
      <c r="Q117" s="7">
        <v>0</v>
      </c>
      <c r="R117" s="7">
        <f t="shared" si="80"/>
        <v>0</v>
      </c>
      <c r="S117" s="7"/>
      <c r="T117" s="7"/>
      <c r="U117" s="7">
        <v>0</v>
      </c>
      <c r="V117" s="7">
        <f t="shared" si="45"/>
        <v>0</v>
      </c>
      <c r="W117" s="359"/>
      <c r="X117" s="159">
        <f t="shared" si="46"/>
        <v>0</v>
      </c>
      <c r="Z117" s="182"/>
      <c r="AA117" s="182"/>
    </row>
    <row r="118" spans="1:27" x14ac:dyDescent="0.3">
      <c r="A118" s="7"/>
      <c r="B118" s="7"/>
      <c r="C118" s="203"/>
      <c r="D118" s="7"/>
      <c r="E118" s="7"/>
      <c r="F118" s="7"/>
      <c r="G118" s="7"/>
      <c r="H118" s="7"/>
      <c r="I118" s="7"/>
      <c r="J118" s="7"/>
      <c r="K118" s="7"/>
      <c r="L118" s="7"/>
      <c r="M118" s="13" t="s">
        <v>495</v>
      </c>
      <c r="N118" s="7">
        <f t="shared" si="78"/>
        <v>0</v>
      </c>
      <c r="O118" s="7">
        <f t="shared" si="79"/>
        <v>0</v>
      </c>
      <c r="P118" s="7">
        <f t="shared" si="44"/>
        <v>0</v>
      </c>
      <c r="Q118" s="7"/>
      <c r="R118" s="7">
        <f t="shared" si="80"/>
        <v>0</v>
      </c>
      <c r="S118" s="7"/>
      <c r="T118" s="7"/>
      <c r="U118" s="7">
        <v>45804</v>
      </c>
      <c r="V118" s="7">
        <f t="shared" si="45"/>
        <v>45804</v>
      </c>
      <c r="W118" s="359"/>
      <c r="X118" s="159">
        <f t="shared" si="46"/>
        <v>0</v>
      </c>
      <c r="Z118" s="182"/>
      <c r="AA118" s="182"/>
    </row>
    <row r="119" spans="1:27" ht="41.4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13" t="s">
        <v>496</v>
      </c>
      <c r="N119" s="7">
        <f t="shared" si="78"/>
        <v>0</v>
      </c>
      <c r="O119" s="7">
        <f t="shared" si="79"/>
        <v>0</v>
      </c>
      <c r="P119" s="7">
        <f t="shared" si="44"/>
        <v>0</v>
      </c>
      <c r="Q119" s="7"/>
      <c r="R119" s="7">
        <f t="shared" si="80"/>
        <v>0</v>
      </c>
      <c r="S119" s="7"/>
      <c r="T119" s="7">
        <v>400000</v>
      </c>
      <c r="U119" s="7">
        <v>461271</v>
      </c>
      <c r="V119" s="7">
        <f t="shared" si="45"/>
        <v>461271</v>
      </c>
      <c r="W119" s="359" t="s">
        <v>396</v>
      </c>
      <c r="X119" s="159">
        <f t="shared" si="46"/>
        <v>0</v>
      </c>
      <c r="Z119" s="182"/>
      <c r="AA119" s="182"/>
    </row>
    <row r="120" spans="1:27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238" t="s">
        <v>497</v>
      </c>
      <c r="N120" s="7">
        <f t="shared" si="78"/>
        <v>0</v>
      </c>
      <c r="O120" s="7">
        <f t="shared" si="79"/>
        <v>0</v>
      </c>
      <c r="P120" s="7">
        <f t="shared" si="44"/>
        <v>0</v>
      </c>
      <c r="Q120" s="7">
        <v>0</v>
      </c>
      <c r="R120" s="7">
        <f t="shared" si="80"/>
        <v>0</v>
      </c>
      <c r="S120" s="7"/>
      <c r="T120" s="7"/>
      <c r="U120" s="7">
        <v>0</v>
      </c>
      <c r="V120" s="7">
        <f t="shared" si="45"/>
        <v>0</v>
      </c>
      <c r="W120" s="359"/>
      <c r="X120" s="159">
        <f t="shared" si="46"/>
        <v>0</v>
      </c>
      <c r="Z120" s="182"/>
      <c r="AA120" s="182"/>
    </row>
    <row r="121" spans="1:27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13" t="s">
        <v>498</v>
      </c>
      <c r="N121" s="7">
        <f t="shared" si="78"/>
        <v>0</v>
      </c>
      <c r="O121" s="7">
        <f t="shared" si="79"/>
        <v>0</v>
      </c>
      <c r="P121" s="7">
        <f t="shared" si="44"/>
        <v>0</v>
      </c>
      <c r="Q121" s="7">
        <v>0</v>
      </c>
      <c r="R121" s="7">
        <f t="shared" si="80"/>
        <v>0</v>
      </c>
      <c r="S121" s="7"/>
      <c r="T121" s="7"/>
      <c r="U121" s="7">
        <v>0</v>
      </c>
      <c r="V121" s="7">
        <f t="shared" si="45"/>
        <v>0</v>
      </c>
      <c r="W121" s="359"/>
      <c r="X121" s="159">
        <f t="shared" si="46"/>
        <v>0</v>
      </c>
      <c r="Z121" s="182"/>
      <c r="AA121" s="182"/>
    </row>
    <row r="122" spans="1:27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13" t="s">
        <v>499</v>
      </c>
      <c r="N122" s="7">
        <f t="shared" si="78"/>
        <v>0</v>
      </c>
      <c r="O122" s="7">
        <f t="shared" si="79"/>
        <v>0</v>
      </c>
      <c r="P122" s="7">
        <f t="shared" si="44"/>
        <v>0</v>
      </c>
      <c r="Q122" s="7">
        <v>0</v>
      </c>
      <c r="R122" s="7">
        <f t="shared" si="80"/>
        <v>0</v>
      </c>
      <c r="S122" s="7"/>
      <c r="T122" s="7"/>
      <c r="U122" s="7">
        <v>0</v>
      </c>
      <c r="V122" s="7">
        <f t="shared" si="45"/>
        <v>0</v>
      </c>
      <c r="W122" s="359"/>
      <c r="X122" s="159">
        <f t="shared" si="46"/>
        <v>0</v>
      </c>
      <c r="Z122" s="182"/>
      <c r="AA122" s="182"/>
    </row>
    <row r="123" spans="1:27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238" t="s">
        <v>500</v>
      </c>
      <c r="N123" s="7">
        <f t="shared" si="78"/>
        <v>0</v>
      </c>
      <c r="O123" s="7">
        <f t="shared" si="79"/>
        <v>0</v>
      </c>
      <c r="P123" s="7">
        <f t="shared" si="44"/>
        <v>0</v>
      </c>
      <c r="Q123" s="7">
        <v>0</v>
      </c>
      <c r="R123" s="7">
        <f t="shared" si="80"/>
        <v>0</v>
      </c>
      <c r="S123" s="7"/>
      <c r="T123" s="7"/>
      <c r="U123" s="7">
        <v>0</v>
      </c>
      <c r="V123" s="7">
        <f t="shared" si="45"/>
        <v>0</v>
      </c>
      <c r="W123" s="359"/>
      <c r="X123" s="159">
        <f t="shared" si="46"/>
        <v>0</v>
      </c>
      <c r="Z123" s="182"/>
      <c r="AA123" s="182"/>
    </row>
    <row r="124" spans="1:27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13" t="s">
        <v>501</v>
      </c>
      <c r="N124" s="7">
        <f t="shared" si="78"/>
        <v>0</v>
      </c>
      <c r="O124" s="7">
        <f t="shared" si="79"/>
        <v>0</v>
      </c>
      <c r="P124" s="7">
        <f t="shared" si="44"/>
        <v>0</v>
      </c>
      <c r="Q124" s="7">
        <v>0</v>
      </c>
      <c r="R124" s="7">
        <f t="shared" si="80"/>
        <v>0</v>
      </c>
      <c r="S124" s="7"/>
      <c r="T124" s="7"/>
      <c r="U124" s="7">
        <v>0</v>
      </c>
      <c r="V124" s="7">
        <f t="shared" si="45"/>
        <v>0</v>
      </c>
      <c r="W124" s="359"/>
      <c r="X124" s="159">
        <f t="shared" si="46"/>
        <v>0</v>
      </c>
      <c r="Z124" s="182"/>
      <c r="AA124" s="182"/>
    </row>
    <row r="125" spans="1:27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3" t="s">
        <v>184</v>
      </c>
      <c r="N125" s="11">
        <f t="shared" si="78"/>
        <v>0</v>
      </c>
      <c r="O125" s="11">
        <f t="shared" si="79"/>
        <v>0</v>
      </c>
      <c r="P125" s="11">
        <f t="shared" si="44"/>
        <v>0</v>
      </c>
      <c r="Q125" s="11">
        <v>0</v>
      </c>
      <c r="R125" s="11">
        <f t="shared" si="80"/>
        <v>0</v>
      </c>
      <c r="S125" s="11"/>
      <c r="T125" s="11"/>
      <c r="U125" s="11">
        <v>0</v>
      </c>
      <c r="V125" s="11">
        <f t="shared" si="45"/>
        <v>0</v>
      </c>
      <c r="W125" s="363"/>
      <c r="X125" s="160">
        <f t="shared" si="46"/>
        <v>0</v>
      </c>
      <c r="Z125" s="182"/>
      <c r="AA125" s="182"/>
    </row>
    <row r="126" spans="1:27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13"/>
      <c r="N126" s="7">
        <f t="shared" si="47"/>
        <v>0</v>
      </c>
      <c r="O126" s="7">
        <f t="shared" si="48"/>
        <v>0</v>
      </c>
      <c r="P126" s="7">
        <f t="shared" si="44"/>
        <v>0</v>
      </c>
      <c r="Q126" s="7">
        <v>0</v>
      </c>
      <c r="R126" s="7"/>
      <c r="S126" s="7"/>
      <c r="T126" s="7"/>
      <c r="U126" s="7">
        <v>0</v>
      </c>
      <c r="V126" s="7">
        <f t="shared" si="45"/>
        <v>0</v>
      </c>
      <c r="W126" s="359"/>
      <c r="X126" s="159">
        <f t="shared" si="46"/>
        <v>0</v>
      </c>
      <c r="Z126" s="182"/>
      <c r="AA126" s="182"/>
    </row>
    <row r="127" spans="1:27" x14ac:dyDescent="0.3">
      <c r="A127" s="4">
        <f>SUM(A114:A125)</f>
        <v>0</v>
      </c>
      <c r="B127" s="4">
        <f t="shared" ref="B127:L127" si="81">SUM(B114:B125)</f>
        <v>0</v>
      </c>
      <c r="C127" s="4">
        <f t="shared" si="81"/>
        <v>0</v>
      </c>
      <c r="D127" s="4">
        <f t="shared" si="81"/>
        <v>0</v>
      </c>
      <c r="E127" s="4">
        <f t="shared" si="81"/>
        <v>0</v>
      </c>
      <c r="F127" s="4">
        <f t="shared" si="81"/>
        <v>0</v>
      </c>
      <c r="G127" s="4">
        <f t="shared" si="81"/>
        <v>0</v>
      </c>
      <c r="H127" s="4">
        <f t="shared" si="81"/>
        <v>0</v>
      </c>
      <c r="I127" s="4">
        <f t="shared" si="81"/>
        <v>0</v>
      </c>
      <c r="J127" s="4">
        <f t="shared" si="81"/>
        <v>0</v>
      </c>
      <c r="K127" s="4">
        <f t="shared" si="81"/>
        <v>0</v>
      </c>
      <c r="L127" s="4">
        <f t="shared" si="81"/>
        <v>50450.720000000001</v>
      </c>
      <c r="M127" s="13" t="s">
        <v>185</v>
      </c>
      <c r="N127" s="4">
        <f t="shared" ref="N127:O127" si="82">SUM(N114:N125)</f>
        <v>0</v>
      </c>
      <c r="O127" s="4">
        <f t="shared" si="82"/>
        <v>50450.720000000001</v>
      </c>
      <c r="P127" s="4">
        <f t="shared" ref="P127:W127" si="83">SUM(P114:P125)</f>
        <v>50450.720000000001</v>
      </c>
      <c r="Q127" s="4">
        <f t="shared" si="83"/>
        <v>50450.720000000001</v>
      </c>
      <c r="R127" s="4">
        <f t="shared" si="83"/>
        <v>0</v>
      </c>
      <c r="S127" s="4">
        <f t="shared" si="83"/>
        <v>0</v>
      </c>
      <c r="T127" s="4">
        <f t="shared" si="83"/>
        <v>474312</v>
      </c>
      <c r="U127" s="4">
        <f t="shared" si="83"/>
        <v>619116</v>
      </c>
      <c r="V127" s="4">
        <f t="shared" si="83"/>
        <v>568665.28</v>
      </c>
      <c r="W127" s="4">
        <f t="shared" si="83"/>
        <v>0</v>
      </c>
      <c r="X127" s="162">
        <f t="shared" si="46"/>
        <v>0</v>
      </c>
      <c r="Z127" s="182"/>
      <c r="AA127" s="182"/>
    </row>
    <row r="128" spans="1:27" x14ac:dyDescent="0.3">
      <c r="A128" s="82"/>
      <c r="B128" s="81"/>
      <c r="C128" s="81"/>
      <c r="D128" s="82"/>
      <c r="E128" s="86"/>
      <c r="F128" s="86"/>
      <c r="G128" s="86"/>
      <c r="H128" s="86"/>
      <c r="I128" s="87"/>
      <c r="J128" s="87"/>
      <c r="K128" s="88"/>
      <c r="L128" s="88"/>
      <c r="M128" s="122"/>
      <c r="N128" s="86">
        <f t="shared" si="47"/>
        <v>0</v>
      </c>
      <c r="O128" s="86">
        <f t="shared" si="48"/>
        <v>0</v>
      </c>
      <c r="P128" s="86">
        <f t="shared" si="44"/>
        <v>0</v>
      </c>
      <c r="Q128" s="86">
        <v>0</v>
      </c>
      <c r="R128" s="86">
        <f t="shared" si="44"/>
        <v>0</v>
      </c>
      <c r="S128" s="81"/>
      <c r="T128" s="81"/>
      <c r="U128" s="86">
        <v>0</v>
      </c>
      <c r="V128" s="86">
        <f t="shared" si="45"/>
        <v>0</v>
      </c>
      <c r="W128" s="364"/>
      <c r="X128" s="204">
        <f t="shared" si="46"/>
        <v>0</v>
      </c>
      <c r="Z128" s="182"/>
      <c r="AA128" s="182"/>
    </row>
    <row r="129" spans="1:27" x14ac:dyDescent="0.3">
      <c r="A129" s="4">
        <f>A112+A127</f>
        <v>755727.14994270599</v>
      </c>
      <c r="B129" s="4">
        <f t="shared" ref="B129:L129" si="84">B112+B127</f>
        <v>760099.90898270602</v>
      </c>
      <c r="C129" s="4">
        <f t="shared" si="84"/>
        <v>772780.85570270603</v>
      </c>
      <c r="D129" s="4">
        <f t="shared" si="84"/>
        <v>772999.52090270596</v>
      </c>
      <c r="E129" s="4">
        <f t="shared" si="84"/>
        <v>770272.90786270599</v>
      </c>
      <c r="F129" s="4">
        <f t="shared" si="84"/>
        <v>764912.73370270606</v>
      </c>
      <c r="G129" s="4">
        <f t="shared" si="84"/>
        <v>764144.70690270595</v>
      </c>
      <c r="H129" s="4">
        <f t="shared" si="84"/>
        <v>1178102.809942706</v>
      </c>
      <c r="I129" s="4">
        <f t="shared" si="84"/>
        <v>775896.46538270602</v>
      </c>
      <c r="J129" s="4">
        <f t="shared" si="84"/>
        <v>779831.92546270601</v>
      </c>
      <c r="K129" s="4">
        <f t="shared" si="84"/>
        <v>779831.14994270599</v>
      </c>
      <c r="L129" s="4">
        <f t="shared" si="84"/>
        <v>863907.00909416866</v>
      </c>
      <c r="M129" s="13" t="s">
        <v>186</v>
      </c>
      <c r="N129" s="4">
        <f t="shared" ref="N129:O129" si="85">N112+N127</f>
        <v>0</v>
      </c>
      <c r="O129" s="4">
        <f t="shared" si="85"/>
        <v>9738507.1438239366</v>
      </c>
      <c r="P129" s="4">
        <f>P112+P127</f>
        <v>9738507.1438239366</v>
      </c>
      <c r="Q129" s="4">
        <f>Q112+Q127</f>
        <v>9738507.1438239366</v>
      </c>
      <c r="R129" s="4">
        <f>R112+R127</f>
        <v>0</v>
      </c>
      <c r="S129" s="4">
        <v>1819000</v>
      </c>
      <c r="T129" s="4">
        <v>474312</v>
      </c>
      <c r="U129" s="4">
        <v>11378907.359976521</v>
      </c>
      <c r="V129" s="4">
        <f t="shared" si="45"/>
        <v>1640400.2161525842</v>
      </c>
      <c r="W129" s="365">
        <f>W112+W127</f>
        <v>0</v>
      </c>
      <c r="X129" s="162">
        <f t="shared" si="46"/>
        <v>0</v>
      </c>
      <c r="Z129" s="182"/>
      <c r="AA129" s="182"/>
    </row>
    <row r="131" spans="1:27" x14ac:dyDescent="0.3">
      <c r="A131" s="167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W131" s="167"/>
      <c r="X131" s="167"/>
    </row>
    <row r="132" spans="1:27" x14ac:dyDescent="0.3">
      <c r="A132" s="167"/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X132" s="167"/>
    </row>
    <row r="133" spans="1:27" hidden="1" x14ac:dyDescent="0.3">
      <c r="A133" s="408" t="s">
        <v>3</v>
      </c>
      <c r="B133" s="408"/>
      <c r="C133" s="408"/>
      <c r="D133" s="408"/>
      <c r="E133" s="408"/>
      <c r="F133" s="408"/>
      <c r="G133" s="408"/>
      <c r="H133" s="408"/>
      <c r="I133" s="408"/>
      <c r="J133" s="408"/>
      <c r="K133" s="408"/>
      <c r="L133" s="408"/>
      <c r="M133" s="14" t="s">
        <v>69</v>
      </c>
      <c r="N133" s="355" t="s">
        <v>226</v>
      </c>
      <c r="O133" s="356"/>
      <c r="P133" s="356"/>
      <c r="Q133" s="356"/>
      <c r="R133" s="356"/>
      <c r="S133" s="356"/>
      <c r="T133" s="356"/>
      <c r="U133" s="356"/>
      <c r="V133" s="356"/>
      <c r="W133" s="371"/>
      <c r="X133" s="125"/>
    </row>
    <row r="134" spans="1:27" hidden="1" x14ac:dyDescent="0.3">
      <c r="A134" s="125">
        <v>43556</v>
      </c>
      <c r="B134" s="125">
        <v>43586</v>
      </c>
      <c r="C134" s="125">
        <v>43617</v>
      </c>
      <c r="D134" s="125">
        <v>43647</v>
      </c>
      <c r="E134" s="125">
        <v>43678</v>
      </c>
      <c r="F134" s="125">
        <v>43709</v>
      </c>
      <c r="G134" s="125">
        <v>43739</v>
      </c>
      <c r="H134" s="125">
        <v>43770</v>
      </c>
      <c r="I134" s="125">
        <v>43800</v>
      </c>
      <c r="J134" s="125">
        <v>43831</v>
      </c>
      <c r="K134" s="125">
        <v>43862</v>
      </c>
      <c r="L134" s="125">
        <v>43891</v>
      </c>
      <c r="M134" s="431" t="s">
        <v>267</v>
      </c>
      <c r="N134" s="125" t="s">
        <v>268</v>
      </c>
      <c r="O134" s="125" t="s">
        <v>249</v>
      </c>
      <c r="P134" s="125" t="s">
        <v>269</v>
      </c>
      <c r="Q134" s="125" t="s">
        <v>270</v>
      </c>
      <c r="R134" s="125" t="s">
        <v>228</v>
      </c>
      <c r="S134" s="125"/>
      <c r="T134" s="125"/>
      <c r="U134" s="125"/>
      <c r="V134" s="125"/>
      <c r="W134" s="243" t="s">
        <v>229</v>
      </c>
      <c r="X134" s="125" t="s">
        <v>271</v>
      </c>
    </row>
    <row r="135" spans="1:27" ht="27.6" hidden="1" x14ac:dyDescent="0.3">
      <c r="A135" s="201" t="s">
        <v>2</v>
      </c>
      <c r="B135" s="201" t="s">
        <v>2</v>
      </c>
      <c r="C135" s="201" t="s">
        <v>2</v>
      </c>
      <c r="D135" s="201" t="s">
        <v>2</v>
      </c>
      <c r="E135" s="201" t="s">
        <v>2</v>
      </c>
      <c r="F135" s="201" t="s">
        <v>2</v>
      </c>
      <c r="G135" s="201" t="s">
        <v>2</v>
      </c>
      <c r="H135" s="10" t="s">
        <v>1</v>
      </c>
      <c r="I135" s="10" t="s">
        <v>1</v>
      </c>
      <c r="J135" s="10" t="s">
        <v>1</v>
      </c>
      <c r="K135" s="10" t="s">
        <v>1</v>
      </c>
      <c r="L135" s="10" t="s">
        <v>1</v>
      </c>
      <c r="M135" s="432"/>
      <c r="N135" s="201" t="s">
        <v>251</v>
      </c>
      <c r="O135" s="10" t="s">
        <v>1</v>
      </c>
      <c r="P135" s="10" t="s">
        <v>1</v>
      </c>
      <c r="Q135" s="10" t="s">
        <v>235</v>
      </c>
      <c r="R135" s="10" t="s">
        <v>236</v>
      </c>
      <c r="S135" s="10"/>
      <c r="T135" s="10"/>
      <c r="U135" s="10"/>
      <c r="V135" s="10"/>
      <c r="W135" s="10" t="s">
        <v>237</v>
      </c>
      <c r="X135" s="10" t="s">
        <v>13</v>
      </c>
    </row>
    <row r="136" spans="1:27" hidden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24"/>
      <c r="N136" s="1"/>
      <c r="O136" s="1"/>
      <c r="P136" s="1"/>
      <c r="Q136" s="1"/>
      <c r="R136" s="1"/>
      <c r="S136" s="1"/>
      <c r="T136" s="1"/>
      <c r="U136" s="1"/>
      <c r="V136" s="1"/>
      <c r="W136" s="361"/>
      <c r="X136" s="1"/>
    </row>
    <row r="137" spans="1:27" hidden="1" x14ac:dyDescent="0.3">
      <c r="A137" s="8">
        <v>0</v>
      </c>
      <c r="B137" s="8">
        <f>A7+B7</f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187" t="s">
        <v>77</v>
      </c>
      <c r="N137" s="8">
        <v>0</v>
      </c>
      <c r="O137" s="8"/>
      <c r="P137" s="8"/>
      <c r="Q137" s="8">
        <v>0</v>
      </c>
      <c r="R137" s="8"/>
      <c r="S137" s="8"/>
      <c r="T137" s="8"/>
      <c r="U137" s="8"/>
      <c r="V137" s="8"/>
      <c r="W137" s="362"/>
      <c r="X137" s="158"/>
    </row>
    <row r="138" spans="1:27" hidden="1" x14ac:dyDescent="0.3">
      <c r="A138" s="202">
        <v>611235.23</v>
      </c>
      <c r="B138" s="202">
        <f>A138+B8</f>
        <v>1342319.578</v>
      </c>
      <c r="C138" s="202">
        <f t="shared" ref="C138:L138" si="86">B138+C8</f>
        <v>2073403.926</v>
      </c>
      <c r="D138" s="202">
        <f t="shared" si="86"/>
        <v>2804488.2740000002</v>
      </c>
      <c r="E138" s="202">
        <f t="shared" si="86"/>
        <v>3535572.6220000004</v>
      </c>
      <c r="F138" s="202">
        <f t="shared" si="86"/>
        <v>4266656.9700000007</v>
      </c>
      <c r="G138" s="202">
        <f t="shared" si="86"/>
        <v>4997741.3180000009</v>
      </c>
      <c r="H138" s="202">
        <f>G138+H8</f>
        <v>5728825.6660000011</v>
      </c>
      <c r="I138" s="202">
        <f t="shared" si="86"/>
        <v>6459910.0140000014</v>
      </c>
      <c r="J138" s="202">
        <f t="shared" si="86"/>
        <v>7190994.3620000016</v>
      </c>
      <c r="K138" s="202">
        <f t="shared" si="86"/>
        <v>7922078.7100000018</v>
      </c>
      <c r="L138" s="202">
        <f t="shared" si="86"/>
        <v>8499057.0580000021</v>
      </c>
      <c r="M138" s="13" t="s">
        <v>78</v>
      </c>
      <c r="N138" s="7">
        <v>4565537.38</v>
      </c>
      <c r="O138" s="7">
        <v>3266238.8999999994</v>
      </c>
      <c r="P138" s="7">
        <v>7831776.2799999993</v>
      </c>
      <c r="Q138" s="7">
        <v>7831776.6735300012</v>
      </c>
      <c r="R138" s="7">
        <v>-0.39353000186383724</v>
      </c>
      <c r="S138" s="7"/>
      <c r="T138" s="7"/>
      <c r="U138" s="7"/>
      <c r="V138" s="7"/>
      <c r="W138" s="359" t="s">
        <v>272</v>
      </c>
      <c r="X138" s="159">
        <v>0.58295040452707192</v>
      </c>
    </row>
    <row r="139" spans="1:27" hidden="1" x14ac:dyDescent="0.3">
      <c r="A139" s="7">
        <v>0</v>
      </c>
      <c r="B139" s="7">
        <f t="shared" ref="B139:L139" si="87">A139+B9</f>
        <v>0</v>
      </c>
      <c r="C139" s="7">
        <f t="shared" si="87"/>
        <v>0</v>
      </c>
      <c r="D139" s="7">
        <f t="shared" si="87"/>
        <v>0</v>
      </c>
      <c r="E139" s="7">
        <f t="shared" si="87"/>
        <v>0</v>
      </c>
      <c r="F139" s="7">
        <f t="shared" si="87"/>
        <v>0</v>
      </c>
      <c r="G139" s="7">
        <f t="shared" si="87"/>
        <v>0</v>
      </c>
      <c r="H139" s="7">
        <f t="shared" si="87"/>
        <v>0</v>
      </c>
      <c r="I139" s="7">
        <f t="shared" si="87"/>
        <v>0</v>
      </c>
      <c r="J139" s="7">
        <f t="shared" si="87"/>
        <v>0</v>
      </c>
      <c r="K139" s="7">
        <f t="shared" si="87"/>
        <v>0</v>
      </c>
      <c r="L139" s="7">
        <f t="shared" si="87"/>
        <v>10947.408000000001</v>
      </c>
      <c r="M139" s="13" t="s">
        <v>80</v>
      </c>
      <c r="N139" s="7">
        <v>0</v>
      </c>
      <c r="O139" s="7">
        <v>11755</v>
      </c>
      <c r="P139" s="7">
        <v>11755</v>
      </c>
      <c r="Q139" s="7">
        <v>11755.241510295002</v>
      </c>
      <c r="R139" s="7">
        <v>-0.24151029500171717</v>
      </c>
      <c r="S139" s="7"/>
      <c r="T139" s="7"/>
      <c r="U139" s="7"/>
      <c r="V139" s="7"/>
      <c r="W139" s="359"/>
      <c r="X139" s="159">
        <v>0</v>
      </c>
    </row>
    <row r="140" spans="1:27" hidden="1" x14ac:dyDescent="0.3">
      <c r="A140" s="7">
        <v>0</v>
      </c>
      <c r="B140" s="7">
        <f t="shared" ref="B140:L140" si="88">A140+B10</f>
        <v>0</v>
      </c>
      <c r="C140" s="7">
        <f t="shared" si="88"/>
        <v>0</v>
      </c>
      <c r="D140" s="7">
        <f t="shared" si="88"/>
        <v>0</v>
      </c>
      <c r="E140" s="7">
        <f t="shared" si="88"/>
        <v>0</v>
      </c>
      <c r="F140" s="7">
        <f t="shared" si="88"/>
        <v>0</v>
      </c>
      <c r="G140" s="7">
        <f t="shared" si="88"/>
        <v>0</v>
      </c>
      <c r="H140" s="7">
        <f t="shared" si="88"/>
        <v>0</v>
      </c>
      <c r="I140" s="7">
        <f t="shared" si="88"/>
        <v>0</v>
      </c>
      <c r="J140" s="7">
        <f t="shared" si="88"/>
        <v>0</v>
      </c>
      <c r="K140" s="7">
        <f t="shared" si="88"/>
        <v>0</v>
      </c>
      <c r="L140" s="7">
        <f t="shared" si="88"/>
        <v>0</v>
      </c>
      <c r="M140" s="13" t="s">
        <v>81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/>
      <c r="T140" s="7"/>
      <c r="U140" s="7"/>
      <c r="V140" s="7"/>
      <c r="W140" s="359"/>
      <c r="X140" s="159">
        <v>0</v>
      </c>
    </row>
    <row r="141" spans="1:27" hidden="1" x14ac:dyDescent="0.3">
      <c r="A141" s="7">
        <v>0</v>
      </c>
      <c r="B141" s="7">
        <f t="shared" ref="B141:L141" si="89">A141+B11</f>
        <v>0</v>
      </c>
      <c r="C141" s="7">
        <f t="shared" si="89"/>
        <v>0</v>
      </c>
      <c r="D141" s="7">
        <f t="shared" si="89"/>
        <v>0</v>
      </c>
      <c r="E141" s="7">
        <f t="shared" si="89"/>
        <v>0</v>
      </c>
      <c r="F141" s="7">
        <f t="shared" si="89"/>
        <v>0</v>
      </c>
      <c r="G141" s="7">
        <f t="shared" si="89"/>
        <v>0</v>
      </c>
      <c r="H141" s="7">
        <f t="shared" si="89"/>
        <v>0</v>
      </c>
      <c r="I141" s="7">
        <f t="shared" si="89"/>
        <v>0</v>
      </c>
      <c r="J141" s="7">
        <f t="shared" si="89"/>
        <v>0</v>
      </c>
      <c r="K141" s="7">
        <f t="shared" si="89"/>
        <v>0</v>
      </c>
      <c r="L141" s="7">
        <f t="shared" si="89"/>
        <v>0</v>
      </c>
      <c r="M141" s="13" t="s">
        <v>82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/>
      <c r="T141" s="7"/>
      <c r="U141" s="7"/>
      <c r="V141" s="7"/>
      <c r="W141" s="359"/>
      <c r="X141" s="159">
        <v>0</v>
      </c>
    </row>
    <row r="142" spans="1:27" hidden="1" x14ac:dyDescent="0.3">
      <c r="A142" s="202">
        <v>9553.1500000000015</v>
      </c>
      <c r="B142" s="202">
        <f t="shared" ref="B142:L142" si="90">A142+B12</f>
        <v>20611.5936</v>
      </c>
      <c r="C142" s="202">
        <f t="shared" si="90"/>
        <v>31670.037199999999</v>
      </c>
      <c r="D142" s="202">
        <f t="shared" si="90"/>
        <v>42728.480799999998</v>
      </c>
      <c r="E142" s="202">
        <f t="shared" si="90"/>
        <v>53786.924399999996</v>
      </c>
      <c r="F142" s="202">
        <f t="shared" si="90"/>
        <v>64845.367999999995</v>
      </c>
      <c r="G142" s="202">
        <f t="shared" si="90"/>
        <v>75903.811600000001</v>
      </c>
      <c r="H142" s="202">
        <f t="shared" si="90"/>
        <v>86962.2552</v>
      </c>
      <c r="I142" s="202">
        <f t="shared" si="90"/>
        <v>98020.698799999998</v>
      </c>
      <c r="J142" s="202">
        <f t="shared" si="90"/>
        <v>109079.1424</v>
      </c>
      <c r="K142" s="202">
        <f t="shared" si="90"/>
        <v>120137.586</v>
      </c>
      <c r="L142" s="202">
        <f t="shared" si="90"/>
        <v>131196.02960000001</v>
      </c>
      <c r="M142" s="13" t="s">
        <v>83</v>
      </c>
      <c r="N142" s="7">
        <v>69814.429999999993</v>
      </c>
      <c r="O142" s="7">
        <v>49865</v>
      </c>
      <c r="P142" s="7">
        <v>119679.43</v>
      </c>
      <c r="Q142" s="7">
        <v>119225.84075999999</v>
      </c>
      <c r="R142" s="7">
        <v>453.58924000000115</v>
      </c>
      <c r="S142" s="7"/>
      <c r="T142" s="7"/>
      <c r="U142" s="7"/>
      <c r="V142" s="7"/>
      <c r="W142" s="359"/>
      <c r="X142" s="159">
        <v>0.58556458528596578</v>
      </c>
    </row>
    <row r="143" spans="1:27" hidden="1" x14ac:dyDescent="0.3">
      <c r="A143" s="202">
        <v>0</v>
      </c>
      <c r="B143" s="202">
        <f t="shared" ref="B143:L143" si="91">A143+B13</f>
        <v>4372.7590399999999</v>
      </c>
      <c r="C143" s="202">
        <f t="shared" si="91"/>
        <v>21426.464800000002</v>
      </c>
      <c r="D143" s="202">
        <f t="shared" si="91"/>
        <v>38698.835760000002</v>
      </c>
      <c r="E143" s="202">
        <f t="shared" si="91"/>
        <v>51161.169680000006</v>
      </c>
      <c r="F143" s="202">
        <f t="shared" si="91"/>
        <v>60234.617440000009</v>
      </c>
      <c r="G143" s="202">
        <f t="shared" si="91"/>
        <v>68652.174400000018</v>
      </c>
      <c r="H143" s="202">
        <f t="shared" si="91"/>
        <v>68652.174400000018</v>
      </c>
      <c r="I143" s="202">
        <f t="shared" si="91"/>
        <v>88821.489840000024</v>
      </c>
      <c r="J143" s="202">
        <f t="shared" si="91"/>
        <v>112926.26536000002</v>
      </c>
      <c r="K143" s="202">
        <f t="shared" si="91"/>
        <v>137030.26536000002</v>
      </c>
      <c r="L143" s="202">
        <f t="shared" si="91"/>
        <v>160344.07336000001</v>
      </c>
      <c r="M143" s="13" t="s">
        <v>84</v>
      </c>
      <c r="N143" s="7">
        <v>65507.8</v>
      </c>
      <c r="O143" s="7">
        <v>87492</v>
      </c>
      <c r="P143" s="7">
        <v>152999.79999999999</v>
      </c>
      <c r="Q143" s="7">
        <v>153000</v>
      </c>
      <c r="R143" s="7">
        <v>-0.20000000001164153</v>
      </c>
      <c r="S143" s="7"/>
      <c r="T143" s="7"/>
      <c r="U143" s="7"/>
      <c r="V143" s="7"/>
      <c r="W143" s="359" t="s">
        <v>273</v>
      </c>
      <c r="X143" s="159">
        <v>0.42815555555555557</v>
      </c>
    </row>
    <row r="144" spans="1:27" hidden="1" x14ac:dyDescent="0.3">
      <c r="A144" s="7">
        <v>0</v>
      </c>
      <c r="B144" s="7">
        <f t="shared" ref="B144:L144" si="92">A144+B14</f>
        <v>0</v>
      </c>
      <c r="C144" s="7">
        <f t="shared" si="92"/>
        <v>0</v>
      </c>
      <c r="D144" s="7">
        <f t="shared" si="92"/>
        <v>0</v>
      </c>
      <c r="E144" s="7">
        <f t="shared" si="92"/>
        <v>0</v>
      </c>
      <c r="F144" s="7">
        <f t="shared" si="92"/>
        <v>0</v>
      </c>
      <c r="G144" s="7">
        <f t="shared" si="92"/>
        <v>0</v>
      </c>
      <c r="H144" s="7" t="e">
        <f>G144+#REF!</f>
        <v>#REF!</v>
      </c>
      <c r="I144" s="7" t="e">
        <f t="shared" si="92"/>
        <v>#REF!</v>
      </c>
      <c r="J144" s="7" t="e">
        <f t="shared" si="92"/>
        <v>#REF!</v>
      </c>
      <c r="K144" s="7" t="e">
        <f t="shared" si="92"/>
        <v>#REF!</v>
      </c>
      <c r="L144" s="7" t="e">
        <f t="shared" si="92"/>
        <v>#REF!</v>
      </c>
      <c r="M144" s="13" t="s">
        <v>86</v>
      </c>
      <c r="N144" s="7">
        <v>0</v>
      </c>
      <c r="O144" s="7">
        <v>442171</v>
      </c>
      <c r="P144" s="7">
        <v>442171</v>
      </c>
      <c r="Q144" s="7">
        <v>442170.62076730444</v>
      </c>
      <c r="R144" s="7">
        <v>0.37923269555903971</v>
      </c>
      <c r="S144" s="7"/>
      <c r="T144" s="7"/>
      <c r="U144" s="7"/>
      <c r="V144" s="7"/>
      <c r="W144" s="359" t="s">
        <v>274</v>
      </c>
      <c r="X144" s="159">
        <v>0</v>
      </c>
    </row>
    <row r="145" spans="1:24" hidden="1" x14ac:dyDescent="0.3">
      <c r="A145" s="7">
        <v>0</v>
      </c>
      <c r="B145" s="7">
        <f t="shared" ref="B145:L145" si="93">A145+B15</f>
        <v>0</v>
      </c>
      <c r="C145" s="7">
        <f t="shared" si="93"/>
        <v>0</v>
      </c>
      <c r="D145" s="7">
        <f t="shared" si="93"/>
        <v>0</v>
      </c>
      <c r="E145" s="7">
        <f t="shared" si="93"/>
        <v>0</v>
      </c>
      <c r="F145" s="7">
        <f t="shared" si="93"/>
        <v>0</v>
      </c>
      <c r="G145" s="7">
        <f t="shared" si="93"/>
        <v>0</v>
      </c>
      <c r="H145" s="7">
        <f>G145+H14</f>
        <v>419231.66</v>
      </c>
      <c r="I145" s="7">
        <f t="shared" si="93"/>
        <v>419231.66</v>
      </c>
      <c r="J145" s="7">
        <f t="shared" si="93"/>
        <v>419231.66</v>
      </c>
      <c r="K145" s="7">
        <f t="shared" si="93"/>
        <v>419231.66</v>
      </c>
      <c r="L145" s="7">
        <f t="shared" si="93"/>
        <v>419231.66</v>
      </c>
      <c r="M145" s="13" t="s">
        <v>87</v>
      </c>
      <c r="N145" s="7">
        <v>0</v>
      </c>
      <c r="O145" s="7">
        <v>45000</v>
      </c>
      <c r="P145" s="7">
        <v>45000</v>
      </c>
      <c r="Q145" s="7">
        <v>45000</v>
      </c>
      <c r="R145" s="7">
        <v>0</v>
      </c>
      <c r="S145" s="7"/>
      <c r="T145" s="7"/>
      <c r="U145" s="7"/>
      <c r="V145" s="7"/>
      <c r="W145" s="359"/>
      <c r="X145" s="159">
        <v>0</v>
      </c>
    </row>
    <row r="146" spans="1:24" hidden="1" x14ac:dyDescent="0.3">
      <c r="A146" s="11">
        <v>0</v>
      </c>
      <c r="B146" s="11">
        <f t="shared" ref="B146:L146" si="94">A146+B16</f>
        <v>0</v>
      </c>
      <c r="C146" s="11">
        <f t="shared" si="94"/>
        <v>0</v>
      </c>
      <c r="D146" s="11">
        <f t="shared" si="94"/>
        <v>0</v>
      </c>
      <c r="E146" s="11">
        <f t="shared" si="94"/>
        <v>0</v>
      </c>
      <c r="F146" s="11">
        <f t="shared" si="94"/>
        <v>0</v>
      </c>
      <c r="G146" s="11">
        <f t="shared" si="94"/>
        <v>0</v>
      </c>
      <c r="H146" s="11">
        <f t="shared" si="94"/>
        <v>0</v>
      </c>
      <c r="I146" s="11">
        <f t="shared" si="94"/>
        <v>0</v>
      </c>
      <c r="J146" s="11">
        <f t="shared" si="94"/>
        <v>0</v>
      </c>
      <c r="K146" s="11">
        <f t="shared" si="94"/>
        <v>0</v>
      </c>
      <c r="L146" s="11">
        <f t="shared" si="94"/>
        <v>0</v>
      </c>
      <c r="M146" s="13" t="s">
        <v>88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/>
      <c r="T146" s="11"/>
      <c r="U146" s="11"/>
      <c r="V146" s="11"/>
      <c r="W146" s="363"/>
      <c r="X146" s="160">
        <v>0</v>
      </c>
    </row>
    <row r="147" spans="1:24" hidden="1" x14ac:dyDescent="0.3">
      <c r="A147" s="81"/>
      <c r="B147" s="81">
        <f t="shared" ref="B147:L147" si="95">A147+B17</f>
        <v>0</v>
      </c>
      <c r="C147" s="81">
        <f t="shared" si="95"/>
        <v>0</v>
      </c>
      <c r="D147" s="81">
        <f t="shared" si="95"/>
        <v>0</v>
      </c>
      <c r="E147" s="81">
        <f t="shared" si="95"/>
        <v>0</v>
      </c>
      <c r="F147" s="81">
        <f t="shared" si="95"/>
        <v>0</v>
      </c>
      <c r="G147" s="81">
        <f t="shared" si="95"/>
        <v>0</v>
      </c>
      <c r="H147" s="81">
        <f t="shared" si="95"/>
        <v>0</v>
      </c>
      <c r="I147" s="81">
        <f t="shared" si="95"/>
        <v>0</v>
      </c>
      <c r="J147" s="81">
        <f t="shared" si="95"/>
        <v>0</v>
      </c>
      <c r="K147" s="81">
        <f t="shared" si="95"/>
        <v>0</v>
      </c>
      <c r="L147" s="81">
        <f t="shared" si="95"/>
        <v>0</v>
      </c>
      <c r="M147" s="13"/>
      <c r="N147" s="81">
        <v>0</v>
      </c>
      <c r="O147" s="81"/>
      <c r="P147" s="81"/>
      <c r="Q147" s="81">
        <v>0</v>
      </c>
      <c r="R147" s="81"/>
      <c r="S147" s="81"/>
      <c r="T147" s="81"/>
      <c r="U147" s="81"/>
      <c r="V147" s="81"/>
      <c r="W147" s="364"/>
      <c r="X147" s="204">
        <v>0</v>
      </c>
    </row>
    <row r="148" spans="1:24" hidden="1" x14ac:dyDescent="0.3">
      <c r="A148" s="4">
        <v>620788.38</v>
      </c>
      <c r="B148" s="4">
        <f t="shared" ref="B148:L148" si="96">A148+B18</f>
        <v>1367303.9306399999</v>
      </c>
      <c r="C148" s="4">
        <f t="shared" si="96"/>
        <v>2126500.4279999998</v>
      </c>
      <c r="D148" s="4">
        <f t="shared" si="96"/>
        <v>2885915.5905599999</v>
      </c>
      <c r="E148" s="4">
        <f t="shared" si="96"/>
        <v>3640520.7160799997</v>
      </c>
      <c r="F148" s="4">
        <f t="shared" si="96"/>
        <v>4391736.9554399997</v>
      </c>
      <c r="G148" s="4">
        <f t="shared" si="96"/>
        <v>5142297.3039999995</v>
      </c>
      <c r="H148" s="4">
        <f t="shared" si="96"/>
        <v>6306815.7555999998</v>
      </c>
      <c r="I148" s="4">
        <f t="shared" si="96"/>
        <v>7069127.8626399999</v>
      </c>
      <c r="J148" s="4">
        <f t="shared" si="96"/>
        <v>7835375.4297599997</v>
      </c>
      <c r="K148" s="4">
        <f t="shared" si="96"/>
        <v>8601622.2213599999</v>
      </c>
      <c r="L148" s="4">
        <f t="shared" si="96"/>
        <v>9223920.22896</v>
      </c>
      <c r="M148" s="13" t="s">
        <v>89</v>
      </c>
      <c r="N148" s="4">
        <v>4700859.6099999994</v>
      </c>
      <c r="O148" s="4">
        <v>3902521.8999999994</v>
      </c>
      <c r="P148" s="4">
        <v>8603381.5099999979</v>
      </c>
      <c r="Q148" s="4">
        <v>8602928.3765676003</v>
      </c>
      <c r="R148" s="4">
        <v>453.133432398683</v>
      </c>
      <c r="S148" s="4"/>
      <c r="T148" s="4"/>
      <c r="U148" s="4"/>
      <c r="V148" s="4"/>
      <c r="W148" s="365">
        <v>0</v>
      </c>
      <c r="X148" s="4">
        <v>1.5966705453685934</v>
      </c>
    </row>
    <row r="149" spans="1:24" hidden="1" x14ac:dyDescent="0.3">
      <c r="A149" s="81"/>
      <c r="B149" s="81">
        <f t="shared" ref="B149:L149" si="97">A149+B19</f>
        <v>0</v>
      </c>
      <c r="C149" s="81">
        <f t="shared" si="97"/>
        <v>0</v>
      </c>
      <c r="D149" s="81">
        <f t="shared" si="97"/>
        <v>0</v>
      </c>
      <c r="E149" s="81">
        <f t="shared" si="97"/>
        <v>0</v>
      </c>
      <c r="F149" s="81">
        <f t="shared" si="97"/>
        <v>0</v>
      </c>
      <c r="G149" s="81">
        <f t="shared" si="97"/>
        <v>0</v>
      </c>
      <c r="H149" s="81">
        <f t="shared" si="97"/>
        <v>0</v>
      </c>
      <c r="I149" s="81">
        <f t="shared" si="97"/>
        <v>0</v>
      </c>
      <c r="J149" s="81">
        <f t="shared" si="97"/>
        <v>0</v>
      </c>
      <c r="K149" s="81">
        <f t="shared" si="97"/>
        <v>0</v>
      </c>
      <c r="L149" s="81">
        <f t="shared" si="97"/>
        <v>0</v>
      </c>
      <c r="M149" s="122"/>
      <c r="N149" s="81">
        <v>0</v>
      </c>
      <c r="O149" s="81"/>
      <c r="P149" s="81"/>
      <c r="Q149" s="81">
        <v>0</v>
      </c>
      <c r="R149" s="81"/>
      <c r="S149" s="81"/>
      <c r="T149" s="81"/>
      <c r="U149" s="81"/>
      <c r="V149" s="81"/>
      <c r="W149" s="364"/>
      <c r="X149" s="204">
        <v>0</v>
      </c>
    </row>
    <row r="150" spans="1:24" hidden="1" x14ac:dyDescent="0.3">
      <c r="A150" s="183">
        <v>0</v>
      </c>
      <c r="B150" s="183">
        <f t="shared" ref="B150:L150" si="98">A150+B20</f>
        <v>0</v>
      </c>
      <c r="C150" s="183">
        <f t="shared" si="98"/>
        <v>0</v>
      </c>
      <c r="D150" s="183">
        <f t="shared" si="98"/>
        <v>0</v>
      </c>
      <c r="E150" s="183">
        <f t="shared" si="98"/>
        <v>0</v>
      </c>
      <c r="F150" s="183">
        <f t="shared" si="98"/>
        <v>0</v>
      </c>
      <c r="G150" s="183">
        <f t="shared" si="98"/>
        <v>0</v>
      </c>
      <c r="H150" s="183">
        <f t="shared" si="98"/>
        <v>0</v>
      </c>
      <c r="I150" s="183">
        <f t="shared" si="98"/>
        <v>0</v>
      </c>
      <c r="J150" s="183">
        <f t="shared" si="98"/>
        <v>0</v>
      </c>
      <c r="K150" s="183">
        <f t="shared" si="98"/>
        <v>0</v>
      </c>
      <c r="L150" s="183">
        <f t="shared" si="98"/>
        <v>0</v>
      </c>
      <c r="M150" s="187" t="s">
        <v>90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/>
      <c r="T150" s="8"/>
      <c r="U150" s="8"/>
      <c r="V150" s="8"/>
      <c r="W150" s="362"/>
      <c r="X150" s="158">
        <v>0</v>
      </c>
    </row>
    <row r="151" spans="1:24" hidden="1" x14ac:dyDescent="0.3">
      <c r="A151" s="7">
        <v>0</v>
      </c>
      <c r="B151" s="7">
        <f t="shared" ref="B151:L151" si="99">A151+B21</f>
        <v>0</v>
      </c>
      <c r="C151" s="7">
        <f t="shared" si="99"/>
        <v>0</v>
      </c>
      <c r="D151" s="7">
        <f t="shared" si="99"/>
        <v>0</v>
      </c>
      <c r="E151" s="7">
        <f t="shared" si="99"/>
        <v>0</v>
      </c>
      <c r="F151" s="7">
        <f t="shared" si="99"/>
        <v>0</v>
      </c>
      <c r="G151" s="7">
        <f t="shared" si="99"/>
        <v>0</v>
      </c>
      <c r="H151" s="7">
        <f t="shared" si="99"/>
        <v>0</v>
      </c>
      <c r="I151" s="7">
        <f t="shared" si="99"/>
        <v>0</v>
      </c>
      <c r="J151" s="7">
        <f t="shared" si="99"/>
        <v>0</v>
      </c>
      <c r="K151" s="7">
        <f t="shared" si="99"/>
        <v>0</v>
      </c>
      <c r="L151" s="7">
        <f t="shared" si="99"/>
        <v>0</v>
      </c>
      <c r="M151" s="13" t="s">
        <v>91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/>
      <c r="T151" s="7"/>
      <c r="U151" s="7"/>
      <c r="V151" s="7"/>
      <c r="W151" s="359"/>
      <c r="X151" s="159">
        <v>0</v>
      </c>
    </row>
    <row r="152" spans="1:24" hidden="1" x14ac:dyDescent="0.3">
      <c r="A152" s="7">
        <v>0</v>
      </c>
      <c r="B152" s="7">
        <f t="shared" ref="B152:L152" si="100">A152+B22</f>
        <v>0</v>
      </c>
      <c r="C152" s="7">
        <f t="shared" si="100"/>
        <v>0</v>
      </c>
      <c r="D152" s="7">
        <f t="shared" si="100"/>
        <v>0</v>
      </c>
      <c r="E152" s="7">
        <f t="shared" si="100"/>
        <v>0</v>
      </c>
      <c r="F152" s="7">
        <f t="shared" si="100"/>
        <v>0</v>
      </c>
      <c r="G152" s="7">
        <f t="shared" si="100"/>
        <v>0</v>
      </c>
      <c r="H152" s="7">
        <f t="shared" si="100"/>
        <v>0</v>
      </c>
      <c r="I152" s="7">
        <f t="shared" si="100"/>
        <v>0</v>
      </c>
      <c r="J152" s="7">
        <f t="shared" si="100"/>
        <v>0</v>
      </c>
      <c r="K152" s="7">
        <f t="shared" si="100"/>
        <v>0</v>
      </c>
      <c r="L152" s="7">
        <f t="shared" si="100"/>
        <v>0</v>
      </c>
      <c r="M152" s="13" t="s">
        <v>92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/>
      <c r="T152" s="7"/>
      <c r="U152" s="7"/>
      <c r="V152" s="7"/>
      <c r="W152" s="359"/>
      <c r="X152" s="159">
        <v>0</v>
      </c>
    </row>
    <row r="153" spans="1:24" hidden="1" x14ac:dyDescent="0.3">
      <c r="A153" s="7">
        <v>0</v>
      </c>
      <c r="B153" s="7">
        <f t="shared" ref="B153:L153" si="101">A153+B23</f>
        <v>0</v>
      </c>
      <c r="C153" s="7">
        <f t="shared" si="101"/>
        <v>0</v>
      </c>
      <c r="D153" s="7">
        <f t="shared" si="101"/>
        <v>0</v>
      </c>
      <c r="E153" s="7">
        <f t="shared" si="101"/>
        <v>0</v>
      </c>
      <c r="F153" s="7">
        <f t="shared" si="101"/>
        <v>0</v>
      </c>
      <c r="G153" s="7">
        <f t="shared" si="101"/>
        <v>0</v>
      </c>
      <c r="H153" s="7">
        <f t="shared" si="101"/>
        <v>0</v>
      </c>
      <c r="I153" s="7">
        <f t="shared" si="101"/>
        <v>0</v>
      </c>
      <c r="J153" s="7">
        <f t="shared" si="101"/>
        <v>0</v>
      </c>
      <c r="K153" s="7">
        <f t="shared" si="101"/>
        <v>0</v>
      </c>
      <c r="L153" s="7">
        <f t="shared" si="101"/>
        <v>0</v>
      </c>
      <c r="M153" s="125" t="s">
        <v>93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/>
      <c r="T153" s="7"/>
      <c r="U153" s="7"/>
      <c r="V153" s="7"/>
      <c r="W153" s="359"/>
      <c r="X153" s="159">
        <v>0</v>
      </c>
    </row>
    <row r="154" spans="1:24" hidden="1" x14ac:dyDescent="0.3">
      <c r="A154" s="7">
        <v>0</v>
      </c>
      <c r="B154" s="7">
        <f t="shared" ref="B154:L154" si="102">A154+B24</f>
        <v>0</v>
      </c>
      <c r="C154" s="7">
        <f t="shared" si="102"/>
        <v>0</v>
      </c>
      <c r="D154" s="7">
        <f t="shared" si="102"/>
        <v>0</v>
      </c>
      <c r="E154" s="7">
        <f t="shared" si="102"/>
        <v>0</v>
      </c>
      <c r="F154" s="7">
        <f t="shared" si="102"/>
        <v>0</v>
      </c>
      <c r="G154" s="7">
        <f t="shared" si="102"/>
        <v>0</v>
      </c>
      <c r="H154" s="7">
        <f t="shared" si="102"/>
        <v>0</v>
      </c>
      <c r="I154" s="7">
        <f t="shared" si="102"/>
        <v>0</v>
      </c>
      <c r="J154" s="7">
        <f t="shared" si="102"/>
        <v>0</v>
      </c>
      <c r="K154" s="7">
        <f t="shared" si="102"/>
        <v>0</v>
      </c>
      <c r="L154" s="7">
        <f t="shared" si="102"/>
        <v>0</v>
      </c>
      <c r="M154" s="125" t="s">
        <v>94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/>
      <c r="T154" s="7"/>
      <c r="U154" s="7"/>
      <c r="V154" s="7"/>
      <c r="W154" s="359"/>
      <c r="X154" s="159">
        <v>0</v>
      </c>
    </row>
    <row r="155" spans="1:24" hidden="1" x14ac:dyDescent="0.3">
      <c r="A155" s="7">
        <v>0</v>
      </c>
      <c r="B155" s="7">
        <f t="shared" ref="B155:L155" si="103">A155+B25</f>
        <v>0</v>
      </c>
      <c r="C155" s="7">
        <f t="shared" si="103"/>
        <v>0</v>
      </c>
      <c r="D155" s="7">
        <f t="shared" si="103"/>
        <v>0</v>
      </c>
      <c r="E155" s="7">
        <f t="shared" si="103"/>
        <v>0</v>
      </c>
      <c r="F155" s="7">
        <f t="shared" si="103"/>
        <v>0</v>
      </c>
      <c r="G155" s="7">
        <f t="shared" si="103"/>
        <v>0</v>
      </c>
      <c r="H155" s="7">
        <f t="shared" si="103"/>
        <v>0</v>
      </c>
      <c r="I155" s="7">
        <f t="shared" si="103"/>
        <v>0</v>
      </c>
      <c r="J155" s="7">
        <f t="shared" si="103"/>
        <v>0</v>
      </c>
      <c r="K155" s="7">
        <f t="shared" si="103"/>
        <v>0</v>
      </c>
      <c r="L155" s="7">
        <f t="shared" si="103"/>
        <v>0</v>
      </c>
      <c r="M155" s="13" t="s">
        <v>95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/>
      <c r="T155" s="7"/>
      <c r="U155" s="7"/>
      <c r="V155" s="7"/>
      <c r="W155" s="359"/>
      <c r="X155" s="159">
        <v>0</v>
      </c>
    </row>
    <row r="156" spans="1:24" hidden="1" x14ac:dyDescent="0.3">
      <c r="A156" s="11">
        <v>0</v>
      </c>
      <c r="B156" s="11">
        <f t="shared" ref="B156:L156" si="104">A156+B26</f>
        <v>0</v>
      </c>
      <c r="C156" s="11">
        <f t="shared" si="104"/>
        <v>0</v>
      </c>
      <c r="D156" s="11">
        <f t="shared" si="104"/>
        <v>0</v>
      </c>
      <c r="E156" s="11">
        <f t="shared" si="104"/>
        <v>0</v>
      </c>
      <c r="F156" s="11">
        <f t="shared" si="104"/>
        <v>0</v>
      </c>
      <c r="G156" s="11">
        <f t="shared" si="104"/>
        <v>0</v>
      </c>
      <c r="H156" s="11">
        <f t="shared" si="104"/>
        <v>0</v>
      </c>
      <c r="I156" s="11">
        <f t="shared" si="104"/>
        <v>0</v>
      </c>
      <c r="J156" s="11">
        <f t="shared" si="104"/>
        <v>0</v>
      </c>
      <c r="K156" s="11">
        <f t="shared" si="104"/>
        <v>0</v>
      </c>
      <c r="L156" s="11">
        <f t="shared" si="104"/>
        <v>0</v>
      </c>
      <c r="M156" s="13" t="s">
        <v>96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/>
      <c r="T156" s="11"/>
      <c r="U156" s="11"/>
      <c r="V156" s="11"/>
      <c r="W156" s="363"/>
      <c r="X156" s="160">
        <v>0</v>
      </c>
    </row>
    <row r="157" spans="1:24" hidden="1" x14ac:dyDescent="0.3">
      <c r="A157" s="81"/>
      <c r="B157" s="81">
        <f t="shared" ref="B157:L157" si="105">A157+B27</f>
        <v>0</v>
      </c>
      <c r="C157" s="81">
        <f t="shared" si="105"/>
        <v>0</v>
      </c>
      <c r="D157" s="81">
        <f t="shared" si="105"/>
        <v>0</v>
      </c>
      <c r="E157" s="81">
        <f t="shared" si="105"/>
        <v>0</v>
      </c>
      <c r="F157" s="81">
        <f t="shared" si="105"/>
        <v>0</v>
      </c>
      <c r="G157" s="81">
        <f t="shared" si="105"/>
        <v>0</v>
      </c>
      <c r="H157" s="81">
        <f t="shared" si="105"/>
        <v>0</v>
      </c>
      <c r="I157" s="81">
        <f t="shared" si="105"/>
        <v>0</v>
      </c>
      <c r="J157" s="81">
        <f t="shared" si="105"/>
        <v>0</v>
      </c>
      <c r="K157" s="81">
        <f t="shared" si="105"/>
        <v>0</v>
      </c>
      <c r="L157" s="81">
        <f t="shared" si="105"/>
        <v>0</v>
      </c>
      <c r="M157" s="13"/>
      <c r="N157" s="81">
        <v>0</v>
      </c>
      <c r="O157" s="81"/>
      <c r="P157" s="81"/>
      <c r="Q157" s="81">
        <v>0</v>
      </c>
      <c r="R157" s="81"/>
      <c r="S157" s="81"/>
      <c r="T157" s="81"/>
      <c r="U157" s="81"/>
      <c r="V157" s="81"/>
      <c r="W157" s="364"/>
      <c r="X157" s="204">
        <v>0</v>
      </c>
    </row>
    <row r="158" spans="1:24" hidden="1" x14ac:dyDescent="0.3">
      <c r="A158" s="4">
        <v>0</v>
      </c>
      <c r="B158" s="4">
        <f t="shared" ref="B158:L158" si="106">A158+B28</f>
        <v>0</v>
      </c>
      <c r="C158" s="4">
        <f t="shared" si="106"/>
        <v>0</v>
      </c>
      <c r="D158" s="4">
        <f t="shared" si="106"/>
        <v>0</v>
      </c>
      <c r="E158" s="4">
        <f t="shared" si="106"/>
        <v>0</v>
      </c>
      <c r="F158" s="4">
        <f t="shared" si="106"/>
        <v>0</v>
      </c>
      <c r="G158" s="4">
        <f t="shared" si="106"/>
        <v>0</v>
      </c>
      <c r="H158" s="4">
        <f t="shared" si="106"/>
        <v>0</v>
      </c>
      <c r="I158" s="4">
        <f t="shared" si="106"/>
        <v>0</v>
      </c>
      <c r="J158" s="4">
        <f t="shared" si="106"/>
        <v>0</v>
      </c>
      <c r="K158" s="4">
        <f t="shared" si="106"/>
        <v>0</v>
      </c>
      <c r="L158" s="4">
        <f t="shared" si="106"/>
        <v>0</v>
      </c>
      <c r="M158" s="13" t="s">
        <v>97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/>
      <c r="T158" s="4"/>
      <c r="U158" s="4"/>
      <c r="V158" s="4"/>
      <c r="W158" s="365">
        <v>0</v>
      </c>
      <c r="X158" s="162">
        <v>0</v>
      </c>
    </row>
    <row r="159" spans="1:24" hidden="1" x14ac:dyDescent="0.3">
      <c r="A159" s="81"/>
      <c r="B159" s="81">
        <f t="shared" ref="B159:L159" si="107">A159+B29</f>
        <v>0</v>
      </c>
      <c r="C159" s="81">
        <f t="shared" si="107"/>
        <v>0</v>
      </c>
      <c r="D159" s="81">
        <f t="shared" si="107"/>
        <v>0</v>
      </c>
      <c r="E159" s="81">
        <f t="shared" si="107"/>
        <v>0</v>
      </c>
      <c r="F159" s="81">
        <f t="shared" si="107"/>
        <v>0</v>
      </c>
      <c r="G159" s="81">
        <f t="shared" si="107"/>
        <v>0</v>
      </c>
      <c r="H159" s="81">
        <f t="shared" si="107"/>
        <v>0</v>
      </c>
      <c r="I159" s="81">
        <f t="shared" si="107"/>
        <v>0</v>
      </c>
      <c r="J159" s="81">
        <f t="shared" si="107"/>
        <v>0</v>
      </c>
      <c r="K159" s="81">
        <f t="shared" si="107"/>
        <v>0</v>
      </c>
      <c r="L159" s="81">
        <f t="shared" si="107"/>
        <v>0</v>
      </c>
      <c r="M159" s="80"/>
      <c r="N159" s="81">
        <v>0</v>
      </c>
      <c r="O159" s="81"/>
      <c r="P159" s="81"/>
      <c r="Q159" s="81">
        <v>0</v>
      </c>
      <c r="R159" s="81"/>
      <c r="S159" s="81"/>
      <c r="T159" s="81"/>
      <c r="U159" s="81"/>
      <c r="V159" s="81"/>
      <c r="W159" s="364"/>
      <c r="X159" s="204">
        <v>0</v>
      </c>
    </row>
    <row r="160" spans="1:24" hidden="1" x14ac:dyDescent="0.3">
      <c r="A160" s="8">
        <v>0</v>
      </c>
      <c r="B160" s="8">
        <f t="shared" ref="B160:L160" si="108">A160+B30</f>
        <v>0</v>
      </c>
      <c r="C160" s="8">
        <f t="shared" si="108"/>
        <v>0</v>
      </c>
      <c r="D160" s="8">
        <f t="shared" si="108"/>
        <v>0</v>
      </c>
      <c r="E160" s="8">
        <f t="shared" si="108"/>
        <v>0</v>
      </c>
      <c r="F160" s="8">
        <f t="shared" si="108"/>
        <v>0</v>
      </c>
      <c r="G160" s="8">
        <f t="shared" si="108"/>
        <v>0</v>
      </c>
      <c r="H160" s="8">
        <f t="shared" si="108"/>
        <v>0</v>
      </c>
      <c r="I160" s="8">
        <f t="shared" si="108"/>
        <v>0</v>
      </c>
      <c r="J160" s="8">
        <f t="shared" si="108"/>
        <v>0</v>
      </c>
      <c r="K160" s="8">
        <f t="shared" si="108"/>
        <v>0</v>
      </c>
      <c r="L160" s="8">
        <f t="shared" si="108"/>
        <v>0</v>
      </c>
      <c r="M160" s="187" t="s">
        <v>98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/>
      <c r="T160" s="8"/>
      <c r="U160" s="8"/>
      <c r="V160" s="8"/>
      <c r="W160" s="362"/>
      <c r="X160" s="158">
        <v>0</v>
      </c>
    </row>
    <row r="161" spans="1:24" hidden="1" x14ac:dyDescent="0.3">
      <c r="A161" s="7">
        <v>0</v>
      </c>
      <c r="B161" s="7">
        <f t="shared" ref="B161:L161" si="109">A161+B31</f>
        <v>0</v>
      </c>
      <c r="C161" s="7">
        <f t="shared" si="109"/>
        <v>0</v>
      </c>
      <c r="D161" s="7">
        <f t="shared" si="109"/>
        <v>0</v>
      </c>
      <c r="E161" s="7">
        <f t="shared" si="109"/>
        <v>0</v>
      </c>
      <c r="F161" s="7">
        <f t="shared" si="109"/>
        <v>0</v>
      </c>
      <c r="G161" s="7">
        <f t="shared" si="109"/>
        <v>0</v>
      </c>
      <c r="H161" s="7">
        <f t="shared" si="109"/>
        <v>0</v>
      </c>
      <c r="I161" s="7">
        <f t="shared" si="109"/>
        <v>0</v>
      </c>
      <c r="J161" s="7">
        <f t="shared" si="109"/>
        <v>0</v>
      </c>
      <c r="K161" s="7">
        <f t="shared" si="109"/>
        <v>0</v>
      </c>
      <c r="L161" s="7">
        <f t="shared" si="109"/>
        <v>0</v>
      </c>
      <c r="M161" s="13" t="s">
        <v>99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/>
      <c r="T161" s="7"/>
      <c r="U161" s="7"/>
      <c r="V161" s="7"/>
      <c r="W161" s="359"/>
      <c r="X161" s="159">
        <v>0</v>
      </c>
    </row>
    <row r="162" spans="1:24" hidden="1" x14ac:dyDescent="0.3">
      <c r="A162" s="7">
        <v>0</v>
      </c>
      <c r="B162" s="7">
        <f t="shared" ref="B162:L162" si="110">A162+B32</f>
        <v>0</v>
      </c>
      <c r="C162" s="7">
        <f t="shared" si="110"/>
        <v>0</v>
      </c>
      <c r="D162" s="7">
        <f t="shared" si="110"/>
        <v>0</v>
      </c>
      <c r="E162" s="7">
        <f t="shared" si="110"/>
        <v>0</v>
      </c>
      <c r="F162" s="7">
        <f t="shared" si="110"/>
        <v>0</v>
      </c>
      <c r="G162" s="7">
        <f t="shared" si="110"/>
        <v>0</v>
      </c>
      <c r="H162" s="7">
        <f t="shared" si="110"/>
        <v>0</v>
      </c>
      <c r="I162" s="7">
        <f t="shared" si="110"/>
        <v>0</v>
      </c>
      <c r="J162" s="7">
        <f t="shared" si="110"/>
        <v>0</v>
      </c>
      <c r="K162" s="7">
        <f t="shared" si="110"/>
        <v>0</v>
      </c>
      <c r="L162" s="7">
        <f t="shared" si="110"/>
        <v>0</v>
      </c>
      <c r="M162" s="13" t="s">
        <v>100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/>
      <c r="T162" s="7"/>
      <c r="U162" s="7"/>
      <c r="V162" s="7"/>
      <c r="W162" s="359"/>
      <c r="X162" s="159">
        <v>0</v>
      </c>
    </row>
    <row r="163" spans="1:24" hidden="1" x14ac:dyDescent="0.3">
      <c r="A163" s="7">
        <v>0</v>
      </c>
      <c r="B163" s="7">
        <f t="shared" ref="B163:L163" si="111">A163+B33</f>
        <v>0</v>
      </c>
      <c r="C163" s="7">
        <f t="shared" si="111"/>
        <v>0</v>
      </c>
      <c r="D163" s="7">
        <f t="shared" si="111"/>
        <v>0</v>
      </c>
      <c r="E163" s="7">
        <f t="shared" si="111"/>
        <v>0</v>
      </c>
      <c r="F163" s="7">
        <f t="shared" si="111"/>
        <v>0</v>
      </c>
      <c r="G163" s="7">
        <f t="shared" si="111"/>
        <v>0</v>
      </c>
      <c r="H163" s="7">
        <f t="shared" si="111"/>
        <v>0</v>
      </c>
      <c r="I163" s="7">
        <f t="shared" si="111"/>
        <v>0</v>
      </c>
      <c r="J163" s="7">
        <f t="shared" si="111"/>
        <v>0</v>
      </c>
      <c r="K163" s="7">
        <f t="shared" si="111"/>
        <v>0</v>
      </c>
      <c r="L163" s="7">
        <f t="shared" si="111"/>
        <v>0</v>
      </c>
      <c r="M163" s="13" t="s">
        <v>101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/>
      <c r="T163" s="7"/>
      <c r="U163" s="7"/>
      <c r="V163" s="7"/>
      <c r="W163" s="359"/>
      <c r="X163" s="159">
        <v>0</v>
      </c>
    </row>
    <row r="164" spans="1:24" hidden="1" x14ac:dyDescent="0.3">
      <c r="A164" s="7">
        <v>0</v>
      </c>
      <c r="B164" s="7">
        <f t="shared" ref="B164:L164" si="112">A164+B34</f>
        <v>0</v>
      </c>
      <c r="C164" s="7">
        <f t="shared" si="112"/>
        <v>0</v>
      </c>
      <c r="D164" s="7">
        <f t="shared" si="112"/>
        <v>0</v>
      </c>
      <c r="E164" s="7">
        <f t="shared" si="112"/>
        <v>0</v>
      </c>
      <c r="F164" s="7">
        <f t="shared" si="112"/>
        <v>0</v>
      </c>
      <c r="G164" s="7">
        <f t="shared" si="112"/>
        <v>0</v>
      </c>
      <c r="H164" s="7">
        <f t="shared" si="112"/>
        <v>0</v>
      </c>
      <c r="I164" s="7">
        <f t="shared" si="112"/>
        <v>0</v>
      </c>
      <c r="J164" s="7">
        <f t="shared" si="112"/>
        <v>0</v>
      </c>
      <c r="K164" s="7">
        <f t="shared" si="112"/>
        <v>0</v>
      </c>
      <c r="L164" s="7">
        <f t="shared" si="112"/>
        <v>0</v>
      </c>
      <c r="M164" s="13" t="s">
        <v>102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/>
      <c r="T164" s="7"/>
      <c r="U164" s="7"/>
      <c r="V164" s="7"/>
      <c r="W164" s="359"/>
      <c r="X164" s="159">
        <v>0</v>
      </c>
    </row>
    <row r="165" spans="1:24" hidden="1" x14ac:dyDescent="0.3">
      <c r="A165" s="7">
        <v>0</v>
      </c>
      <c r="B165" s="7">
        <f t="shared" ref="B165:L165" si="113">A165+B35</f>
        <v>0</v>
      </c>
      <c r="C165" s="7">
        <f t="shared" si="113"/>
        <v>0</v>
      </c>
      <c r="D165" s="7">
        <f t="shared" si="113"/>
        <v>0</v>
      </c>
      <c r="E165" s="7">
        <f t="shared" si="113"/>
        <v>0</v>
      </c>
      <c r="F165" s="7">
        <f t="shared" si="113"/>
        <v>0</v>
      </c>
      <c r="G165" s="7">
        <f t="shared" si="113"/>
        <v>0</v>
      </c>
      <c r="H165" s="7">
        <f t="shared" si="113"/>
        <v>0</v>
      </c>
      <c r="I165" s="7">
        <f t="shared" si="113"/>
        <v>0</v>
      </c>
      <c r="J165" s="7">
        <f t="shared" si="113"/>
        <v>0</v>
      </c>
      <c r="K165" s="7">
        <f t="shared" si="113"/>
        <v>0</v>
      </c>
      <c r="L165" s="7">
        <f t="shared" si="113"/>
        <v>0</v>
      </c>
      <c r="M165" s="13" t="s">
        <v>104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/>
      <c r="T165" s="7"/>
      <c r="U165" s="7"/>
      <c r="V165" s="7"/>
      <c r="W165" s="359"/>
      <c r="X165" s="159">
        <v>0</v>
      </c>
    </row>
    <row r="166" spans="1:24" hidden="1" x14ac:dyDescent="0.3">
      <c r="A166" s="7">
        <v>0</v>
      </c>
      <c r="B166" s="7">
        <f t="shared" ref="B166:L166" si="114">A166+B36</f>
        <v>0</v>
      </c>
      <c r="C166" s="7">
        <f t="shared" si="114"/>
        <v>0</v>
      </c>
      <c r="D166" s="7">
        <f t="shared" si="114"/>
        <v>0</v>
      </c>
      <c r="E166" s="7">
        <f t="shared" si="114"/>
        <v>0</v>
      </c>
      <c r="F166" s="7">
        <f t="shared" si="114"/>
        <v>0</v>
      </c>
      <c r="G166" s="7">
        <f t="shared" si="114"/>
        <v>0</v>
      </c>
      <c r="H166" s="7">
        <f t="shared" si="114"/>
        <v>0</v>
      </c>
      <c r="I166" s="7">
        <f t="shared" si="114"/>
        <v>0</v>
      </c>
      <c r="J166" s="7">
        <f t="shared" si="114"/>
        <v>0</v>
      </c>
      <c r="K166" s="7">
        <f t="shared" si="114"/>
        <v>0</v>
      </c>
      <c r="L166" s="7">
        <f t="shared" si="114"/>
        <v>0</v>
      </c>
      <c r="M166" s="13" t="s">
        <v>105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/>
      <c r="T166" s="7"/>
      <c r="U166" s="7"/>
      <c r="V166" s="7"/>
      <c r="W166" s="359"/>
      <c r="X166" s="159">
        <v>0</v>
      </c>
    </row>
    <row r="167" spans="1:24" hidden="1" x14ac:dyDescent="0.3">
      <c r="A167" s="7">
        <v>0</v>
      </c>
      <c r="B167" s="7">
        <f t="shared" ref="B167:L167" si="115">A167+B37</f>
        <v>0</v>
      </c>
      <c r="C167" s="7">
        <f t="shared" si="115"/>
        <v>0</v>
      </c>
      <c r="D167" s="7">
        <f t="shared" si="115"/>
        <v>0</v>
      </c>
      <c r="E167" s="7">
        <f t="shared" si="115"/>
        <v>0</v>
      </c>
      <c r="F167" s="7">
        <f t="shared" si="115"/>
        <v>0</v>
      </c>
      <c r="G167" s="7">
        <f t="shared" si="115"/>
        <v>0</v>
      </c>
      <c r="H167" s="7">
        <f t="shared" si="115"/>
        <v>0</v>
      </c>
      <c r="I167" s="7">
        <f t="shared" si="115"/>
        <v>0</v>
      </c>
      <c r="J167" s="7">
        <f t="shared" si="115"/>
        <v>0</v>
      </c>
      <c r="K167" s="7">
        <f t="shared" si="115"/>
        <v>0</v>
      </c>
      <c r="L167" s="7">
        <f t="shared" si="115"/>
        <v>0</v>
      </c>
      <c r="M167" s="187" t="s">
        <v>106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/>
      <c r="T167" s="7"/>
      <c r="U167" s="7"/>
      <c r="V167" s="7"/>
      <c r="W167" s="359"/>
      <c r="X167" s="159">
        <v>0</v>
      </c>
    </row>
    <row r="168" spans="1:24" hidden="1" x14ac:dyDescent="0.3">
      <c r="A168" s="7">
        <v>0</v>
      </c>
      <c r="B168" s="7">
        <f t="shared" ref="B168:L168" si="116">A168+B38</f>
        <v>0</v>
      </c>
      <c r="C168" s="7">
        <f t="shared" si="116"/>
        <v>0</v>
      </c>
      <c r="D168" s="7">
        <f t="shared" si="116"/>
        <v>0</v>
      </c>
      <c r="E168" s="7">
        <f t="shared" si="116"/>
        <v>0</v>
      </c>
      <c r="F168" s="7">
        <f t="shared" si="116"/>
        <v>0</v>
      </c>
      <c r="G168" s="7">
        <f t="shared" si="116"/>
        <v>0</v>
      </c>
      <c r="H168" s="7">
        <f t="shared" si="116"/>
        <v>0</v>
      </c>
      <c r="I168" s="7">
        <f t="shared" si="116"/>
        <v>0</v>
      </c>
      <c r="J168" s="7">
        <f t="shared" si="116"/>
        <v>0</v>
      </c>
      <c r="K168" s="7">
        <f t="shared" si="116"/>
        <v>0</v>
      </c>
      <c r="L168" s="7">
        <f t="shared" si="116"/>
        <v>0</v>
      </c>
      <c r="M168" s="13" t="s">
        <v>107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/>
      <c r="T168" s="7"/>
      <c r="U168" s="7"/>
      <c r="V168" s="7"/>
      <c r="W168" s="359"/>
      <c r="X168" s="159">
        <v>0</v>
      </c>
    </row>
    <row r="169" spans="1:24" hidden="1" x14ac:dyDescent="0.3">
      <c r="A169" s="7">
        <v>0</v>
      </c>
      <c r="B169" s="7">
        <f t="shared" ref="B169:L169" si="117">A169+B39</f>
        <v>0</v>
      </c>
      <c r="C169" s="7">
        <f t="shared" si="117"/>
        <v>0</v>
      </c>
      <c r="D169" s="7">
        <f t="shared" si="117"/>
        <v>0</v>
      </c>
      <c r="E169" s="7">
        <f t="shared" si="117"/>
        <v>0</v>
      </c>
      <c r="F169" s="7">
        <f t="shared" si="117"/>
        <v>0</v>
      </c>
      <c r="G169" s="7">
        <f t="shared" si="117"/>
        <v>0</v>
      </c>
      <c r="H169" s="7">
        <f t="shared" si="117"/>
        <v>0</v>
      </c>
      <c r="I169" s="7">
        <f t="shared" si="117"/>
        <v>0</v>
      </c>
      <c r="J169" s="7">
        <f t="shared" si="117"/>
        <v>0</v>
      </c>
      <c r="K169" s="7">
        <f t="shared" si="117"/>
        <v>0</v>
      </c>
      <c r="L169" s="7">
        <f t="shared" si="117"/>
        <v>0</v>
      </c>
      <c r="M169" s="13" t="s">
        <v>108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/>
      <c r="T169" s="7"/>
      <c r="U169" s="7"/>
      <c r="V169" s="7"/>
      <c r="W169" s="359"/>
      <c r="X169" s="159">
        <v>0</v>
      </c>
    </row>
    <row r="170" spans="1:24" hidden="1" x14ac:dyDescent="0.3">
      <c r="A170" s="7">
        <v>0</v>
      </c>
      <c r="B170" s="7">
        <f t="shared" ref="B170:L170" si="118">A170+B40</f>
        <v>0</v>
      </c>
      <c r="C170" s="7">
        <f t="shared" si="118"/>
        <v>0</v>
      </c>
      <c r="D170" s="7">
        <f t="shared" si="118"/>
        <v>0</v>
      </c>
      <c r="E170" s="7">
        <f t="shared" si="118"/>
        <v>0</v>
      </c>
      <c r="F170" s="7">
        <f t="shared" si="118"/>
        <v>0</v>
      </c>
      <c r="G170" s="7">
        <f t="shared" si="118"/>
        <v>0</v>
      </c>
      <c r="H170" s="7">
        <f t="shared" si="118"/>
        <v>0</v>
      </c>
      <c r="I170" s="7">
        <f t="shared" si="118"/>
        <v>0</v>
      </c>
      <c r="J170" s="7">
        <f t="shared" si="118"/>
        <v>0</v>
      </c>
      <c r="K170" s="7">
        <f t="shared" si="118"/>
        <v>0</v>
      </c>
      <c r="L170" s="7">
        <f t="shared" si="118"/>
        <v>0</v>
      </c>
      <c r="M170" s="13" t="s">
        <v>109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/>
      <c r="T170" s="7"/>
      <c r="U170" s="7"/>
      <c r="V170" s="7"/>
      <c r="W170" s="359"/>
      <c r="X170" s="159">
        <v>0</v>
      </c>
    </row>
    <row r="171" spans="1:24" hidden="1" x14ac:dyDescent="0.3">
      <c r="A171" s="7">
        <v>0</v>
      </c>
      <c r="B171" s="7">
        <f t="shared" ref="B171:L171" si="119">A171+B41</f>
        <v>0</v>
      </c>
      <c r="C171" s="7">
        <f t="shared" si="119"/>
        <v>0</v>
      </c>
      <c r="D171" s="7">
        <f t="shared" si="119"/>
        <v>0</v>
      </c>
      <c r="E171" s="7">
        <f t="shared" si="119"/>
        <v>0</v>
      </c>
      <c r="F171" s="7">
        <f t="shared" si="119"/>
        <v>0</v>
      </c>
      <c r="G171" s="7">
        <f t="shared" si="119"/>
        <v>0</v>
      </c>
      <c r="H171" s="7">
        <f t="shared" si="119"/>
        <v>0</v>
      </c>
      <c r="I171" s="7">
        <f t="shared" si="119"/>
        <v>0</v>
      </c>
      <c r="J171" s="7">
        <f t="shared" si="119"/>
        <v>0</v>
      </c>
      <c r="K171" s="7">
        <f t="shared" si="119"/>
        <v>0</v>
      </c>
      <c r="L171" s="7">
        <f t="shared" si="119"/>
        <v>0</v>
      </c>
      <c r="M171" s="13" t="s">
        <v>110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/>
      <c r="T171" s="7"/>
      <c r="U171" s="7"/>
      <c r="V171" s="7"/>
      <c r="W171" s="359"/>
      <c r="X171" s="159">
        <v>0</v>
      </c>
    </row>
    <row r="172" spans="1:24" hidden="1" x14ac:dyDescent="0.3">
      <c r="A172" s="7">
        <v>0</v>
      </c>
      <c r="B172" s="7">
        <f t="shared" ref="B172:L172" si="120">A172+B42</f>
        <v>0</v>
      </c>
      <c r="C172" s="7">
        <f t="shared" si="120"/>
        <v>0</v>
      </c>
      <c r="D172" s="7">
        <f t="shared" si="120"/>
        <v>0</v>
      </c>
      <c r="E172" s="7">
        <f t="shared" si="120"/>
        <v>0</v>
      </c>
      <c r="F172" s="7">
        <f t="shared" si="120"/>
        <v>0</v>
      </c>
      <c r="G172" s="7">
        <f t="shared" si="120"/>
        <v>0</v>
      </c>
      <c r="H172" s="7">
        <f t="shared" si="120"/>
        <v>0</v>
      </c>
      <c r="I172" s="7">
        <f t="shared" si="120"/>
        <v>0</v>
      </c>
      <c r="J172" s="7">
        <f t="shared" si="120"/>
        <v>0</v>
      </c>
      <c r="K172" s="7">
        <f t="shared" si="120"/>
        <v>0</v>
      </c>
      <c r="L172" s="7">
        <f t="shared" si="120"/>
        <v>0</v>
      </c>
      <c r="M172" s="13" t="s">
        <v>111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/>
      <c r="T172" s="7"/>
      <c r="U172" s="7"/>
      <c r="V172" s="7"/>
      <c r="W172" s="359"/>
      <c r="X172" s="159">
        <v>0</v>
      </c>
    </row>
    <row r="173" spans="1:24" hidden="1" x14ac:dyDescent="0.3">
      <c r="A173" s="7">
        <v>0</v>
      </c>
      <c r="B173" s="7">
        <f t="shared" ref="B173:L173" si="121">A173+B43</f>
        <v>0</v>
      </c>
      <c r="C173" s="7">
        <f t="shared" si="121"/>
        <v>0</v>
      </c>
      <c r="D173" s="7">
        <f t="shared" si="121"/>
        <v>0</v>
      </c>
      <c r="E173" s="7">
        <f t="shared" si="121"/>
        <v>0</v>
      </c>
      <c r="F173" s="7">
        <f t="shared" si="121"/>
        <v>0</v>
      </c>
      <c r="G173" s="7">
        <f t="shared" si="121"/>
        <v>0</v>
      </c>
      <c r="H173" s="7">
        <f t="shared" si="121"/>
        <v>0</v>
      </c>
      <c r="I173" s="7">
        <f t="shared" si="121"/>
        <v>0</v>
      </c>
      <c r="J173" s="7">
        <f t="shared" si="121"/>
        <v>0</v>
      </c>
      <c r="K173" s="7">
        <f t="shared" si="121"/>
        <v>0</v>
      </c>
      <c r="L173" s="7">
        <f t="shared" si="121"/>
        <v>0</v>
      </c>
      <c r="M173" s="13" t="s">
        <v>112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/>
      <c r="T173" s="7"/>
      <c r="U173" s="7"/>
      <c r="V173" s="7"/>
      <c r="W173" s="359"/>
      <c r="X173" s="159">
        <v>0</v>
      </c>
    </row>
    <row r="174" spans="1:24" hidden="1" x14ac:dyDescent="0.3">
      <c r="A174" s="11">
        <v>0</v>
      </c>
      <c r="B174" s="11">
        <f t="shared" ref="B174:L174" si="122">A174+B44</f>
        <v>0</v>
      </c>
      <c r="C174" s="11">
        <f t="shared" si="122"/>
        <v>0</v>
      </c>
      <c r="D174" s="11">
        <f t="shared" si="122"/>
        <v>0</v>
      </c>
      <c r="E174" s="11">
        <f t="shared" si="122"/>
        <v>0</v>
      </c>
      <c r="F174" s="11">
        <f t="shared" si="122"/>
        <v>0</v>
      </c>
      <c r="G174" s="11">
        <f t="shared" si="122"/>
        <v>0</v>
      </c>
      <c r="H174" s="11">
        <f t="shared" si="122"/>
        <v>0</v>
      </c>
      <c r="I174" s="11">
        <f t="shared" si="122"/>
        <v>0</v>
      </c>
      <c r="J174" s="11">
        <f t="shared" si="122"/>
        <v>0</v>
      </c>
      <c r="K174" s="11">
        <f t="shared" si="122"/>
        <v>0</v>
      </c>
      <c r="L174" s="11">
        <f t="shared" si="122"/>
        <v>0</v>
      </c>
      <c r="M174" s="187" t="s">
        <v>113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/>
      <c r="T174" s="11"/>
      <c r="U174" s="11"/>
      <c r="V174" s="11"/>
      <c r="W174" s="363"/>
      <c r="X174" s="160">
        <v>0</v>
      </c>
    </row>
    <row r="175" spans="1:24" hidden="1" x14ac:dyDescent="0.3">
      <c r="A175" s="8"/>
      <c r="B175" s="8">
        <f t="shared" ref="B175:L175" si="123">A175+B45</f>
        <v>0</v>
      </c>
      <c r="C175" s="8">
        <f t="shared" si="123"/>
        <v>0</v>
      </c>
      <c r="D175" s="8">
        <f t="shared" si="123"/>
        <v>0</v>
      </c>
      <c r="E175" s="8">
        <f t="shared" si="123"/>
        <v>0</v>
      </c>
      <c r="F175" s="8">
        <f t="shared" si="123"/>
        <v>0</v>
      </c>
      <c r="G175" s="8">
        <f t="shared" si="123"/>
        <v>0</v>
      </c>
      <c r="H175" s="8">
        <f t="shared" si="123"/>
        <v>0</v>
      </c>
      <c r="I175" s="8">
        <f t="shared" si="123"/>
        <v>0</v>
      </c>
      <c r="J175" s="8">
        <f t="shared" si="123"/>
        <v>0</v>
      </c>
      <c r="K175" s="8">
        <f t="shared" si="123"/>
        <v>0</v>
      </c>
      <c r="L175" s="8">
        <f t="shared" si="123"/>
        <v>0</v>
      </c>
      <c r="M175" s="13"/>
      <c r="N175" s="86">
        <v>0</v>
      </c>
      <c r="O175" s="86"/>
      <c r="P175" s="86"/>
      <c r="Q175" s="86">
        <v>0</v>
      </c>
      <c r="R175" s="86"/>
      <c r="S175" s="86"/>
      <c r="T175" s="86"/>
      <c r="U175" s="86"/>
      <c r="V175" s="86"/>
      <c r="W175" s="366"/>
      <c r="X175" s="205">
        <v>0</v>
      </c>
    </row>
    <row r="176" spans="1:24" hidden="1" x14ac:dyDescent="0.3">
      <c r="A176" s="4">
        <v>0</v>
      </c>
      <c r="B176" s="4">
        <f t="shared" ref="B176:L176" si="124">A176+B46</f>
        <v>0</v>
      </c>
      <c r="C176" s="4">
        <f t="shared" si="124"/>
        <v>0</v>
      </c>
      <c r="D176" s="4">
        <f t="shared" si="124"/>
        <v>0</v>
      </c>
      <c r="E176" s="4">
        <f t="shared" si="124"/>
        <v>0</v>
      </c>
      <c r="F176" s="4">
        <f t="shared" si="124"/>
        <v>0</v>
      </c>
      <c r="G176" s="4">
        <f t="shared" si="124"/>
        <v>0</v>
      </c>
      <c r="H176" s="4">
        <f t="shared" si="124"/>
        <v>0</v>
      </c>
      <c r="I176" s="4">
        <f t="shared" si="124"/>
        <v>0</v>
      </c>
      <c r="J176" s="4">
        <f t="shared" si="124"/>
        <v>0</v>
      </c>
      <c r="K176" s="4">
        <f t="shared" si="124"/>
        <v>0</v>
      </c>
      <c r="L176" s="4">
        <f t="shared" si="124"/>
        <v>0</v>
      </c>
      <c r="M176" s="13" t="s">
        <v>114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/>
      <c r="T176" s="4"/>
      <c r="U176" s="4"/>
      <c r="V176" s="4"/>
      <c r="W176" s="365">
        <v>0</v>
      </c>
      <c r="X176" s="162">
        <v>0</v>
      </c>
    </row>
    <row r="177" spans="1:24" hidden="1" x14ac:dyDescent="0.3">
      <c r="A177" s="81"/>
      <c r="B177" s="81">
        <f t="shared" ref="B177:L177" si="125">A177+B47</f>
        <v>0</v>
      </c>
      <c r="C177" s="81">
        <f t="shared" si="125"/>
        <v>0</v>
      </c>
      <c r="D177" s="81">
        <f t="shared" si="125"/>
        <v>0</v>
      </c>
      <c r="E177" s="81">
        <f t="shared" si="125"/>
        <v>0</v>
      </c>
      <c r="F177" s="81">
        <f t="shared" si="125"/>
        <v>0</v>
      </c>
      <c r="G177" s="81">
        <f t="shared" si="125"/>
        <v>0</v>
      </c>
      <c r="H177" s="81">
        <f t="shared" si="125"/>
        <v>0</v>
      </c>
      <c r="I177" s="81">
        <f t="shared" si="125"/>
        <v>0</v>
      </c>
      <c r="J177" s="81">
        <f t="shared" si="125"/>
        <v>0</v>
      </c>
      <c r="K177" s="81">
        <f t="shared" si="125"/>
        <v>0</v>
      </c>
      <c r="L177" s="81">
        <f t="shared" si="125"/>
        <v>0</v>
      </c>
      <c r="M177" s="80"/>
      <c r="N177" s="81">
        <v>0</v>
      </c>
      <c r="O177" s="81"/>
      <c r="P177" s="81"/>
      <c r="Q177" s="81">
        <v>0</v>
      </c>
      <c r="R177" s="81"/>
      <c r="S177" s="81"/>
      <c r="T177" s="81"/>
      <c r="U177" s="81"/>
      <c r="V177" s="81"/>
      <c r="W177" s="364"/>
      <c r="X177" s="204">
        <v>0</v>
      </c>
    </row>
    <row r="178" spans="1:24" hidden="1" x14ac:dyDescent="0.3">
      <c r="A178" s="8">
        <v>0</v>
      </c>
      <c r="B178" s="8">
        <f t="shared" ref="B178:L178" si="126">A178+B48</f>
        <v>0</v>
      </c>
      <c r="C178" s="8">
        <f t="shared" si="126"/>
        <v>0</v>
      </c>
      <c r="D178" s="8">
        <f t="shared" si="126"/>
        <v>0</v>
      </c>
      <c r="E178" s="8">
        <f t="shared" si="126"/>
        <v>0</v>
      </c>
      <c r="F178" s="8">
        <f t="shared" si="126"/>
        <v>0</v>
      </c>
      <c r="G178" s="8">
        <f t="shared" si="126"/>
        <v>0</v>
      </c>
      <c r="H178" s="8">
        <f t="shared" si="126"/>
        <v>0</v>
      </c>
      <c r="I178" s="8">
        <f t="shared" si="126"/>
        <v>0</v>
      </c>
      <c r="J178" s="8">
        <f t="shared" si="126"/>
        <v>0</v>
      </c>
      <c r="K178" s="8">
        <f t="shared" si="126"/>
        <v>0</v>
      </c>
      <c r="L178" s="8">
        <f t="shared" si="126"/>
        <v>0</v>
      </c>
      <c r="M178" s="187" t="s">
        <v>115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/>
      <c r="T178" s="8"/>
      <c r="U178" s="8"/>
      <c r="V178" s="8"/>
      <c r="W178" s="362"/>
      <c r="X178" s="158">
        <v>0</v>
      </c>
    </row>
    <row r="179" spans="1:24" hidden="1" x14ac:dyDescent="0.3">
      <c r="A179" s="7"/>
      <c r="B179" s="7">
        <f t="shared" ref="B179:L179" si="127">A179+B49</f>
        <v>0</v>
      </c>
      <c r="C179" s="7">
        <f t="shared" si="127"/>
        <v>0</v>
      </c>
      <c r="D179" s="7">
        <f t="shared" si="127"/>
        <v>0</v>
      </c>
      <c r="E179" s="7">
        <f t="shared" si="127"/>
        <v>1858.104</v>
      </c>
      <c r="F179" s="7">
        <f t="shared" si="127"/>
        <v>1858.104</v>
      </c>
      <c r="G179" s="7">
        <f t="shared" si="127"/>
        <v>1858.104</v>
      </c>
      <c r="H179" s="7">
        <f t="shared" si="127"/>
        <v>1858.104</v>
      </c>
      <c r="I179" s="7">
        <f t="shared" si="127"/>
        <v>1858.104</v>
      </c>
      <c r="J179" s="7">
        <f t="shared" si="127"/>
        <v>1858.104</v>
      </c>
      <c r="K179" s="7">
        <f t="shared" si="127"/>
        <v>1858.104</v>
      </c>
      <c r="L179" s="7">
        <f t="shared" si="127"/>
        <v>2363.0041825746189</v>
      </c>
      <c r="M179" s="13" t="s">
        <v>116</v>
      </c>
      <c r="N179" s="7">
        <v>0</v>
      </c>
      <c r="O179" s="7">
        <v>2226</v>
      </c>
      <c r="P179" s="7">
        <v>2226</v>
      </c>
      <c r="Q179" s="7">
        <v>2226.0419999999999</v>
      </c>
      <c r="R179" s="7">
        <v>-4.1999999999916326E-2</v>
      </c>
      <c r="S179" s="7"/>
      <c r="T179" s="7"/>
      <c r="U179" s="7"/>
      <c r="V179" s="7"/>
      <c r="W179" s="359"/>
      <c r="X179" s="159">
        <v>0</v>
      </c>
    </row>
    <row r="180" spans="1:24" hidden="1" x14ac:dyDescent="0.3">
      <c r="A180" s="7"/>
      <c r="B180" s="7">
        <f t="shared" ref="B180:L180" si="128">A180+B50</f>
        <v>0</v>
      </c>
      <c r="C180" s="7">
        <f t="shared" si="128"/>
        <v>0</v>
      </c>
      <c r="D180" s="7">
        <f t="shared" si="128"/>
        <v>0</v>
      </c>
      <c r="E180" s="7">
        <f t="shared" si="128"/>
        <v>0</v>
      </c>
      <c r="F180" s="7">
        <f t="shared" si="128"/>
        <v>112.13600000000001</v>
      </c>
      <c r="G180" s="7">
        <f t="shared" si="128"/>
        <v>112.13600000000001</v>
      </c>
      <c r="H180" s="7">
        <f t="shared" si="128"/>
        <v>112.13600000000001</v>
      </c>
      <c r="I180" s="7">
        <f t="shared" si="128"/>
        <v>112.13600000000001</v>
      </c>
      <c r="J180" s="7">
        <f t="shared" si="128"/>
        <v>112.13600000000001</v>
      </c>
      <c r="K180" s="7">
        <f t="shared" si="128"/>
        <v>112.13600000000001</v>
      </c>
      <c r="L180" s="7">
        <f t="shared" si="128"/>
        <v>112.13600000000001</v>
      </c>
      <c r="M180" s="13" t="s">
        <v>117</v>
      </c>
      <c r="N180" s="7">
        <v>0</v>
      </c>
      <c r="O180" s="7">
        <v>21302</v>
      </c>
      <c r="P180" s="7">
        <v>21302</v>
      </c>
      <c r="Q180" s="7">
        <v>21302.145528320001</v>
      </c>
      <c r="R180" s="7">
        <v>-0.14552832000117633</v>
      </c>
      <c r="S180" s="7"/>
      <c r="T180" s="7"/>
      <c r="U180" s="7"/>
      <c r="V180" s="7"/>
      <c r="W180" s="359"/>
      <c r="X180" s="159">
        <v>0</v>
      </c>
    </row>
    <row r="181" spans="1:24" hidden="1" x14ac:dyDescent="0.3">
      <c r="A181" s="7"/>
      <c r="B181" s="7">
        <f t="shared" ref="B181:L181" si="129">A181+B51</f>
        <v>0</v>
      </c>
      <c r="C181" s="7">
        <f t="shared" si="129"/>
        <v>0</v>
      </c>
      <c r="D181" s="7">
        <f t="shared" si="129"/>
        <v>0</v>
      </c>
      <c r="E181" s="7">
        <f t="shared" si="129"/>
        <v>0</v>
      </c>
      <c r="F181" s="7">
        <f t="shared" si="129"/>
        <v>0</v>
      </c>
      <c r="G181" s="7">
        <f t="shared" si="129"/>
        <v>0</v>
      </c>
      <c r="H181" s="7">
        <f t="shared" si="129"/>
        <v>0</v>
      </c>
      <c r="I181" s="7">
        <f t="shared" si="129"/>
        <v>0</v>
      </c>
      <c r="J181" s="7">
        <f t="shared" si="129"/>
        <v>0</v>
      </c>
      <c r="K181" s="7">
        <f t="shared" si="129"/>
        <v>0</v>
      </c>
      <c r="L181" s="7">
        <f t="shared" si="129"/>
        <v>0</v>
      </c>
      <c r="M181" s="13" t="s">
        <v>118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/>
      <c r="T181" s="7"/>
      <c r="U181" s="7"/>
      <c r="V181" s="7"/>
      <c r="W181" s="359"/>
      <c r="X181" s="159">
        <v>0</v>
      </c>
    </row>
    <row r="182" spans="1:24" hidden="1" x14ac:dyDescent="0.3">
      <c r="A182" s="7"/>
      <c r="B182" s="7">
        <f t="shared" ref="B182:L182" si="130">A182+B52</f>
        <v>0</v>
      </c>
      <c r="C182" s="7">
        <f t="shared" si="130"/>
        <v>0</v>
      </c>
      <c r="D182" s="7">
        <f t="shared" si="130"/>
        <v>0</v>
      </c>
      <c r="E182" s="7">
        <f t="shared" si="130"/>
        <v>225.32000000000002</v>
      </c>
      <c r="F182" s="7">
        <f t="shared" si="130"/>
        <v>225.32000000000002</v>
      </c>
      <c r="G182" s="7">
        <f t="shared" si="130"/>
        <v>225.32000000000002</v>
      </c>
      <c r="H182" s="7">
        <f t="shared" si="130"/>
        <v>225.32000000000002</v>
      </c>
      <c r="I182" s="7">
        <f t="shared" si="130"/>
        <v>225.32000000000002</v>
      </c>
      <c r="J182" s="7">
        <f t="shared" si="130"/>
        <v>225.32000000000002</v>
      </c>
      <c r="K182" s="7">
        <f t="shared" si="130"/>
        <v>225.32000000000002</v>
      </c>
      <c r="L182" s="7">
        <f t="shared" si="130"/>
        <v>225.32000000000002</v>
      </c>
      <c r="M182" s="13" t="s">
        <v>119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/>
      <c r="T182" s="7"/>
      <c r="U182" s="7"/>
      <c r="V182" s="7"/>
      <c r="W182" s="359"/>
      <c r="X182" s="159">
        <v>0</v>
      </c>
    </row>
    <row r="183" spans="1:24" hidden="1" x14ac:dyDescent="0.3">
      <c r="A183" s="7"/>
      <c r="B183" s="7">
        <f t="shared" ref="B183:L183" si="131">A183+B53</f>
        <v>5427.5046666666703</v>
      </c>
      <c r="C183" s="7">
        <f t="shared" si="131"/>
        <v>10855.009333333341</v>
      </c>
      <c r="D183" s="7">
        <f t="shared" si="131"/>
        <v>16282.51400000001</v>
      </c>
      <c r="E183" s="7">
        <f t="shared" si="131"/>
        <v>21710.018666666681</v>
      </c>
      <c r="F183" s="7">
        <f t="shared" si="131"/>
        <v>27137.523333333353</v>
      </c>
      <c r="G183" s="7">
        <f t="shared" si="131"/>
        <v>32565.028000000024</v>
      </c>
      <c r="H183" s="7">
        <f t="shared" si="131"/>
        <v>37992.532666666695</v>
      </c>
      <c r="I183" s="7">
        <f t="shared" si="131"/>
        <v>43420.037333333363</v>
      </c>
      <c r="J183" s="7">
        <f t="shared" si="131"/>
        <v>48847.54200000003</v>
      </c>
      <c r="K183" s="7">
        <f t="shared" si="131"/>
        <v>54275.046666666698</v>
      </c>
      <c r="L183" s="7">
        <f t="shared" si="131"/>
        <v>59711.551333333366</v>
      </c>
      <c r="M183" s="13" t="s">
        <v>120</v>
      </c>
      <c r="N183" s="7">
        <v>32591.439999999999</v>
      </c>
      <c r="O183" s="7">
        <v>0</v>
      </c>
      <c r="P183" s="7">
        <v>32591.439999999999</v>
      </c>
      <c r="Q183" s="7">
        <v>32591</v>
      </c>
      <c r="R183" s="7">
        <v>0.43999999999869033</v>
      </c>
      <c r="S183" s="7"/>
      <c r="T183" s="7"/>
      <c r="U183" s="7"/>
      <c r="V183" s="7"/>
      <c r="W183" s="359" t="s">
        <v>275</v>
      </c>
      <c r="X183" s="159">
        <v>1.0000135006596913</v>
      </c>
    </row>
    <row r="184" spans="1:24" hidden="1" x14ac:dyDescent="0.3">
      <c r="A184" s="7"/>
      <c r="B184" s="7">
        <f t="shared" ref="B184:L184" si="132">A184+B54</f>
        <v>0</v>
      </c>
      <c r="C184" s="7">
        <f t="shared" si="132"/>
        <v>0</v>
      </c>
      <c r="D184" s="7">
        <f t="shared" si="132"/>
        <v>0</v>
      </c>
      <c r="E184" s="7">
        <f t="shared" si="132"/>
        <v>0</v>
      </c>
      <c r="F184" s="7">
        <f t="shared" si="132"/>
        <v>0</v>
      </c>
      <c r="G184" s="7">
        <f t="shared" si="132"/>
        <v>0</v>
      </c>
      <c r="H184" s="7">
        <f t="shared" si="132"/>
        <v>0</v>
      </c>
      <c r="I184" s="7">
        <f t="shared" si="132"/>
        <v>0</v>
      </c>
      <c r="J184" s="7">
        <f t="shared" si="132"/>
        <v>0</v>
      </c>
      <c r="K184" s="7">
        <f t="shared" si="132"/>
        <v>0</v>
      </c>
      <c r="L184" s="7">
        <f t="shared" si="132"/>
        <v>0</v>
      </c>
      <c r="M184" s="13" t="s">
        <v>121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/>
      <c r="T184" s="7"/>
      <c r="U184" s="7"/>
      <c r="V184" s="7"/>
      <c r="W184" s="359"/>
      <c r="X184" s="159">
        <v>0</v>
      </c>
    </row>
    <row r="185" spans="1:24" hidden="1" x14ac:dyDescent="0.3">
      <c r="A185" s="7"/>
      <c r="B185" s="7">
        <f t="shared" ref="B185:L185" si="133">A185+B55</f>
        <v>216.487421466667</v>
      </c>
      <c r="C185" s="7">
        <f t="shared" si="133"/>
        <v>432.974842933334</v>
      </c>
      <c r="D185" s="7">
        <f t="shared" si="133"/>
        <v>649.462264400001</v>
      </c>
      <c r="E185" s="7">
        <f t="shared" si="133"/>
        <v>865.94968586666801</v>
      </c>
      <c r="F185" s="7">
        <f t="shared" si="133"/>
        <v>1082.437107333335</v>
      </c>
      <c r="G185" s="7">
        <f t="shared" si="133"/>
        <v>1298.924528800002</v>
      </c>
      <c r="H185" s="7">
        <f t="shared" si="133"/>
        <v>1515.411950266669</v>
      </c>
      <c r="I185" s="7">
        <f t="shared" si="133"/>
        <v>1731.899371733336</v>
      </c>
      <c r="J185" s="7">
        <f t="shared" si="133"/>
        <v>1948.386793200003</v>
      </c>
      <c r="K185" s="7">
        <f t="shared" si="133"/>
        <v>2164.87421466667</v>
      </c>
      <c r="L185" s="7">
        <f t="shared" si="133"/>
        <v>2381.361636133337</v>
      </c>
      <c r="M185" s="187" t="s">
        <v>122</v>
      </c>
      <c r="N185" s="7">
        <v>0</v>
      </c>
      <c r="O185" s="7">
        <v>4084</v>
      </c>
      <c r="P185" s="7">
        <v>4084</v>
      </c>
      <c r="Q185" s="7">
        <v>4083.8490576000013</v>
      </c>
      <c r="R185" s="7">
        <v>0.15094239999871206</v>
      </c>
      <c r="S185" s="7"/>
      <c r="T185" s="7"/>
      <c r="U185" s="7"/>
      <c r="V185" s="7"/>
      <c r="W185" s="359"/>
      <c r="X185" s="159">
        <v>0</v>
      </c>
    </row>
    <row r="186" spans="1:24" hidden="1" x14ac:dyDescent="0.3">
      <c r="A186" s="7"/>
      <c r="B186" s="7">
        <f t="shared" ref="B186:L186" si="134">A186+B56</f>
        <v>0</v>
      </c>
      <c r="C186" s="7">
        <f t="shared" si="134"/>
        <v>0</v>
      </c>
      <c r="D186" s="7">
        <f t="shared" si="134"/>
        <v>0</v>
      </c>
      <c r="E186" s="7">
        <f t="shared" si="134"/>
        <v>0</v>
      </c>
      <c r="F186" s="7">
        <f t="shared" si="134"/>
        <v>0</v>
      </c>
      <c r="G186" s="7">
        <f t="shared" si="134"/>
        <v>0</v>
      </c>
      <c r="H186" s="7">
        <f t="shared" si="134"/>
        <v>0</v>
      </c>
      <c r="I186" s="7">
        <f t="shared" si="134"/>
        <v>0</v>
      </c>
      <c r="J186" s="7">
        <f t="shared" si="134"/>
        <v>0</v>
      </c>
      <c r="K186" s="7">
        <f t="shared" si="134"/>
        <v>0</v>
      </c>
      <c r="L186" s="7">
        <f t="shared" si="134"/>
        <v>0</v>
      </c>
      <c r="M186" s="13" t="s">
        <v>123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/>
      <c r="T186" s="7"/>
      <c r="U186" s="7"/>
      <c r="V186" s="7"/>
      <c r="W186" s="359"/>
      <c r="X186" s="159">
        <v>0</v>
      </c>
    </row>
    <row r="187" spans="1:24" hidden="1" x14ac:dyDescent="0.3">
      <c r="A187" s="7"/>
      <c r="B187" s="7">
        <f t="shared" ref="B187:L187" si="135">A187+B57</f>
        <v>0</v>
      </c>
      <c r="C187" s="7">
        <f t="shared" si="135"/>
        <v>0</v>
      </c>
      <c r="D187" s="7">
        <f t="shared" si="135"/>
        <v>0</v>
      </c>
      <c r="E187" s="7">
        <f t="shared" si="135"/>
        <v>0</v>
      </c>
      <c r="F187" s="7">
        <f t="shared" si="135"/>
        <v>0</v>
      </c>
      <c r="G187" s="7">
        <f t="shared" si="135"/>
        <v>0</v>
      </c>
      <c r="H187" s="7">
        <f t="shared" si="135"/>
        <v>0</v>
      </c>
      <c r="I187" s="7">
        <f t="shared" si="135"/>
        <v>0</v>
      </c>
      <c r="J187" s="7">
        <f t="shared" si="135"/>
        <v>0</v>
      </c>
      <c r="K187" s="7">
        <f t="shared" si="135"/>
        <v>0</v>
      </c>
      <c r="L187" s="7">
        <f t="shared" si="135"/>
        <v>0</v>
      </c>
      <c r="M187" s="13" t="s">
        <v>124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/>
      <c r="T187" s="7"/>
      <c r="U187" s="7"/>
      <c r="V187" s="7"/>
      <c r="W187" s="359"/>
      <c r="X187" s="159">
        <v>0</v>
      </c>
    </row>
    <row r="188" spans="1:24" hidden="1" x14ac:dyDescent="0.3">
      <c r="A188" s="206">
        <v>2800.94</v>
      </c>
      <c r="B188" s="206">
        <f t="shared" ref="B188:L188" si="136">A188+B58</f>
        <v>3847.717333333333</v>
      </c>
      <c r="C188" s="206">
        <f t="shared" si="136"/>
        <v>4894.4946666666656</v>
      </c>
      <c r="D188" s="206">
        <f t="shared" si="136"/>
        <v>5941.271999999999</v>
      </c>
      <c r="E188" s="206">
        <f t="shared" si="136"/>
        <v>6988.0493333333325</v>
      </c>
      <c r="F188" s="206">
        <f t="shared" si="136"/>
        <v>8034.8266666666659</v>
      </c>
      <c r="G188" s="206">
        <f t="shared" si="136"/>
        <v>9081.6039999999994</v>
      </c>
      <c r="H188" s="206">
        <f t="shared" si="136"/>
        <v>10128.381333333333</v>
      </c>
      <c r="I188" s="206">
        <f t="shared" si="136"/>
        <v>11175.158666666666</v>
      </c>
      <c r="J188" s="206">
        <f t="shared" si="136"/>
        <v>12221.936</v>
      </c>
      <c r="K188" s="206">
        <f t="shared" si="136"/>
        <v>13268.713333333333</v>
      </c>
      <c r="L188" s="206">
        <f t="shared" si="136"/>
        <v>14315.490666666667</v>
      </c>
      <c r="M188" s="13" t="s">
        <v>125</v>
      </c>
      <c r="N188" s="7">
        <v>5736.4657142857141</v>
      </c>
      <c r="O188" s="7">
        <v>6250</v>
      </c>
      <c r="P188" s="7">
        <v>11986.465714285714</v>
      </c>
      <c r="Q188" s="7">
        <v>11986</v>
      </c>
      <c r="R188" s="7">
        <v>0.46571428571405704</v>
      </c>
      <c r="S188" s="7"/>
      <c r="T188" s="7"/>
      <c r="U188" s="7"/>
      <c r="V188" s="7"/>
      <c r="W188" s="359" t="s">
        <v>276</v>
      </c>
      <c r="X188" s="159">
        <v>0.47859717289218373</v>
      </c>
    </row>
    <row r="189" spans="1:24" hidden="1" x14ac:dyDescent="0.3">
      <c r="A189" s="7"/>
      <c r="B189" s="7">
        <f t="shared" ref="B189:L189" si="137">A189+B59</f>
        <v>0</v>
      </c>
      <c r="C189" s="7">
        <f t="shared" si="137"/>
        <v>0</v>
      </c>
      <c r="D189" s="7">
        <f t="shared" si="137"/>
        <v>0</v>
      </c>
      <c r="E189" s="7">
        <f t="shared" si="137"/>
        <v>0</v>
      </c>
      <c r="F189" s="7">
        <f t="shared" si="137"/>
        <v>0</v>
      </c>
      <c r="G189" s="7">
        <f t="shared" si="137"/>
        <v>0</v>
      </c>
      <c r="H189" s="7">
        <f t="shared" si="137"/>
        <v>0</v>
      </c>
      <c r="I189" s="7">
        <f t="shared" si="137"/>
        <v>0</v>
      </c>
      <c r="J189" s="7">
        <f t="shared" si="137"/>
        <v>0</v>
      </c>
      <c r="K189" s="7">
        <f t="shared" si="137"/>
        <v>0</v>
      </c>
      <c r="L189" s="7">
        <f t="shared" si="137"/>
        <v>0</v>
      </c>
      <c r="M189" s="13" t="s">
        <v>126</v>
      </c>
      <c r="N189" s="7">
        <v>6900</v>
      </c>
      <c r="O189" s="7">
        <v>1548.13375</v>
      </c>
      <c r="P189" s="7">
        <v>8448.1337500000009</v>
      </c>
      <c r="Q189" s="7">
        <v>8197.6049999999996</v>
      </c>
      <c r="R189" s="7">
        <v>250.52875000000131</v>
      </c>
      <c r="S189" s="7"/>
      <c r="T189" s="7"/>
      <c r="U189" s="7"/>
      <c r="V189" s="7"/>
      <c r="W189" s="359"/>
      <c r="X189" s="159">
        <v>0.84170925532518348</v>
      </c>
    </row>
    <row r="190" spans="1:24" hidden="1" x14ac:dyDescent="0.3">
      <c r="A190" s="7"/>
      <c r="B190" s="7">
        <f t="shared" ref="B190:L190" si="138">A190+B60</f>
        <v>3406</v>
      </c>
      <c r="C190" s="7">
        <f t="shared" si="138"/>
        <v>6812</v>
      </c>
      <c r="D190" s="7">
        <f t="shared" si="138"/>
        <v>10218</v>
      </c>
      <c r="E190" s="7">
        <f t="shared" si="138"/>
        <v>13624</v>
      </c>
      <c r="F190" s="7">
        <f t="shared" si="138"/>
        <v>17030</v>
      </c>
      <c r="G190" s="7">
        <f t="shared" si="138"/>
        <v>20436</v>
      </c>
      <c r="H190" s="7">
        <f t="shared" si="138"/>
        <v>23842</v>
      </c>
      <c r="I190" s="7">
        <f t="shared" si="138"/>
        <v>27248</v>
      </c>
      <c r="J190" s="7">
        <f t="shared" si="138"/>
        <v>30654</v>
      </c>
      <c r="K190" s="7">
        <f t="shared" si="138"/>
        <v>34060</v>
      </c>
      <c r="L190" s="7">
        <f t="shared" si="138"/>
        <v>37466</v>
      </c>
      <c r="M190" s="13" t="s">
        <v>128</v>
      </c>
      <c r="N190" s="7">
        <v>21017</v>
      </c>
      <c r="O190" s="7">
        <v>17983</v>
      </c>
      <c r="P190" s="7">
        <v>39000</v>
      </c>
      <c r="Q190" s="7">
        <v>39000</v>
      </c>
      <c r="R190" s="7">
        <v>0</v>
      </c>
      <c r="S190" s="7"/>
      <c r="T190" s="7"/>
      <c r="U190" s="7"/>
      <c r="V190" s="7"/>
      <c r="W190" s="359"/>
      <c r="X190" s="159">
        <v>0.53889743589743588</v>
      </c>
    </row>
    <row r="191" spans="1:24" hidden="1" x14ac:dyDescent="0.3">
      <c r="A191" s="7">
        <v>0</v>
      </c>
      <c r="B191" s="7">
        <f t="shared" ref="B191:L191" si="139">A191+B61</f>
        <v>0</v>
      </c>
      <c r="C191" s="7">
        <f t="shared" si="139"/>
        <v>0</v>
      </c>
      <c r="D191" s="7">
        <f t="shared" si="139"/>
        <v>0</v>
      </c>
      <c r="E191" s="7">
        <f t="shared" si="139"/>
        <v>0</v>
      </c>
      <c r="F191" s="7">
        <f t="shared" si="139"/>
        <v>0</v>
      </c>
      <c r="G191" s="7">
        <f t="shared" si="139"/>
        <v>0</v>
      </c>
      <c r="H191" s="7">
        <f t="shared" si="139"/>
        <v>0</v>
      </c>
      <c r="I191" s="7">
        <f t="shared" si="139"/>
        <v>0</v>
      </c>
      <c r="J191" s="7">
        <f t="shared" si="139"/>
        <v>0</v>
      </c>
      <c r="K191" s="7">
        <f t="shared" si="139"/>
        <v>0</v>
      </c>
      <c r="L191" s="7">
        <f t="shared" si="139"/>
        <v>0</v>
      </c>
      <c r="M191" s="13" t="s">
        <v>129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/>
      <c r="T191" s="7"/>
      <c r="U191" s="7"/>
      <c r="V191" s="7"/>
      <c r="W191" s="359"/>
      <c r="X191" s="159">
        <v>0</v>
      </c>
    </row>
    <row r="192" spans="1:24" hidden="1" x14ac:dyDescent="0.3">
      <c r="A192" s="7">
        <v>0</v>
      </c>
      <c r="B192" s="7">
        <f t="shared" ref="B192:L192" si="140">A192+B62</f>
        <v>0</v>
      </c>
      <c r="C192" s="7">
        <f t="shared" si="140"/>
        <v>0</v>
      </c>
      <c r="D192" s="7">
        <f t="shared" si="140"/>
        <v>0</v>
      </c>
      <c r="E192" s="7">
        <f t="shared" si="140"/>
        <v>0</v>
      </c>
      <c r="F192" s="7">
        <f t="shared" si="140"/>
        <v>0</v>
      </c>
      <c r="G192" s="7">
        <f t="shared" si="140"/>
        <v>0</v>
      </c>
      <c r="H192" s="7">
        <f t="shared" si="140"/>
        <v>0</v>
      </c>
      <c r="I192" s="7">
        <f t="shared" si="140"/>
        <v>0</v>
      </c>
      <c r="J192" s="7">
        <f t="shared" si="140"/>
        <v>0</v>
      </c>
      <c r="K192" s="7">
        <f t="shared" si="140"/>
        <v>0</v>
      </c>
      <c r="L192" s="7">
        <f t="shared" si="140"/>
        <v>0</v>
      </c>
      <c r="M192" s="187" t="s">
        <v>130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/>
      <c r="T192" s="7"/>
      <c r="U192" s="7"/>
      <c r="V192" s="7"/>
      <c r="W192" s="359"/>
      <c r="X192" s="159">
        <v>0</v>
      </c>
    </row>
    <row r="193" spans="1:24" hidden="1" x14ac:dyDescent="0.3">
      <c r="A193" s="11">
        <v>0</v>
      </c>
      <c r="B193" s="11">
        <f t="shared" ref="B193:L193" si="141">A193+B63</f>
        <v>0</v>
      </c>
      <c r="C193" s="11">
        <f t="shared" si="141"/>
        <v>0</v>
      </c>
      <c r="D193" s="11">
        <f t="shared" si="141"/>
        <v>0</v>
      </c>
      <c r="E193" s="11">
        <f t="shared" si="141"/>
        <v>0</v>
      </c>
      <c r="F193" s="11">
        <f t="shared" si="141"/>
        <v>0</v>
      </c>
      <c r="G193" s="11">
        <f t="shared" si="141"/>
        <v>0</v>
      </c>
      <c r="H193" s="11">
        <f t="shared" si="141"/>
        <v>0</v>
      </c>
      <c r="I193" s="11">
        <f t="shared" si="141"/>
        <v>0</v>
      </c>
      <c r="J193" s="11">
        <f t="shared" si="141"/>
        <v>0</v>
      </c>
      <c r="K193" s="11">
        <f t="shared" si="141"/>
        <v>0</v>
      </c>
      <c r="L193" s="11">
        <f t="shared" si="141"/>
        <v>0</v>
      </c>
      <c r="M193" s="187" t="s">
        <v>131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/>
      <c r="T193" s="11"/>
      <c r="U193" s="11"/>
      <c r="V193" s="11"/>
      <c r="W193" s="363"/>
      <c r="X193" s="160">
        <v>0</v>
      </c>
    </row>
    <row r="194" spans="1:24" ht="15" hidden="1" thickBot="1" x14ac:dyDescent="0.35">
      <c r="A194" s="89"/>
      <c r="B194" s="89">
        <f t="shared" ref="B194:L194" si="142">A194+B64</f>
        <v>0</v>
      </c>
      <c r="C194" s="89">
        <f t="shared" si="142"/>
        <v>0</v>
      </c>
      <c r="D194" s="89">
        <f t="shared" si="142"/>
        <v>0</v>
      </c>
      <c r="E194" s="89">
        <f t="shared" si="142"/>
        <v>0</v>
      </c>
      <c r="F194" s="89">
        <f t="shared" si="142"/>
        <v>0</v>
      </c>
      <c r="G194" s="89">
        <f t="shared" si="142"/>
        <v>0</v>
      </c>
      <c r="H194" s="89">
        <f t="shared" si="142"/>
        <v>0</v>
      </c>
      <c r="I194" s="89">
        <f t="shared" si="142"/>
        <v>0</v>
      </c>
      <c r="J194" s="89">
        <f t="shared" si="142"/>
        <v>0</v>
      </c>
      <c r="K194" s="89">
        <f t="shared" si="142"/>
        <v>0</v>
      </c>
      <c r="L194" s="89">
        <f t="shared" si="142"/>
        <v>0</v>
      </c>
      <c r="M194" s="13"/>
      <c r="N194" s="89">
        <v>0</v>
      </c>
      <c r="O194" s="89"/>
      <c r="P194" s="89"/>
      <c r="Q194" s="89">
        <v>0</v>
      </c>
      <c r="R194" s="89"/>
      <c r="S194" s="89"/>
      <c r="T194" s="89"/>
      <c r="U194" s="89"/>
      <c r="V194" s="89"/>
      <c r="W194" s="367"/>
      <c r="X194" s="207">
        <v>0</v>
      </c>
    </row>
    <row r="195" spans="1:24" hidden="1" x14ac:dyDescent="0.3">
      <c r="A195" s="4">
        <v>2800.94</v>
      </c>
      <c r="B195" s="4">
        <f t="shared" ref="B195:L195" si="143">A195+B65</f>
        <v>12897.70942146667</v>
      </c>
      <c r="C195" s="4">
        <f t="shared" si="143"/>
        <v>22994.478842933342</v>
      </c>
      <c r="D195" s="4">
        <f t="shared" si="143"/>
        <v>33091.248264400012</v>
      </c>
      <c r="E195" s="4">
        <f t="shared" si="143"/>
        <v>45271.441685866681</v>
      </c>
      <c r="F195" s="4">
        <f t="shared" si="143"/>
        <v>55480.347107333349</v>
      </c>
      <c r="G195" s="4">
        <f t="shared" si="143"/>
        <v>65577.116528800019</v>
      </c>
      <c r="H195" s="4">
        <f t="shared" si="143"/>
        <v>75673.885950266689</v>
      </c>
      <c r="I195" s="4">
        <f t="shared" si="143"/>
        <v>85770.655371733359</v>
      </c>
      <c r="J195" s="4">
        <f t="shared" si="143"/>
        <v>95867.424793200029</v>
      </c>
      <c r="K195" s="4">
        <f t="shared" si="143"/>
        <v>105964.1942146667</v>
      </c>
      <c r="L195" s="4">
        <f t="shared" si="143"/>
        <v>116574.86381870799</v>
      </c>
      <c r="M195" s="13" t="s">
        <v>132</v>
      </c>
      <c r="N195" s="4">
        <v>66244.905714285705</v>
      </c>
      <c r="O195" s="4">
        <v>53393.133750000001</v>
      </c>
      <c r="P195" s="4">
        <v>119638.03946428571</v>
      </c>
      <c r="Q195" s="4">
        <v>104809.64158592001</v>
      </c>
      <c r="R195" s="4">
        <v>251.39787836571168</v>
      </c>
      <c r="S195" s="4"/>
      <c r="T195" s="4"/>
      <c r="U195" s="4"/>
      <c r="V195" s="4"/>
      <c r="W195" s="365">
        <v>0</v>
      </c>
      <c r="X195" s="162">
        <v>0.63204973046282187</v>
      </c>
    </row>
    <row r="196" spans="1:24" hidden="1" x14ac:dyDescent="0.3">
      <c r="A196" s="81"/>
      <c r="B196" s="81">
        <f t="shared" ref="B196:L196" si="144">A196+B66</f>
        <v>0</v>
      </c>
      <c r="C196" s="81">
        <f t="shared" si="144"/>
        <v>0</v>
      </c>
      <c r="D196" s="81">
        <f t="shared" si="144"/>
        <v>0</v>
      </c>
      <c r="E196" s="81">
        <f t="shared" si="144"/>
        <v>0</v>
      </c>
      <c r="F196" s="81">
        <f t="shared" si="144"/>
        <v>0</v>
      </c>
      <c r="G196" s="81">
        <f t="shared" si="144"/>
        <v>0</v>
      </c>
      <c r="H196" s="81">
        <f t="shared" si="144"/>
        <v>0</v>
      </c>
      <c r="I196" s="81">
        <f t="shared" si="144"/>
        <v>0</v>
      </c>
      <c r="J196" s="81">
        <f t="shared" si="144"/>
        <v>0</v>
      </c>
      <c r="K196" s="81">
        <f t="shared" si="144"/>
        <v>0</v>
      </c>
      <c r="L196" s="81">
        <f t="shared" si="144"/>
        <v>0</v>
      </c>
      <c r="M196" s="80"/>
      <c r="N196" s="81"/>
      <c r="O196" s="81"/>
      <c r="P196" s="81"/>
      <c r="Q196" s="81"/>
      <c r="R196" s="81"/>
      <c r="S196" s="81"/>
      <c r="T196" s="81"/>
      <c r="U196" s="81"/>
      <c r="V196" s="81"/>
      <c r="W196" s="364"/>
      <c r="X196" s="204">
        <v>0</v>
      </c>
    </row>
    <row r="197" spans="1:24" hidden="1" x14ac:dyDescent="0.3">
      <c r="A197" s="8">
        <v>0</v>
      </c>
      <c r="B197" s="8">
        <f t="shared" ref="B197:L197" si="145">A197+B67</f>
        <v>0</v>
      </c>
      <c r="C197" s="8">
        <f t="shared" si="145"/>
        <v>0</v>
      </c>
      <c r="D197" s="8">
        <f t="shared" si="145"/>
        <v>0</v>
      </c>
      <c r="E197" s="8">
        <f t="shared" si="145"/>
        <v>0</v>
      </c>
      <c r="F197" s="8">
        <f t="shared" si="145"/>
        <v>0</v>
      </c>
      <c r="G197" s="8">
        <f t="shared" si="145"/>
        <v>0</v>
      </c>
      <c r="H197" s="8">
        <f t="shared" si="145"/>
        <v>0</v>
      </c>
      <c r="I197" s="8">
        <f t="shared" si="145"/>
        <v>0</v>
      </c>
      <c r="J197" s="8">
        <f t="shared" si="145"/>
        <v>0</v>
      </c>
      <c r="K197" s="8">
        <f t="shared" si="145"/>
        <v>0</v>
      </c>
      <c r="L197" s="8">
        <f t="shared" si="145"/>
        <v>0</v>
      </c>
      <c r="M197" s="187" t="s">
        <v>133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/>
      <c r="T197" s="8"/>
      <c r="U197" s="8"/>
      <c r="V197" s="8"/>
      <c r="W197" s="362"/>
      <c r="X197" s="158">
        <v>0</v>
      </c>
    </row>
    <row r="198" spans="1:24" hidden="1" x14ac:dyDescent="0.3">
      <c r="A198" s="7">
        <v>0</v>
      </c>
      <c r="B198" s="7">
        <f t="shared" ref="B198:L198" si="146">A198+B68</f>
        <v>0</v>
      </c>
      <c r="C198" s="7">
        <f t="shared" si="146"/>
        <v>0</v>
      </c>
      <c r="D198" s="7">
        <f t="shared" si="146"/>
        <v>0</v>
      </c>
      <c r="E198" s="7">
        <f t="shared" si="146"/>
        <v>0</v>
      </c>
      <c r="F198" s="7">
        <f t="shared" si="146"/>
        <v>0</v>
      </c>
      <c r="G198" s="7">
        <f t="shared" si="146"/>
        <v>0</v>
      </c>
      <c r="H198" s="7">
        <f t="shared" si="146"/>
        <v>0</v>
      </c>
      <c r="I198" s="7">
        <f t="shared" si="146"/>
        <v>0</v>
      </c>
      <c r="J198" s="7">
        <f t="shared" si="146"/>
        <v>0</v>
      </c>
      <c r="K198" s="7">
        <f t="shared" si="146"/>
        <v>0</v>
      </c>
      <c r="L198" s="7">
        <f t="shared" si="146"/>
        <v>0</v>
      </c>
      <c r="M198" s="13" t="s">
        <v>134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/>
      <c r="T198" s="7"/>
      <c r="U198" s="7"/>
      <c r="V198" s="7"/>
      <c r="W198" s="359"/>
      <c r="X198" s="159">
        <v>0</v>
      </c>
    </row>
    <row r="199" spans="1:24" hidden="1" x14ac:dyDescent="0.3">
      <c r="A199" s="7">
        <v>0</v>
      </c>
      <c r="B199" s="7">
        <f t="shared" ref="B199:L199" si="147">A199+B69</f>
        <v>0</v>
      </c>
      <c r="C199" s="7">
        <f t="shared" si="147"/>
        <v>0</v>
      </c>
      <c r="D199" s="7">
        <f t="shared" si="147"/>
        <v>0</v>
      </c>
      <c r="E199" s="7">
        <f t="shared" si="147"/>
        <v>0</v>
      </c>
      <c r="F199" s="7">
        <f t="shared" si="147"/>
        <v>0</v>
      </c>
      <c r="G199" s="7">
        <f t="shared" si="147"/>
        <v>0</v>
      </c>
      <c r="H199" s="7">
        <f t="shared" si="147"/>
        <v>0</v>
      </c>
      <c r="I199" s="7">
        <f t="shared" si="147"/>
        <v>0</v>
      </c>
      <c r="J199" s="7">
        <f t="shared" si="147"/>
        <v>0</v>
      </c>
      <c r="K199" s="7">
        <f t="shared" si="147"/>
        <v>0</v>
      </c>
      <c r="L199" s="7">
        <f t="shared" si="147"/>
        <v>0</v>
      </c>
      <c r="M199" s="13" t="s">
        <v>135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/>
      <c r="T199" s="7"/>
      <c r="U199" s="7"/>
      <c r="V199" s="7"/>
      <c r="W199" s="359"/>
      <c r="X199" s="159">
        <v>0</v>
      </c>
    </row>
    <row r="200" spans="1:24" hidden="1" x14ac:dyDescent="0.3">
      <c r="A200" s="7">
        <v>0</v>
      </c>
      <c r="B200" s="7">
        <f t="shared" ref="B200:L200" si="148">A200+B70</f>
        <v>0</v>
      </c>
      <c r="C200" s="7">
        <f t="shared" si="148"/>
        <v>0</v>
      </c>
      <c r="D200" s="7">
        <f t="shared" si="148"/>
        <v>0</v>
      </c>
      <c r="E200" s="7">
        <f t="shared" si="148"/>
        <v>0</v>
      </c>
      <c r="F200" s="7">
        <f t="shared" si="148"/>
        <v>0</v>
      </c>
      <c r="G200" s="7">
        <f t="shared" si="148"/>
        <v>0</v>
      </c>
      <c r="H200" s="7">
        <f t="shared" si="148"/>
        <v>0</v>
      </c>
      <c r="I200" s="7">
        <f t="shared" si="148"/>
        <v>0</v>
      </c>
      <c r="J200" s="7">
        <f t="shared" si="148"/>
        <v>0</v>
      </c>
      <c r="K200" s="7">
        <f t="shared" si="148"/>
        <v>0</v>
      </c>
      <c r="L200" s="7">
        <f t="shared" si="148"/>
        <v>0</v>
      </c>
      <c r="M200" s="13" t="s">
        <v>136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/>
      <c r="T200" s="7"/>
      <c r="U200" s="7"/>
      <c r="V200" s="7"/>
      <c r="W200" s="359"/>
      <c r="X200" s="159">
        <v>0</v>
      </c>
    </row>
    <row r="201" spans="1:24" hidden="1" x14ac:dyDescent="0.3">
      <c r="A201" s="7">
        <v>0</v>
      </c>
      <c r="B201" s="7">
        <f t="shared" ref="B201:L201" si="149">A201+B71</f>
        <v>0</v>
      </c>
      <c r="C201" s="7">
        <f t="shared" si="149"/>
        <v>0</v>
      </c>
      <c r="D201" s="7">
        <f t="shared" si="149"/>
        <v>0</v>
      </c>
      <c r="E201" s="7">
        <f t="shared" si="149"/>
        <v>0</v>
      </c>
      <c r="F201" s="7">
        <f t="shared" si="149"/>
        <v>0</v>
      </c>
      <c r="G201" s="7">
        <f t="shared" si="149"/>
        <v>0</v>
      </c>
      <c r="H201" s="7">
        <f t="shared" si="149"/>
        <v>0</v>
      </c>
      <c r="I201" s="7">
        <f t="shared" si="149"/>
        <v>0</v>
      </c>
      <c r="J201" s="7">
        <f t="shared" si="149"/>
        <v>0</v>
      </c>
      <c r="K201" s="7">
        <f t="shared" si="149"/>
        <v>0</v>
      </c>
      <c r="L201" s="7">
        <f t="shared" si="149"/>
        <v>0</v>
      </c>
      <c r="M201" s="13" t="s">
        <v>137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/>
      <c r="T201" s="7"/>
      <c r="U201" s="7"/>
      <c r="V201" s="7"/>
      <c r="W201" s="359"/>
      <c r="X201" s="159">
        <v>0</v>
      </c>
    </row>
    <row r="202" spans="1:24" hidden="1" x14ac:dyDescent="0.3">
      <c r="A202" s="7">
        <v>0</v>
      </c>
      <c r="B202" s="7">
        <f t="shared" ref="B202:L202" si="150">A202+B72</f>
        <v>0</v>
      </c>
      <c r="C202" s="7">
        <f t="shared" si="150"/>
        <v>0</v>
      </c>
      <c r="D202" s="7">
        <f t="shared" si="150"/>
        <v>0</v>
      </c>
      <c r="E202" s="7">
        <f t="shared" si="150"/>
        <v>0</v>
      </c>
      <c r="F202" s="7">
        <f t="shared" si="150"/>
        <v>0</v>
      </c>
      <c r="G202" s="7">
        <f t="shared" si="150"/>
        <v>0</v>
      </c>
      <c r="H202" s="7">
        <f t="shared" si="150"/>
        <v>0</v>
      </c>
      <c r="I202" s="7">
        <f t="shared" si="150"/>
        <v>0</v>
      </c>
      <c r="J202" s="7">
        <f t="shared" si="150"/>
        <v>0</v>
      </c>
      <c r="K202" s="7">
        <f t="shared" si="150"/>
        <v>0</v>
      </c>
      <c r="L202" s="7">
        <f t="shared" si="150"/>
        <v>0</v>
      </c>
      <c r="M202" s="13" t="s">
        <v>138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/>
      <c r="T202" s="7"/>
      <c r="U202" s="7"/>
      <c r="V202" s="7"/>
      <c r="W202" s="359"/>
      <c r="X202" s="159">
        <v>0</v>
      </c>
    </row>
    <row r="203" spans="1:24" hidden="1" x14ac:dyDescent="0.3">
      <c r="A203" s="7">
        <v>0</v>
      </c>
      <c r="B203" s="7">
        <f t="shared" ref="B203:L203" si="151">A203+B73</f>
        <v>0</v>
      </c>
      <c r="C203" s="7">
        <f t="shared" si="151"/>
        <v>0</v>
      </c>
      <c r="D203" s="7">
        <f t="shared" si="151"/>
        <v>0</v>
      </c>
      <c r="E203" s="7">
        <f t="shared" si="151"/>
        <v>0</v>
      </c>
      <c r="F203" s="7">
        <f t="shared" si="151"/>
        <v>0</v>
      </c>
      <c r="G203" s="7">
        <f t="shared" si="151"/>
        <v>0</v>
      </c>
      <c r="H203" s="7">
        <f t="shared" si="151"/>
        <v>0</v>
      </c>
      <c r="I203" s="7">
        <f t="shared" si="151"/>
        <v>0</v>
      </c>
      <c r="J203" s="7">
        <f t="shared" si="151"/>
        <v>0</v>
      </c>
      <c r="K203" s="7">
        <f t="shared" si="151"/>
        <v>0</v>
      </c>
      <c r="L203" s="7">
        <f t="shared" si="151"/>
        <v>0</v>
      </c>
      <c r="M203" s="13" t="s">
        <v>123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/>
      <c r="T203" s="7"/>
      <c r="U203" s="7"/>
      <c r="V203" s="7"/>
      <c r="W203" s="359"/>
      <c r="X203" s="159">
        <v>0</v>
      </c>
    </row>
    <row r="204" spans="1:24" hidden="1" x14ac:dyDescent="0.3">
      <c r="A204" s="7">
        <v>0</v>
      </c>
      <c r="B204" s="7">
        <f t="shared" ref="B204:L204" si="152">A204+B74</f>
        <v>0</v>
      </c>
      <c r="C204" s="7">
        <f t="shared" si="152"/>
        <v>0</v>
      </c>
      <c r="D204" s="7">
        <f t="shared" si="152"/>
        <v>0</v>
      </c>
      <c r="E204" s="7">
        <f t="shared" si="152"/>
        <v>0</v>
      </c>
      <c r="F204" s="7">
        <f t="shared" si="152"/>
        <v>0</v>
      </c>
      <c r="G204" s="7">
        <f t="shared" si="152"/>
        <v>0</v>
      </c>
      <c r="H204" s="7">
        <f t="shared" si="152"/>
        <v>0</v>
      </c>
      <c r="I204" s="7">
        <f t="shared" si="152"/>
        <v>0</v>
      </c>
      <c r="J204" s="7">
        <f t="shared" si="152"/>
        <v>0</v>
      </c>
      <c r="K204" s="7">
        <f t="shared" si="152"/>
        <v>0</v>
      </c>
      <c r="L204" s="7">
        <f t="shared" si="152"/>
        <v>0</v>
      </c>
      <c r="M204" s="187" t="s">
        <v>139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/>
      <c r="T204" s="7"/>
      <c r="U204" s="7"/>
      <c r="V204" s="7"/>
      <c r="W204" s="359"/>
      <c r="X204" s="159">
        <v>0</v>
      </c>
    </row>
    <row r="205" spans="1:24" hidden="1" x14ac:dyDescent="0.3">
      <c r="A205" s="7">
        <v>0</v>
      </c>
      <c r="B205" s="7">
        <f t="shared" ref="B205:L205" si="153">A205+B75</f>
        <v>0</v>
      </c>
      <c r="C205" s="7">
        <f t="shared" si="153"/>
        <v>0</v>
      </c>
      <c r="D205" s="7">
        <f t="shared" si="153"/>
        <v>0</v>
      </c>
      <c r="E205" s="7">
        <f t="shared" si="153"/>
        <v>0</v>
      </c>
      <c r="F205" s="7">
        <f t="shared" si="153"/>
        <v>0</v>
      </c>
      <c r="G205" s="7">
        <f t="shared" si="153"/>
        <v>0</v>
      </c>
      <c r="H205" s="7">
        <f t="shared" si="153"/>
        <v>0</v>
      </c>
      <c r="I205" s="7">
        <f t="shared" si="153"/>
        <v>0</v>
      </c>
      <c r="J205" s="7">
        <f t="shared" si="153"/>
        <v>0</v>
      </c>
      <c r="K205" s="7">
        <f t="shared" si="153"/>
        <v>0</v>
      </c>
      <c r="L205" s="7">
        <f t="shared" si="153"/>
        <v>0</v>
      </c>
      <c r="M205" s="13" t="s">
        <v>140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/>
      <c r="T205" s="7"/>
      <c r="U205" s="7"/>
      <c r="V205" s="7"/>
      <c r="W205" s="359"/>
      <c r="X205" s="159">
        <v>0</v>
      </c>
    </row>
    <row r="206" spans="1:24" hidden="1" x14ac:dyDescent="0.3">
      <c r="A206" s="7">
        <v>0</v>
      </c>
      <c r="B206" s="7">
        <f t="shared" ref="B206:L206" si="154">A206+B76</f>
        <v>0</v>
      </c>
      <c r="C206" s="7">
        <f t="shared" si="154"/>
        <v>0</v>
      </c>
      <c r="D206" s="7">
        <f t="shared" si="154"/>
        <v>0</v>
      </c>
      <c r="E206" s="7">
        <f t="shared" si="154"/>
        <v>0</v>
      </c>
      <c r="F206" s="7">
        <f t="shared" si="154"/>
        <v>0</v>
      </c>
      <c r="G206" s="7">
        <f t="shared" si="154"/>
        <v>0</v>
      </c>
      <c r="H206" s="7">
        <f t="shared" si="154"/>
        <v>0</v>
      </c>
      <c r="I206" s="7">
        <f t="shared" si="154"/>
        <v>0</v>
      </c>
      <c r="J206" s="7">
        <f t="shared" si="154"/>
        <v>0</v>
      </c>
      <c r="K206" s="7">
        <f t="shared" si="154"/>
        <v>0</v>
      </c>
      <c r="L206" s="7">
        <f t="shared" si="154"/>
        <v>0</v>
      </c>
      <c r="M206" s="13" t="s">
        <v>141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/>
      <c r="T206" s="7"/>
      <c r="U206" s="7"/>
      <c r="V206" s="7"/>
      <c r="W206" s="359"/>
      <c r="X206" s="159">
        <v>0</v>
      </c>
    </row>
    <row r="207" spans="1:24" hidden="1" x14ac:dyDescent="0.3">
      <c r="A207" s="7">
        <v>0</v>
      </c>
      <c r="B207" s="7">
        <f t="shared" ref="B207:L207" si="155">A207+B77</f>
        <v>0</v>
      </c>
      <c r="C207" s="7">
        <f t="shared" si="155"/>
        <v>0</v>
      </c>
      <c r="D207" s="7">
        <f t="shared" si="155"/>
        <v>0</v>
      </c>
      <c r="E207" s="7">
        <f t="shared" si="155"/>
        <v>0</v>
      </c>
      <c r="F207" s="7">
        <f t="shared" si="155"/>
        <v>0</v>
      </c>
      <c r="G207" s="7">
        <f t="shared" si="155"/>
        <v>0</v>
      </c>
      <c r="H207" s="7">
        <f t="shared" si="155"/>
        <v>0</v>
      </c>
      <c r="I207" s="7">
        <f t="shared" si="155"/>
        <v>0</v>
      </c>
      <c r="J207" s="7">
        <f t="shared" si="155"/>
        <v>0</v>
      </c>
      <c r="K207" s="7">
        <f t="shared" si="155"/>
        <v>0</v>
      </c>
      <c r="L207" s="7">
        <f t="shared" si="155"/>
        <v>0</v>
      </c>
      <c r="M207" s="13" t="s">
        <v>142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/>
      <c r="T207" s="7"/>
      <c r="U207" s="7"/>
      <c r="V207" s="7"/>
      <c r="W207" s="359"/>
      <c r="X207" s="159">
        <v>0</v>
      </c>
    </row>
    <row r="208" spans="1:24" hidden="1" x14ac:dyDescent="0.3">
      <c r="A208" s="7">
        <v>0</v>
      </c>
      <c r="B208" s="7">
        <f t="shared" ref="B208:L208" si="156">A208+B78</f>
        <v>0</v>
      </c>
      <c r="C208" s="7">
        <f t="shared" si="156"/>
        <v>0</v>
      </c>
      <c r="D208" s="7">
        <f t="shared" si="156"/>
        <v>0</v>
      </c>
      <c r="E208" s="7">
        <f t="shared" si="156"/>
        <v>0</v>
      </c>
      <c r="F208" s="7">
        <f t="shared" si="156"/>
        <v>0</v>
      </c>
      <c r="G208" s="7">
        <f t="shared" si="156"/>
        <v>0</v>
      </c>
      <c r="H208" s="7">
        <f t="shared" si="156"/>
        <v>0</v>
      </c>
      <c r="I208" s="7">
        <f t="shared" si="156"/>
        <v>0</v>
      </c>
      <c r="J208" s="7">
        <f t="shared" si="156"/>
        <v>0</v>
      </c>
      <c r="K208" s="7">
        <f t="shared" si="156"/>
        <v>0</v>
      </c>
      <c r="L208" s="7">
        <f t="shared" si="156"/>
        <v>0</v>
      </c>
      <c r="M208" s="13" t="s">
        <v>143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/>
      <c r="T208" s="7"/>
      <c r="U208" s="7"/>
      <c r="V208" s="7"/>
      <c r="W208" s="359"/>
      <c r="X208" s="159">
        <v>0</v>
      </c>
    </row>
    <row r="209" spans="1:24" hidden="1" x14ac:dyDescent="0.3">
      <c r="A209" s="7">
        <v>0</v>
      </c>
      <c r="B209" s="7">
        <f t="shared" ref="B209:L209" si="157">A209+B79</f>
        <v>0</v>
      </c>
      <c r="C209" s="7">
        <f t="shared" si="157"/>
        <v>0</v>
      </c>
      <c r="D209" s="7">
        <f t="shared" si="157"/>
        <v>0</v>
      </c>
      <c r="E209" s="7">
        <f t="shared" si="157"/>
        <v>0</v>
      </c>
      <c r="F209" s="7">
        <f t="shared" si="157"/>
        <v>0</v>
      </c>
      <c r="G209" s="7">
        <f t="shared" si="157"/>
        <v>0</v>
      </c>
      <c r="H209" s="7">
        <f t="shared" si="157"/>
        <v>0</v>
      </c>
      <c r="I209" s="7">
        <f t="shared" si="157"/>
        <v>0</v>
      </c>
      <c r="J209" s="7">
        <f t="shared" si="157"/>
        <v>0</v>
      </c>
      <c r="K209" s="7">
        <f t="shared" si="157"/>
        <v>0</v>
      </c>
      <c r="L209" s="7">
        <f t="shared" si="157"/>
        <v>0</v>
      </c>
      <c r="M209" s="13" t="s">
        <v>144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/>
      <c r="T209" s="7"/>
      <c r="U209" s="7"/>
      <c r="V209" s="7"/>
      <c r="W209" s="359"/>
      <c r="X209" s="159">
        <v>0</v>
      </c>
    </row>
    <row r="210" spans="1:24" hidden="1" x14ac:dyDescent="0.3">
      <c r="A210" s="7">
        <v>0</v>
      </c>
      <c r="B210" s="7">
        <f t="shared" ref="B210:L210" si="158">A210+B80</f>
        <v>0</v>
      </c>
      <c r="C210" s="7">
        <f t="shared" si="158"/>
        <v>0</v>
      </c>
      <c r="D210" s="7">
        <f t="shared" si="158"/>
        <v>0</v>
      </c>
      <c r="E210" s="7">
        <f t="shared" si="158"/>
        <v>0</v>
      </c>
      <c r="F210" s="7">
        <f t="shared" si="158"/>
        <v>0</v>
      </c>
      <c r="G210" s="7">
        <f t="shared" si="158"/>
        <v>0</v>
      </c>
      <c r="H210" s="7">
        <f t="shared" si="158"/>
        <v>0</v>
      </c>
      <c r="I210" s="7">
        <f t="shared" si="158"/>
        <v>0</v>
      </c>
      <c r="J210" s="7">
        <f t="shared" si="158"/>
        <v>0</v>
      </c>
      <c r="K210" s="7">
        <f t="shared" si="158"/>
        <v>0</v>
      </c>
      <c r="L210" s="7">
        <f t="shared" si="158"/>
        <v>0</v>
      </c>
      <c r="M210" s="13" t="s">
        <v>145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/>
      <c r="T210" s="7"/>
      <c r="U210" s="7"/>
      <c r="V210" s="7"/>
      <c r="W210" s="359"/>
      <c r="X210" s="159">
        <v>0</v>
      </c>
    </row>
    <row r="211" spans="1:24" hidden="1" x14ac:dyDescent="0.3">
      <c r="A211" s="7">
        <v>0</v>
      </c>
      <c r="B211" s="7">
        <f t="shared" ref="B211:L211" si="159">A211+B81</f>
        <v>0</v>
      </c>
      <c r="C211" s="7">
        <f t="shared" si="159"/>
        <v>0</v>
      </c>
      <c r="D211" s="7">
        <f t="shared" si="159"/>
        <v>0</v>
      </c>
      <c r="E211" s="7">
        <f t="shared" si="159"/>
        <v>0</v>
      </c>
      <c r="F211" s="7">
        <f t="shared" si="159"/>
        <v>0</v>
      </c>
      <c r="G211" s="7">
        <f t="shared" si="159"/>
        <v>0</v>
      </c>
      <c r="H211" s="7">
        <f t="shared" si="159"/>
        <v>0</v>
      </c>
      <c r="I211" s="7">
        <f t="shared" si="159"/>
        <v>0</v>
      </c>
      <c r="J211" s="7">
        <f t="shared" si="159"/>
        <v>0</v>
      </c>
      <c r="K211" s="7">
        <f t="shared" si="159"/>
        <v>0</v>
      </c>
      <c r="L211" s="7">
        <f t="shared" si="159"/>
        <v>10480</v>
      </c>
      <c r="M211" s="187" t="s">
        <v>146</v>
      </c>
      <c r="N211" s="7">
        <v>0</v>
      </c>
      <c r="O211" s="7">
        <v>15000</v>
      </c>
      <c r="P211" s="7">
        <v>15000</v>
      </c>
      <c r="Q211" s="7">
        <v>15000</v>
      </c>
      <c r="R211" s="7">
        <v>0</v>
      </c>
      <c r="S211" s="7"/>
      <c r="T211" s="7"/>
      <c r="U211" s="7"/>
      <c r="V211" s="7"/>
      <c r="W211" s="359"/>
      <c r="X211" s="159">
        <v>0</v>
      </c>
    </row>
    <row r="212" spans="1:24" hidden="1" x14ac:dyDescent="0.3">
      <c r="A212" s="7">
        <v>0</v>
      </c>
      <c r="B212" s="7">
        <f t="shared" ref="B212:L212" si="160">A212+B82</f>
        <v>0</v>
      </c>
      <c r="C212" s="7">
        <f t="shared" si="160"/>
        <v>0</v>
      </c>
      <c r="D212" s="7">
        <f t="shared" si="160"/>
        <v>0</v>
      </c>
      <c r="E212" s="7">
        <f t="shared" si="160"/>
        <v>0</v>
      </c>
      <c r="F212" s="7">
        <f t="shared" si="160"/>
        <v>0</v>
      </c>
      <c r="G212" s="7">
        <f t="shared" si="160"/>
        <v>0</v>
      </c>
      <c r="H212" s="7">
        <f t="shared" si="160"/>
        <v>0</v>
      </c>
      <c r="I212" s="7">
        <f t="shared" si="160"/>
        <v>0</v>
      </c>
      <c r="J212" s="7">
        <f t="shared" si="160"/>
        <v>0</v>
      </c>
      <c r="K212" s="7">
        <f t="shared" si="160"/>
        <v>0</v>
      </c>
      <c r="L212" s="7">
        <f t="shared" si="160"/>
        <v>0</v>
      </c>
      <c r="M212" s="187" t="s">
        <v>147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/>
      <c r="T212" s="7"/>
      <c r="U212" s="7"/>
      <c r="V212" s="7"/>
      <c r="W212" s="359"/>
      <c r="X212" s="159">
        <v>0</v>
      </c>
    </row>
    <row r="213" spans="1:24" hidden="1" x14ac:dyDescent="0.3">
      <c r="A213" s="7">
        <v>0</v>
      </c>
      <c r="B213" s="7">
        <f t="shared" ref="B213:L213" si="161">A213+B83</f>
        <v>0</v>
      </c>
      <c r="C213" s="7">
        <f t="shared" si="161"/>
        <v>0</v>
      </c>
      <c r="D213" s="7">
        <f t="shared" si="161"/>
        <v>0</v>
      </c>
      <c r="E213" s="7">
        <f t="shared" si="161"/>
        <v>0</v>
      </c>
      <c r="F213" s="7">
        <f t="shared" si="161"/>
        <v>0</v>
      </c>
      <c r="G213" s="7">
        <f t="shared" si="161"/>
        <v>0</v>
      </c>
      <c r="H213" s="7">
        <f t="shared" si="161"/>
        <v>0</v>
      </c>
      <c r="I213" s="7">
        <f t="shared" si="161"/>
        <v>0</v>
      </c>
      <c r="J213" s="7">
        <f t="shared" si="161"/>
        <v>0</v>
      </c>
      <c r="K213" s="7">
        <f t="shared" si="161"/>
        <v>0</v>
      </c>
      <c r="L213" s="7">
        <f t="shared" si="161"/>
        <v>0</v>
      </c>
      <c r="M213" s="187" t="s">
        <v>148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/>
      <c r="T213" s="7"/>
      <c r="U213" s="7"/>
      <c r="V213" s="7"/>
      <c r="W213" s="359"/>
      <c r="X213" s="159">
        <v>0</v>
      </c>
    </row>
    <row r="214" spans="1:24" hidden="1" x14ac:dyDescent="0.3">
      <c r="A214" s="7">
        <v>0</v>
      </c>
      <c r="B214" s="7">
        <f t="shared" ref="B214:L214" si="162">A214+B84</f>
        <v>0</v>
      </c>
      <c r="C214" s="7">
        <f t="shared" si="162"/>
        <v>0</v>
      </c>
      <c r="D214" s="7">
        <f t="shared" si="162"/>
        <v>0</v>
      </c>
      <c r="E214" s="7">
        <f t="shared" si="162"/>
        <v>0</v>
      </c>
      <c r="F214" s="7">
        <f t="shared" si="162"/>
        <v>0</v>
      </c>
      <c r="G214" s="7">
        <f t="shared" si="162"/>
        <v>0</v>
      </c>
      <c r="H214" s="7">
        <f t="shared" si="162"/>
        <v>0</v>
      </c>
      <c r="I214" s="7">
        <f t="shared" si="162"/>
        <v>0</v>
      </c>
      <c r="J214" s="7">
        <f t="shared" si="162"/>
        <v>0</v>
      </c>
      <c r="K214" s="7">
        <f t="shared" si="162"/>
        <v>0</v>
      </c>
      <c r="L214" s="7">
        <f t="shared" si="162"/>
        <v>0</v>
      </c>
      <c r="M214" s="13" t="s">
        <v>149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/>
      <c r="T214" s="7"/>
      <c r="U214" s="7"/>
      <c r="V214" s="7"/>
      <c r="W214" s="359"/>
      <c r="X214" s="159">
        <v>0</v>
      </c>
    </row>
    <row r="215" spans="1:24" hidden="1" x14ac:dyDescent="0.3">
      <c r="A215" s="7">
        <v>0</v>
      </c>
      <c r="B215" s="7">
        <f t="shared" ref="B215:L215" si="163">A215+B85</f>
        <v>0</v>
      </c>
      <c r="C215" s="7">
        <f t="shared" si="163"/>
        <v>0</v>
      </c>
      <c r="D215" s="7">
        <f t="shared" si="163"/>
        <v>0</v>
      </c>
      <c r="E215" s="7">
        <f t="shared" si="163"/>
        <v>0</v>
      </c>
      <c r="F215" s="7">
        <f t="shared" si="163"/>
        <v>0</v>
      </c>
      <c r="G215" s="7">
        <f t="shared" si="163"/>
        <v>0</v>
      </c>
      <c r="H215" s="7">
        <f t="shared" si="163"/>
        <v>0</v>
      </c>
      <c r="I215" s="7">
        <f t="shared" si="163"/>
        <v>0</v>
      </c>
      <c r="J215" s="7">
        <f t="shared" si="163"/>
        <v>0</v>
      </c>
      <c r="K215" s="7">
        <f t="shared" si="163"/>
        <v>0</v>
      </c>
      <c r="L215" s="7">
        <f t="shared" si="163"/>
        <v>0</v>
      </c>
      <c r="M215" s="13" t="s">
        <v>150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/>
      <c r="T215" s="7"/>
      <c r="U215" s="7"/>
      <c r="V215" s="7"/>
      <c r="W215" s="359"/>
      <c r="X215" s="159">
        <v>0</v>
      </c>
    </row>
    <row r="216" spans="1:24" hidden="1" x14ac:dyDescent="0.3">
      <c r="A216" s="7">
        <v>0</v>
      </c>
      <c r="B216" s="7">
        <f t="shared" ref="B216:L216" si="164">A216+B86</f>
        <v>0</v>
      </c>
      <c r="C216" s="7">
        <f t="shared" si="164"/>
        <v>0</v>
      </c>
      <c r="D216" s="7">
        <f t="shared" si="164"/>
        <v>0</v>
      </c>
      <c r="E216" s="7">
        <f t="shared" si="164"/>
        <v>0</v>
      </c>
      <c r="F216" s="7">
        <f t="shared" si="164"/>
        <v>0</v>
      </c>
      <c r="G216" s="7">
        <f t="shared" si="164"/>
        <v>0</v>
      </c>
      <c r="H216" s="7">
        <f t="shared" si="164"/>
        <v>0</v>
      </c>
      <c r="I216" s="7">
        <f t="shared" si="164"/>
        <v>0</v>
      </c>
      <c r="J216" s="7">
        <f t="shared" si="164"/>
        <v>0</v>
      </c>
      <c r="K216" s="7">
        <f t="shared" si="164"/>
        <v>0</v>
      </c>
      <c r="L216" s="7">
        <f t="shared" si="164"/>
        <v>0</v>
      </c>
      <c r="M216" s="13" t="s">
        <v>151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/>
      <c r="T216" s="7"/>
      <c r="U216" s="7"/>
      <c r="V216" s="7"/>
      <c r="W216" s="359"/>
      <c r="X216" s="159">
        <v>0</v>
      </c>
    </row>
    <row r="217" spans="1:24" hidden="1" x14ac:dyDescent="0.3">
      <c r="A217" s="7">
        <v>0</v>
      </c>
      <c r="B217" s="7">
        <f t="shared" ref="B217:L217" si="165">A217+B87</f>
        <v>0</v>
      </c>
      <c r="C217" s="7">
        <f t="shared" si="165"/>
        <v>0</v>
      </c>
      <c r="D217" s="7">
        <f t="shared" si="165"/>
        <v>0</v>
      </c>
      <c r="E217" s="7">
        <f t="shared" si="165"/>
        <v>0</v>
      </c>
      <c r="F217" s="7">
        <f t="shared" si="165"/>
        <v>0</v>
      </c>
      <c r="G217" s="7">
        <f t="shared" si="165"/>
        <v>0</v>
      </c>
      <c r="H217" s="7">
        <f t="shared" si="165"/>
        <v>0</v>
      </c>
      <c r="I217" s="7">
        <f t="shared" si="165"/>
        <v>0</v>
      </c>
      <c r="J217" s="7">
        <f t="shared" si="165"/>
        <v>0</v>
      </c>
      <c r="K217" s="7">
        <f t="shared" si="165"/>
        <v>0</v>
      </c>
      <c r="L217" s="7">
        <f t="shared" si="165"/>
        <v>0</v>
      </c>
      <c r="M217" s="13" t="s">
        <v>152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/>
      <c r="T217" s="7"/>
      <c r="U217" s="7"/>
      <c r="V217" s="7"/>
      <c r="W217" s="359"/>
      <c r="X217" s="159">
        <v>0</v>
      </c>
    </row>
    <row r="218" spans="1:24" hidden="1" x14ac:dyDescent="0.3">
      <c r="A218" s="7">
        <v>0</v>
      </c>
      <c r="B218" s="7">
        <f t="shared" ref="B218:L218" si="166">A218+B88</f>
        <v>0</v>
      </c>
      <c r="C218" s="7">
        <f t="shared" si="166"/>
        <v>0</v>
      </c>
      <c r="D218" s="7">
        <f t="shared" si="166"/>
        <v>0</v>
      </c>
      <c r="E218" s="7">
        <f t="shared" si="166"/>
        <v>0</v>
      </c>
      <c r="F218" s="7">
        <f t="shared" si="166"/>
        <v>0</v>
      </c>
      <c r="G218" s="7">
        <f t="shared" si="166"/>
        <v>0</v>
      </c>
      <c r="H218" s="7">
        <f t="shared" si="166"/>
        <v>0</v>
      </c>
      <c r="I218" s="7">
        <f t="shared" si="166"/>
        <v>0</v>
      </c>
      <c r="J218" s="7">
        <f t="shared" si="166"/>
        <v>0</v>
      </c>
      <c r="K218" s="7">
        <f t="shared" si="166"/>
        <v>0</v>
      </c>
      <c r="L218" s="7">
        <f t="shared" si="166"/>
        <v>0</v>
      </c>
      <c r="M218" s="13" t="s">
        <v>153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/>
      <c r="T218" s="7"/>
      <c r="U218" s="7"/>
      <c r="V218" s="7"/>
      <c r="W218" s="359"/>
      <c r="X218" s="159">
        <v>0</v>
      </c>
    </row>
    <row r="219" spans="1:24" hidden="1" x14ac:dyDescent="0.3">
      <c r="A219" s="11">
        <v>0</v>
      </c>
      <c r="B219" s="11">
        <f t="shared" ref="B219:L219" si="167">A219+B89</f>
        <v>0</v>
      </c>
      <c r="C219" s="11">
        <f t="shared" si="167"/>
        <v>0</v>
      </c>
      <c r="D219" s="11">
        <f t="shared" si="167"/>
        <v>0</v>
      </c>
      <c r="E219" s="11">
        <f t="shared" si="167"/>
        <v>0</v>
      </c>
      <c r="F219" s="11">
        <f t="shared" si="167"/>
        <v>0</v>
      </c>
      <c r="G219" s="11">
        <f t="shared" si="167"/>
        <v>0</v>
      </c>
      <c r="H219" s="11">
        <f t="shared" si="167"/>
        <v>0</v>
      </c>
      <c r="I219" s="11">
        <f t="shared" si="167"/>
        <v>0</v>
      </c>
      <c r="J219" s="11">
        <f t="shared" si="167"/>
        <v>0</v>
      </c>
      <c r="K219" s="11">
        <f t="shared" si="167"/>
        <v>0</v>
      </c>
      <c r="L219" s="11">
        <f t="shared" si="167"/>
        <v>0</v>
      </c>
      <c r="M219" s="187" t="s">
        <v>154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/>
      <c r="T219" s="11"/>
      <c r="U219" s="11"/>
      <c r="V219" s="11"/>
      <c r="W219" s="363"/>
      <c r="X219" s="160">
        <v>0</v>
      </c>
    </row>
    <row r="220" spans="1:24" ht="15" hidden="1" thickBot="1" x14ac:dyDescent="0.35">
      <c r="A220" s="93"/>
      <c r="B220" s="93">
        <f t="shared" ref="B220:L220" si="168">A220+B90</f>
        <v>0</v>
      </c>
      <c r="C220" s="93">
        <f t="shared" si="168"/>
        <v>0</v>
      </c>
      <c r="D220" s="93">
        <f t="shared" si="168"/>
        <v>0</v>
      </c>
      <c r="E220" s="93">
        <f t="shared" si="168"/>
        <v>0</v>
      </c>
      <c r="F220" s="93">
        <f t="shared" si="168"/>
        <v>0</v>
      </c>
      <c r="G220" s="93">
        <f t="shared" si="168"/>
        <v>0</v>
      </c>
      <c r="H220" s="93">
        <f t="shared" si="168"/>
        <v>0</v>
      </c>
      <c r="I220" s="93">
        <f t="shared" si="168"/>
        <v>0</v>
      </c>
      <c r="J220" s="93">
        <f t="shared" si="168"/>
        <v>0</v>
      </c>
      <c r="K220" s="93">
        <f t="shared" si="168"/>
        <v>0</v>
      </c>
      <c r="L220" s="93">
        <f t="shared" si="168"/>
        <v>0</v>
      </c>
      <c r="M220" s="13"/>
      <c r="N220" s="93">
        <v>0</v>
      </c>
      <c r="O220" s="93"/>
      <c r="P220" s="93"/>
      <c r="Q220" s="93">
        <v>0</v>
      </c>
      <c r="R220" s="93"/>
      <c r="S220" s="93"/>
      <c r="T220" s="93"/>
      <c r="U220" s="93"/>
      <c r="V220" s="93"/>
      <c r="W220" s="368"/>
      <c r="X220" s="208">
        <v>0</v>
      </c>
    </row>
    <row r="221" spans="1:24" hidden="1" x14ac:dyDescent="0.3">
      <c r="A221" s="4">
        <v>0</v>
      </c>
      <c r="B221" s="4">
        <f t="shared" ref="B221:L221" si="169">A221+B91</f>
        <v>0</v>
      </c>
      <c r="C221" s="4">
        <f t="shared" si="169"/>
        <v>0</v>
      </c>
      <c r="D221" s="4">
        <f t="shared" si="169"/>
        <v>0</v>
      </c>
      <c r="E221" s="4">
        <f t="shared" si="169"/>
        <v>0</v>
      </c>
      <c r="F221" s="4">
        <f t="shared" si="169"/>
        <v>0</v>
      </c>
      <c r="G221" s="4">
        <f t="shared" si="169"/>
        <v>0</v>
      </c>
      <c r="H221" s="4">
        <f t="shared" si="169"/>
        <v>0</v>
      </c>
      <c r="I221" s="4">
        <f t="shared" si="169"/>
        <v>0</v>
      </c>
      <c r="J221" s="4">
        <f t="shared" si="169"/>
        <v>0</v>
      </c>
      <c r="K221" s="4">
        <f t="shared" si="169"/>
        <v>0</v>
      </c>
      <c r="L221" s="4">
        <f t="shared" si="169"/>
        <v>10480</v>
      </c>
      <c r="M221" s="13" t="s">
        <v>155</v>
      </c>
      <c r="N221" s="4">
        <v>0</v>
      </c>
      <c r="O221" s="4">
        <v>15000</v>
      </c>
      <c r="P221" s="4">
        <v>15000</v>
      </c>
      <c r="Q221" s="4">
        <v>15000</v>
      </c>
      <c r="R221" s="4">
        <v>0</v>
      </c>
      <c r="S221" s="4"/>
      <c r="T221" s="4"/>
      <c r="U221" s="4"/>
      <c r="V221" s="4"/>
      <c r="W221" s="365">
        <v>0</v>
      </c>
      <c r="X221" s="162">
        <v>0</v>
      </c>
    </row>
    <row r="222" spans="1:24" hidden="1" x14ac:dyDescent="0.3">
      <c r="A222" s="81"/>
      <c r="B222" s="81">
        <f t="shared" ref="B222:L222" si="170">A222+B92</f>
        <v>0</v>
      </c>
      <c r="C222" s="81">
        <f t="shared" si="170"/>
        <v>0</v>
      </c>
      <c r="D222" s="81">
        <f t="shared" si="170"/>
        <v>0</v>
      </c>
      <c r="E222" s="81">
        <f t="shared" si="170"/>
        <v>0</v>
      </c>
      <c r="F222" s="81">
        <f t="shared" si="170"/>
        <v>0</v>
      </c>
      <c r="G222" s="81">
        <f t="shared" si="170"/>
        <v>0</v>
      </c>
      <c r="H222" s="81">
        <f t="shared" si="170"/>
        <v>0</v>
      </c>
      <c r="I222" s="81">
        <f t="shared" si="170"/>
        <v>0</v>
      </c>
      <c r="J222" s="81">
        <f t="shared" si="170"/>
        <v>0</v>
      </c>
      <c r="K222" s="81">
        <f t="shared" si="170"/>
        <v>0</v>
      </c>
      <c r="L222" s="81">
        <f t="shared" si="170"/>
        <v>0</v>
      </c>
      <c r="M222" s="80"/>
      <c r="N222" s="81">
        <v>0</v>
      </c>
      <c r="O222" s="81"/>
      <c r="P222" s="81"/>
      <c r="Q222" s="81">
        <v>0</v>
      </c>
      <c r="R222" s="81"/>
      <c r="S222" s="81"/>
      <c r="T222" s="81"/>
      <c r="U222" s="81"/>
      <c r="V222" s="81"/>
      <c r="W222" s="364"/>
      <c r="X222" s="204">
        <v>0</v>
      </c>
    </row>
    <row r="223" spans="1:24" hidden="1" x14ac:dyDescent="0.3">
      <c r="A223" s="209">
        <v>2600</v>
      </c>
      <c r="B223" s="209">
        <f t="shared" ref="B223:L223" si="171">A223+B93</f>
        <v>2600</v>
      </c>
      <c r="C223" s="209">
        <f t="shared" si="171"/>
        <v>2600</v>
      </c>
      <c r="D223" s="209">
        <f t="shared" si="171"/>
        <v>2600</v>
      </c>
      <c r="E223" s="209">
        <f t="shared" si="171"/>
        <v>2600</v>
      </c>
      <c r="F223" s="209">
        <f t="shared" si="171"/>
        <v>2600</v>
      </c>
      <c r="G223" s="209">
        <f t="shared" si="171"/>
        <v>2600</v>
      </c>
      <c r="H223" s="209">
        <f t="shared" si="171"/>
        <v>2600</v>
      </c>
      <c r="I223" s="209">
        <f t="shared" si="171"/>
        <v>2600</v>
      </c>
      <c r="J223" s="209">
        <f t="shared" si="171"/>
        <v>2600</v>
      </c>
      <c r="K223" s="209">
        <f t="shared" si="171"/>
        <v>2600</v>
      </c>
      <c r="L223" s="209">
        <f t="shared" si="171"/>
        <v>167100.75200000001</v>
      </c>
      <c r="M223" s="187" t="s">
        <v>156</v>
      </c>
      <c r="N223" s="8">
        <v>82354.399999999994</v>
      </c>
      <c r="O223" s="8">
        <v>47446.268883500001</v>
      </c>
      <c r="P223" s="8">
        <v>129800.66888349999</v>
      </c>
      <c r="Q223" s="8">
        <v>129801.075534</v>
      </c>
      <c r="R223" s="8">
        <v>-0.40665050000825431</v>
      </c>
      <c r="S223" s="8"/>
      <c r="T223" s="8"/>
      <c r="U223" s="8"/>
      <c r="V223" s="8"/>
      <c r="W223" s="362"/>
      <c r="X223" s="158">
        <v>0.634466237365099</v>
      </c>
    </row>
    <row r="224" spans="1:24" hidden="1" x14ac:dyDescent="0.3">
      <c r="A224" s="7"/>
      <c r="B224" s="7">
        <f t="shared" ref="B224:L224" si="172">A224+B94</f>
        <v>2851.45292123933</v>
      </c>
      <c r="C224" s="7">
        <f t="shared" si="172"/>
        <v>5702.9058424786599</v>
      </c>
      <c r="D224" s="7">
        <f t="shared" si="172"/>
        <v>8554.3587637179899</v>
      </c>
      <c r="E224" s="7">
        <f t="shared" si="172"/>
        <v>11405.81168495732</v>
      </c>
      <c r="F224" s="7">
        <f t="shared" si="172"/>
        <v>14257.26460619665</v>
      </c>
      <c r="G224" s="7">
        <f t="shared" si="172"/>
        <v>17108.71752743598</v>
      </c>
      <c r="H224" s="7">
        <f t="shared" si="172"/>
        <v>19960.170448675308</v>
      </c>
      <c r="I224" s="7">
        <f t="shared" si="172"/>
        <v>22811.62336991464</v>
      </c>
      <c r="J224" s="7">
        <f t="shared" si="172"/>
        <v>25663.076291153971</v>
      </c>
      <c r="K224" s="7">
        <f t="shared" si="172"/>
        <v>28514.529212393303</v>
      </c>
      <c r="L224" s="7">
        <f t="shared" si="172"/>
        <v>31363.982133632635</v>
      </c>
      <c r="M224" s="13" t="s">
        <v>158</v>
      </c>
      <c r="N224" s="7">
        <v>23925</v>
      </c>
      <c r="O224" s="7">
        <v>28725</v>
      </c>
      <c r="P224" s="7">
        <v>52650</v>
      </c>
      <c r="Q224" s="7">
        <v>52650.224288999998</v>
      </c>
      <c r="R224" s="7">
        <v>-0.22428899999795249</v>
      </c>
      <c r="S224" s="7"/>
      <c r="T224" s="7"/>
      <c r="U224" s="7"/>
      <c r="V224" s="7"/>
      <c r="W224" s="359"/>
      <c r="X224" s="159">
        <v>0.45441401861223513</v>
      </c>
    </row>
    <row r="225" spans="1:24" hidden="1" x14ac:dyDescent="0.3">
      <c r="A225" s="7"/>
      <c r="B225" s="7">
        <f t="shared" ref="B225:L225" si="173">A225+B95</f>
        <v>0</v>
      </c>
      <c r="C225" s="7">
        <f t="shared" si="173"/>
        <v>0</v>
      </c>
      <c r="D225" s="7">
        <f t="shared" si="173"/>
        <v>0</v>
      </c>
      <c r="E225" s="7">
        <f t="shared" si="173"/>
        <v>0</v>
      </c>
      <c r="F225" s="7">
        <f t="shared" si="173"/>
        <v>0</v>
      </c>
      <c r="G225" s="7">
        <f t="shared" si="173"/>
        <v>0</v>
      </c>
      <c r="H225" s="7">
        <f t="shared" si="173"/>
        <v>0</v>
      </c>
      <c r="I225" s="7">
        <f t="shared" si="173"/>
        <v>0</v>
      </c>
      <c r="J225" s="7">
        <f t="shared" si="173"/>
        <v>0</v>
      </c>
      <c r="K225" s="7">
        <f t="shared" si="173"/>
        <v>0</v>
      </c>
      <c r="L225" s="7">
        <f t="shared" si="173"/>
        <v>0</v>
      </c>
      <c r="M225" s="13" t="s">
        <v>159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/>
      <c r="T225" s="7"/>
      <c r="U225" s="7"/>
      <c r="V225" s="7"/>
      <c r="W225" s="359"/>
      <c r="X225" s="159">
        <v>0</v>
      </c>
    </row>
    <row r="226" spans="1:24" hidden="1" x14ac:dyDescent="0.3">
      <c r="A226" s="7"/>
      <c r="B226" s="7">
        <f t="shared" ref="B226:L226" si="174">A226+B96</f>
        <v>194.928</v>
      </c>
      <c r="C226" s="7">
        <f t="shared" si="174"/>
        <v>389.85599999999999</v>
      </c>
      <c r="D226" s="7">
        <f t="shared" si="174"/>
        <v>584.78399999999999</v>
      </c>
      <c r="E226" s="7">
        <f t="shared" si="174"/>
        <v>779.71199999999999</v>
      </c>
      <c r="F226" s="7">
        <f t="shared" si="174"/>
        <v>974.64</v>
      </c>
      <c r="G226" s="7">
        <f t="shared" si="174"/>
        <v>1169.568</v>
      </c>
      <c r="H226" s="7">
        <f t="shared" si="174"/>
        <v>1364.4960000000001</v>
      </c>
      <c r="I226" s="7">
        <f t="shared" si="174"/>
        <v>1559.424</v>
      </c>
      <c r="J226" s="7">
        <f t="shared" si="174"/>
        <v>1754.3519999999999</v>
      </c>
      <c r="K226" s="7">
        <f t="shared" si="174"/>
        <v>1949.2799999999997</v>
      </c>
      <c r="L226" s="7">
        <f t="shared" si="174"/>
        <v>2129.4789688880019</v>
      </c>
      <c r="M226" s="13" t="s">
        <v>160</v>
      </c>
      <c r="N226" s="7">
        <v>571.5</v>
      </c>
      <c r="O226" s="7">
        <v>1655.0140000000001</v>
      </c>
      <c r="P226" s="7">
        <v>2226.5140000000001</v>
      </c>
      <c r="Q226" s="7">
        <v>2226.0419999999999</v>
      </c>
      <c r="R226" s="7">
        <v>0.47200000000020736</v>
      </c>
      <c r="S226" s="7"/>
      <c r="T226" s="7"/>
      <c r="U226" s="7"/>
      <c r="V226" s="7"/>
      <c r="W226" s="359"/>
      <c r="X226" s="159">
        <v>0.2567337004423097</v>
      </c>
    </row>
    <row r="227" spans="1:24" hidden="1" x14ac:dyDescent="0.3">
      <c r="A227" s="7"/>
      <c r="B227" s="7">
        <f t="shared" ref="B227:L227" si="175">A227+B97</f>
        <v>184.44800000000001</v>
      </c>
      <c r="C227" s="7">
        <f t="shared" si="175"/>
        <v>368.89600000000002</v>
      </c>
      <c r="D227" s="7">
        <f t="shared" si="175"/>
        <v>553.34400000000005</v>
      </c>
      <c r="E227" s="7">
        <f t="shared" si="175"/>
        <v>737.79200000000003</v>
      </c>
      <c r="F227" s="7">
        <f t="shared" si="175"/>
        <v>922.24</v>
      </c>
      <c r="G227" s="7">
        <f t="shared" si="175"/>
        <v>1106.6880000000001</v>
      </c>
      <c r="H227" s="7">
        <f t="shared" si="175"/>
        <v>1291.1360000000002</v>
      </c>
      <c r="I227" s="7">
        <f t="shared" si="175"/>
        <v>1475.5840000000003</v>
      </c>
      <c r="J227" s="7">
        <f t="shared" si="175"/>
        <v>1660.0320000000004</v>
      </c>
      <c r="K227" s="7">
        <f t="shared" si="175"/>
        <v>1844.4800000000005</v>
      </c>
      <c r="L227" s="7">
        <f t="shared" si="175"/>
        <v>2028.9280000000006</v>
      </c>
      <c r="M227" s="13" t="s">
        <v>161</v>
      </c>
      <c r="N227" s="7">
        <v>0</v>
      </c>
      <c r="O227" s="7">
        <v>2106</v>
      </c>
      <c r="P227" s="7">
        <v>2106</v>
      </c>
      <c r="Q227" s="7">
        <v>2106</v>
      </c>
      <c r="R227" s="7">
        <v>0</v>
      </c>
      <c r="S227" s="7"/>
      <c r="T227" s="7"/>
      <c r="U227" s="7"/>
      <c r="V227" s="7"/>
      <c r="W227" s="359"/>
      <c r="X227" s="159">
        <v>0</v>
      </c>
    </row>
    <row r="228" spans="1:24" hidden="1" x14ac:dyDescent="0.3">
      <c r="A228" s="7"/>
      <c r="B228" s="7">
        <f t="shared" ref="B228:L228" si="176">A228+B98</f>
        <v>36.68</v>
      </c>
      <c r="C228" s="7">
        <f t="shared" si="176"/>
        <v>73.36</v>
      </c>
      <c r="D228" s="7">
        <f t="shared" si="176"/>
        <v>110.03999999999999</v>
      </c>
      <c r="E228" s="7">
        <f t="shared" si="176"/>
        <v>146.72</v>
      </c>
      <c r="F228" s="7">
        <f t="shared" si="176"/>
        <v>183.4</v>
      </c>
      <c r="G228" s="7">
        <f t="shared" si="176"/>
        <v>220.08</v>
      </c>
      <c r="H228" s="7">
        <f t="shared" si="176"/>
        <v>256.76</v>
      </c>
      <c r="I228" s="7">
        <f t="shared" si="176"/>
        <v>293.44</v>
      </c>
      <c r="J228" s="7">
        <f t="shared" si="176"/>
        <v>330.12</v>
      </c>
      <c r="K228" s="7">
        <f t="shared" si="176"/>
        <v>366.8</v>
      </c>
      <c r="L228" s="7">
        <f t="shared" si="176"/>
        <v>403.48</v>
      </c>
      <c r="M228" s="13" t="s">
        <v>162</v>
      </c>
      <c r="N228" s="7">
        <v>415</v>
      </c>
      <c r="O228" s="7">
        <v>6956</v>
      </c>
      <c r="P228" s="7">
        <v>7371</v>
      </c>
      <c r="Q228" s="7">
        <v>7371</v>
      </c>
      <c r="R228" s="7">
        <v>0</v>
      </c>
      <c r="S228" s="7"/>
      <c r="T228" s="7"/>
      <c r="U228" s="7"/>
      <c r="V228" s="7"/>
      <c r="W228" s="359"/>
      <c r="X228" s="159">
        <v>5.6301722968389638E-2</v>
      </c>
    </row>
    <row r="229" spans="1:24" hidden="1" x14ac:dyDescent="0.3">
      <c r="A229" s="7">
        <v>0</v>
      </c>
      <c r="B229" s="7">
        <f t="shared" ref="B229:L229" si="177">A229+B99</f>
        <v>0</v>
      </c>
      <c r="C229" s="7">
        <f t="shared" si="177"/>
        <v>0</v>
      </c>
      <c r="D229" s="7">
        <f t="shared" si="177"/>
        <v>0</v>
      </c>
      <c r="E229" s="7">
        <f t="shared" si="177"/>
        <v>0</v>
      </c>
      <c r="F229" s="7">
        <f t="shared" si="177"/>
        <v>0</v>
      </c>
      <c r="G229" s="7">
        <f t="shared" si="177"/>
        <v>0</v>
      </c>
      <c r="H229" s="7">
        <f t="shared" si="177"/>
        <v>0</v>
      </c>
      <c r="I229" s="7">
        <f t="shared" si="177"/>
        <v>0</v>
      </c>
      <c r="J229" s="7">
        <f t="shared" si="177"/>
        <v>0</v>
      </c>
      <c r="K229" s="7">
        <f t="shared" si="177"/>
        <v>0</v>
      </c>
      <c r="L229" s="7">
        <f t="shared" si="177"/>
        <v>0</v>
      </c>
      <c r="M229" s="13" t="s">
        <v>163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/>
      <c r="T229" s="7"/>
      <c r="U229" s="7"/>
      <c r="V229" s="7"/>
      <c r="W229" s="359"/>
      <c r="X229" s="159">
        <v>0</v>
      </c>
    </row>
    <row r="230" spans="1:24" hidden="1" x14ac:dyDescent="0.3">
      <c r="A230" s="11">
        <v>0</v>
      </c>
      <c r="B230" s="11">
        <f t="shared" ref="B230:L230" si="178">A230+B100</f>
        <v>220.08</v>
      </c>
      <c r="C230" s="11">
        <f t="shared" si="178"/>
        <v>440.16</v>
      </c>
      <c r="D230" s="11">
        <f t="shared" si="178"/>
        <v>660.24</v>
      </c>
      <c r="E230" s="11">
        <f t="shared" si="178"/>
        <v>880.32</v>
      </c>
      <c r="F230" s="11">
        <f t="shared" si="178"/>
        <v>1100.4000000000001</v>
      </c>
      <c r="G230" s="11">
        <f t="shared" si="178"/>
        <v>1320.48</v>
      </c>
      <c r="H230" s="11">
        <f t="shared" si="178"/>
        <v>1540.56</v>
      </c>
      <c r="I230" s="11">
        <f t="shared" si="178"/>
        <v>1760.6399999999999</v>
      </c>
      <c r="J230" s="11">
        <f t="shared" si="178"/>
        <v>1980.7199999999998</v>
      </c>
      <c r="K230" s="11">
        <f t="shared" si="178"/>
        <v>2200.7999999999997</v>
      </c>
      <c r="L230" s="11">
        <f t="shared" si="178"/>
        <v>2420.8799999999997</v>
      </c>
      <c r="M230" s="212" t="s">
        <v>164</v>
      </c>
      <c r="N230" s="211">
        <v>0</v>
      </c>
      <c r="O230" s="211">
        <v>7322</v>
      </c>
      <c r="P230" s="211">
        <v>7322</v>
      </c>
      <c r="Q230" s="211">
        <v>7322</v>
      </c>
      <c r="R230" s="211">
        <v>0</v>
      </c>
      <c r="S230" s="211"/>
      <c r="T230" s="211"/>
      <c r="U230" s="211"/>
      <c r="V230" s="211"/>
      <c r="W230" s="369" t="s">
        <v>277</v>
      </c>
      <c r="X230" s="160">
        <v>0</v>
      </c>
    </row>
    <row r="231" spans="1:24" ht="15" hidden="1" thickBot="1" x14ac:dyDescent="0.35">
      <c r="A231" s="89"/>
      <c r="B231" s="89">
        <f t="shared" ref="B231:L231" si="179">A231+B101</f>
        <v>0</v>
      </c>
      <c r="C231" s="89">
        <f t="shared" si="179"/>
        <v>0</v>
      </c>
      <c r="D231" s="89">
        <f t="shared" si="179"/>
        <v>0</v>
      </c>
      <c r="E231" s="89">
        <f t="shared" si="179"/>
        <v>0</v>
      </c>
      <c r="F231" s="89">
        <f t="shared" si="179"/>
        <v>0</v>
      </c>
      <c r="G231" s="89">
        <f t="shared" si="179"/>
        <v>0</v>
      </c>
      <c r="H231" s="89">
        <f t="shared" si="179"/>
        <v>0</v>
      </c>
      <c r="I231" s="89">
        <f t="shared" si="179"/>
        <v>0</v>
      </c>
      <c r="J231" s="89">
        <f t="shared" si="179"/>
        <v>0</v>
      </c>
      <c r="K231" s="89">
        <f t="shared" si="179"/>
        <v>0</v>
      </c>
      <c r="L231" s="89">
        <f t="shared" si="179"/>
        <v>0</v>
      </c>
      <c r="M231" s="13"/>
      <c r="N231" s="89">
        <v>0</v>
      </c>
      <c r="O231" s="89"/>
      <c r="P231" s="89"/>
      <c r="Q231" s="89">
        <v>0</v>
      </c>
      <c r="R231" s="89"/>
      <c r="S231" s="89"/>
      <c r="T231" s="89"/>
      <c r="U231" s="89"/>
      <c r="V231" s="89"/>
      <c r="W231" s="367"/>
      <c r="X231" s="207"/>
    </row>
    <row r="232" spans="1:24" hidden="1" x14ac:dyDescent="0.3">
      <c r="A232" s="4">
        <v>2600</v>
      </c>
      <c r="B232" s="4">
        <f t="shared" ref="B232:L232" si="180">A232+B102</f>
        <v>6087.5889212393295</v>
      </c>
      <c r="C232" s="4">
        <f t="shared" si="180"/>
        <v>9575.1778424786589</v>
      </c>
      <c r="D232" s="4">
        <f t="shared" si="180"/>
        <v>13062.766763717987</v>
      </c>
      <c r="E232" s="4">
        <f t="shared" si="180"/>
        <v>16550.355684957318</v>
      </c>
      <c r="F232" s="4">
        <f t="shared" si="180"/>
        <v>20037.944606196648</v>
      </c>
      <c r="G232" s="4">
        <f t="shared" si="180"/>
        <v>23525.533527435979</v>
      </c>
      <c r="H232" s="4">
        <f t="shared" si="180"/>
        <v>27013.122448675309</v>
      </c>
      <c r="I232" s="4">
        <f t="shared" si="180"/>
        <v>30500.711369914639</v>
      </c>
      <c r="J232" s="4">
        <f t="shared" si="180"/>
        <v>33988.300291153966</v>
      </c>
      <c r="K232" s="4">
        <f t="shared" si="180"/>
        <v>37475.889212393296</v>
      </c>
      <c r="L232" s="4">
        <f t="shared" si="180"/>
        <v>205447.50110252062</v>
      </c>
      <c r="M232" s="13" t="s">
        <v>166</v>
      </c>
      <c r="N232" s="4">
        <v>107265.9</v>
      </c>
      <c r="O232" s="4">
        <v>94210.282883499996</v>
      </c>
      <c r="P232" s="4">
        <v>201476.18288349998</v>
      </c>
      <c r="Q232" s="4">
        <v>211002.341823</v>
      </c>
      <c r="R232" s="4">
        <v>-0.15893950000599943</v>
      </c>
      <c r="S232" s="4"/>
      <c r="T232" s="4"/>
      <c r="U232" s="4"/>
      <c r="V232" s="4"/>
      <c r="W232" s="365">
        <v>0</v>
      </c>
      <c r="X232" s="162">
        <v>0.50836355214474516</v>
      </c>
    </row>
    <row r="233" spans="1:24" hidden="1" x14ac:dyDescent="0.3">
      <c r="A233" s="81"/>
      <c r="B233" s="81">
        <f t="shared" ref="B233:L233" si="181">A233+B103</f>
        <v>0</v>
      </c>
      <c r="C233" s="81">
        <f t="shared" si="181"/>
        <v>0</v>
      </c>
      <c r="D233" s="81">
        <f t="shared" si="181"/>
        <v>0</v>
      </c>
      <c r="E233" s="81">
        <f t="shared" si="181"/>
        <v>0</v>
      </c>
      <c r="F233" s="81">
        <f t="shared" si="181"/>
        <v>0</v>
      </c>
      <c r="G233" s="81">
        <f t="shared" si="181"/>
        <v>0</v>
      </c>
      <c r="H233" s="81">
        <f t="shared" si="181"/>
        <v>0</v>
      </c>
      <c r="I233" s="81">
        <f t="shared" si="181"/>
        <v>0</v>
      </c>
      <c r="J233" s="81">
        <f t="shared" si="181"/>
        <v>0</v>
      </c>
      <c r="K233" s="81">
        <f t="shared" si="181"/>
        <v>0</v>
      </c>
      <c r="L233" s="81">
        <f t="shared" si="181"/>
        <v>0</v>
      </c>
      <c r="M233" s="80"/>
      <c r="N233" s="81">
        <v>0</v>
      </c>
      <c r="O233" s="81"/>
      <c r="P233" s="81"/>
      <c r="Q233" s="81">
        <v>0</v>
      </c>
      <c r="R233" s="81"/>
      <c r="S233" s="81"/>
      <c r="T233" s="81"/>
      <c r="U233" s="81"/>
      <c r="V233" s="81"/>
      <c r="W233" s="364"/>
      <c r="X233" s="204"/>
    </row>
    <row r="234" spans="1:24" hidden="1" x14ac:dyDescent="0.3">
      <c r="A234" s="8"/>
      <c r="B234" s="8">
        <f t="shared" ref="B234:L234" si="182">A234+B104</f>
        <v>0</v>
      </c>
      <c r="C234" s="8">
        <f t="shared" si="182"/>
        <v>0</v>
      </c>
      <c r="D234" s="8">
        <f t="shared" si="182"/>
        <v>0</v>
      </c>
      <c r="E234" s="8">
        <f t="shared" si="182"/>
        <v>0</v>
      </c>
      <c r="F234" s="8">
        <f t="shared" si="182"/>
        <v>0</v>
      </c>
      <c r="G234" s="8">
        <f t="shared" si="182"/>
        <v>0</v>
      </c>
      <c r="H234" s="8">
        <f t="shared" si="182"/>
        <v>0</v>
      </c>
      <c r="I234" s="8">
        <f t="shared" si="182"/>
        <v>0</v>
      </c>
      <c r="J234" s="8">
        <f t="shared" si="182"/>
        <v>0</v>
      </c>
      <c r="K234" s="8">
        <f t="shared" si="182"/>
        <v>0</v>
      </c>
      <c r="L234" s="8">
        <f t="shared" si="182"/>
        <v>2096</v>
      </c>
      <c r="M234" s="187" t="s">
        <v>167</v>
      </c>
      <c r="N234" s="8">
        <v>0</v>
      </c>
      <c r="O234" s="8">
        <v>2000</v>
      </c>
      <c r="P234" s="8">
        <v>2000</v>
      </c>
      <c r="Q234" s="8">
        <v>2000</v>
      </c>
      <c r="R234" s="8">
        <v>0</v>
      </c>
      <c r="S234" s="8"/>
      <c r="T234" s="8"/>
      <c r="U234" s="8"/>
      <c r="V234" s="8"/>
      <c r="W234" s="362"/>
      <c r="X234" s="158">
        <v>0</v>
      </c>
    </row>
    <row r="235" spans="1:24" hidden="1" x14ac:dyDescent="0.3">
      <c r="A235" s="7">
        <v>0</v>
      </c>
      <c r="B235" s="7">
        <f t="shared" ref="B235:L235" si="183">A235+B105</f>
        <v>0</v>
      </c>
      <c r="C235" s="7">
        <f t="shared" si="183"/>
        <v>0</v>
      </c>
      <c r="D235" s="7">
        <f t="shared" si="183"/>
        <v>0</v>
      </c>
      <c r="E235" s="7">
        <f t="shared" si="183"/>
        <v>0</v>
      </c>
      <c r="F235" s="7">
        <f t="shared" si="183"/>
        <v>0</v>
      </c>
      <c r="G235" s="7">
        <f t="shared" si="183"/>
        <v>0</v>
      </c>
      <c r="H235" s="7">
        <f t="shared" si="183"/>
        <v>0</v>
      </c>
      <c r="I235" s="7">
        <f t="shared" si="183"/>
        <v>0</v>
      </c>
      <c r="J235" s="7">
        <f t="shared" si="183"/>
        <v>0</v>
      </c>
      <c r="K235" s="7">
        <f t="shared" si="183"/>
        <v>0</v>
      </c>
      <c r="L235" s="7">
        <f t="shared" si="183"/>
        <v>0</v>
      </c>
      <c r="M235" s="13" t="s">
        <v>168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/>
      <c r="T235" s="7"/>
      <c r="U235" s="7"/>
      <c r="V235" s="7"/>
      <c r="W235" s="359"/>
      <c r="X235" s="159">
        <v>0</v>
      </c>
    </row>
    <row r="236" spans="1:24" hidden="1" x14ac:dyDescent="0.3">
      <c r="A236" s="11">
        <v>0</v>
      </c>
      <c r="B236" s="11">
        <f t="shared" ref="B236:L236" si="184">A236+B106</f>
        <v>0</v>
      </c>
      <c r="C236" s="11">
        <f t="shared" si="184"/>
        <v>0</v>
      </c>
      <c r="D236" s="11">
        <f t="shared" si="184"/>
        <v>0</v>
      </c>
      <c r="E236" s="11">
        <f t="shared" si="184"/>
        <v>0</v>
      </c>
      <c r="F236" s="11">
        <f t="shared" si="184"/>
        <v>0</v>
      </c>
      <c r="G236" s="11">
        <f t="shared" si="184"/>
        <v>0</v>
      </c>
      <c r="H236" s="11">
        <f t="shared" si="184"/>
        <v>0</v>
      </c>
      <c r="I236" s="11">
        <f t="shared" si="184"/>
        <v>0</v>
      </c>
      <c r="J236" s="11">
        <f t="shared" si="184"/>
        <v>0</v>
      </c>
      <c r="K236" s="11">
        <f t="shared" si="184"/>
        <v>0</v>
      </c>
      <c r="L236" s="11">
        <f t="shared" si="184"/>
        <v>0</v>
      </c>
      <c r="M236" s="13" t="s">
        <v>169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/>
      <c r="T236" s="11"/>
      <c r="U236" s="11"/>
      <c r="V236" s="11"/>
      <c r="W236" s="363"/>
      <c r="X236" s="160">
        <v>0</v>
      </c>
    </row>
    <row r="237" spans="1:24" ht="15" hidden="1" thickBot="1" x14ac:dyDescent="0.35">
      <c r="A237" s="89"/>
      <c r="B237" s="89">
        <f t="shared" ref="B237:L237" si="185">A237+B107</f>
        <v>0</v>
      </c>
      <c r="C237" s="89">
        <f t="shared" si="185"/>
        <v>0</v>
      </c>
      <c r="D237" s="89">
        <f t="shared" si="185"/>
        <v>0</v>
      </c>
      <c r="E237" s="89">
        <f t="shared" si="185"/>
        <v>0</v>
      </c>
      <c r="F237" s="89">
        <f t="shared" si="185"/>
        <v>0</v>
      </c>
      <c r="G237" s="89">
        <f t="shared" si="185"/>
        <v>0</v>
      </c>
      <c r="H237" s="89">
        <f t="shared" si="185"/>
        <v>0</v>
      </c>
      <c r="I237" s="89">
        <f t="shared" si="185"/>
        <v>0</v>
      </c>
      <c r="J237" s="89">
        <f t="shared" si="185"/>
        <v>0</v>
      </c>
      <c r="K237" s="89">
        <f t="shared" si="185"/>
        <v>0</v>
      </c>
      <c r="L237" s="89">
        <f t="shared" si="185"/>
        <v>0</v>
      </c>
      <c r="M237" s="13"/>
      <c r="N237" s="89">
        <v>0</v>
      </c>
      <c r="O237" s="89"/>
      <c r="P237" s="89"/>
      <c r="Q237" s="89">
        <v>0</v>
      </c>
      <c r="R237" s="89"/>
      <c r="S237" s="89"/>
      <c r="T237" s="89"/>
      <c r="U237" s="89"/>
      <c r="V237" s="89"/>
      <c r="W237" s="367"/>
      <c r="X237" s="207">
        <v>0</v>
      </c>
    </row>
    <row r="238" spans="1:24" hidden="1" x14ac:dyDescent="0.3">
      <c r="A238" s="4">
        <v>0</v>
      </c>
      <c r="B238" s="4">
        <f t="shared" ref="B238:L238" si="186">A238+B108</f>
        <v>0</v>
      </c>
      <c r="C238" s="4">
        <f t="shared" si="186"/>
        <v>0</v>
      </c>
      <c r="D238" s="4">
        <f t="shared" si="186"/>
        <v>0</v>
      </c>
      <c r="E238" s="4">
        <f t="shared" si="186"/>
        <v>0</v>
      </c>
      <c r="F238" s="4">
        <f t="shared" si="186"/>
        <v>0</v>
      </c>
      <c r="G238" s="4">
        <f t="shared" si="186"/>
        <v>0</v>
      </c>
      <c r="H238" s="4">
        <f t="shared" si="186"/>
        <v>0</v>
      </c>
      <c r="I238" s="4">
        <f t="shared" si="186"/>
        <v>0</v>
      </c>
      <c r="J238" s="4">
        <f t="shared" si="186"/>
        <v>0</v>
      </c>
      <c r="K238" s="4">
        <f t="shared" si="186"/>
        <v>0</v>
      </c>
      <c r="L238" s="4">
        <f t="shared" si="186"/>
        <v>2096</v>
      </c>
      <c r="M238" s="13" t="s">
        <v>170</v>
      </c>
      <c r="N238" s="4">
        <v>0</v>
      </c>
      <c r="O238" s="4">
        <v>2000</v>
      </c>
      <c r="P238" s="4">
        <v>2000</v>
      </c>
      <c r="Q238" s="4">
        <v>2000</v>
      </c>
      <c r="R238" s="4">
        <v>0</v>
      </c>
      <c r="S238" s="4"/>
      <c r="T238" s="4"/>
      <c r="U238" s="4"/>
      <c r="V238" s="4"/>
      <c r="W238" s="365">
        <v>0</v>
      </c>
      <c r="X238" s="162">
        <v>0</v>
      </c>
    </row>
    <row r="239" spans="1:24" hidden="1" x14ac:dyDescent="0.3">
      <c r="A239" s="81"/>
      <c r="B239" s="81">
        <f t="shared" ref="B239:L239" si="187">A239+B109</f>
        <v>0</v>
      </c>
      <c r="C239" s="81">
        <f t="shared" si="187"/>
        <v>0</v>
      </c>
      <c r="D239" s="81">
        <f t="shared" si="187"/>
        <v>0</v>
      </c>
      <c r="E239" s="81">
        <f t="shared" si="187"/>
        <v>0</v>
      </c>
      <c r="F239" s="81">
        <f t="shared" si="187"/>
        <v>0</v>
      </c>
      <c r="G239" s="81">
        <f t="shared" si="187"/>
        <v>0</v>
      </c>
      <c r="H239" s="81">
        <f t="shared" si="187"/>
        <v>0</v>
      </c>
      <c r="I239" s="81">
        <f t="shared" si="187"/>
        <v>0</v>
      </c>
      <c r="J239" s="81">
        <f t="shared" si="187"/>
        <v>0</v>
      </c>
      <c r="K239" s="81">
        <f t="shared" si="187"/>
        <v>0</v>
      </c>
      <c r="L239" s="81">
        <f t="shared" si="187"/>
        <v>0</v>
      </c>
      <c r="M239" s="80"/>
      <c r="N239" s="81">
        <v>0</v>
      </c>
      <c r="O239" s="81"/>
      <c r="P239" s="81"/>
      <c r="Q239" s="81">
        <v>0</v>
      </c>
      <c r="R239" s="81"/>
      <c r="S239" s="81"/>
      <c r="T239" s="81"/>
      <c r="U239" s="81"/>
      <c r="V239" s="81"/>
      <c r="W239" s="364"/>
      <c r="X239" s="204"/>
    </row>
    <row r="240" spans="1:24" hidden="1" x14ac:dyDescent="0.3">
      <c r="A240" s="4">
        <v>5400.9400000000005</v>
      </c>
      <c r="B240" s="4">
        <f t="shared" ref="B240:L240" si="188">A240+B110</f>
        <v>18985.298342706003</v>
      </c>
      <c r="C240" s="4">
        <f t="shared" si="188"/>
        <v>32569.656685412003</v>
      </c>
      <c r="D240" s="4">
        <f t="shared" si="188"/>
        <v>46154.015028118003</v>
      </c>
      <c r="E240" s="4">
        <f t="shared" si="188"/>
        <v>61821.797370824002</v>
      </c>
      <c r="F240" s="4">
        <f t="shared" si="188"/>
        <v>75518.291713529994</v>
      </c>
      <c r="G240" s="4">
        <f t="shared" si="188"/>
        <v>89102.650056235987</v>
      </c>
      <c r="H240" s="4">
        <f t="shared" si="188"/>
        <v>102687.00839894198</v>
      </c>
      <c r="I240" s="4">
        <f t="shared" si="188"/>
        <v>116271.36674164797</v>
      </c>
      <c r="J240" s="4">
        <f t="shared" si="188"/>
        <v>129855.72508435397</v>
      </c>
      <c r="K240" s="4">
        <f t="shared" si="188"/>
        <v>143440.08342705996</v>
      </c>
      <c r="L240" s="4">
        <f t="shared" si="188"/>
        <v>334598.36492122861</v>
      </c>
      <c r="M240" s="187" t="s">
        <v>171</v>
      </c>
      <c r="N240" s="4">
        <v>173510.8057142857</v>
      </c>
      <c r="O240" s="4">
        <v>164603.41663350002</v>
      </c>
      <c r="P240" s="4">
        <v>338114.22234778572</v>
      </c>
      <c r="Q240" s="4">
        <v>332811.98340892</v>
      </c>
      <c r="R240" s="4">
        <v>251.23893886570568</v>
      </c>
      <c r="S240" s="4"/>
      <c r="T240" s="4"/>
      <c r="U240" s="4"/>
      <c r="V240" s="4"/>
      <c r="W240" s="365">
        <v>0</v>
      </c>
      <c r="X240" s="162">
        <v>0.52134783109986804</v>
      </c>
    </row>
    <row r="241" spans="1:24" hidden="1" x14ac:dyDescent="0.3">
      <c r="A241" s="81"/>
      <c r="B241" s="81">
        <f t="shared" ref="B241:L241" si="189">A241+B111</f>
        <v>0</v>
      </c>
      <c r="C241" s="81">
        <f t="shared" si="189"/>
        <v>0</v>
      </c>
      <c r="D241" s="81">
        <f t="shared" si="189"/>
        <v>0</v>
      </c>
      <c r="E241" s="81">
        <f t="shared" si="189"/>
        <v>0</v>
      </c>
      <c r="F241" s="81">
        <f t="shared" si="189"/>
        <v>0</v>
      </c>
      <c r="G241" s="81">
        <f t="shared" si="189"/>
        <v>0</v>
      </c>
      <c r="H241" s="81">
        <f t="shared" si="189"/>
        <v>0</v>
      </c>
      <c r="I241" s="81">
        <f t="shared" si="189"/>
        <v>0</v>
      </c>
      <c r="J241" s="81">
        <f t="shared" si="189"/>
        <v>0</v>
      </c>
      <c r="K241" s="81">
        <f t="shared" si="189"/>
        <v>0</v>
      </c>
      <c r="L241" s="81">
        <f t="shared" si="189"/>
        <v>0</v>
      </c>
      <c r="M241" s="122"/>
      <c r="N241" s="81">
        <v>0</v>
      </c>
      <c r="O241" s="81"/>
      <c r="P241" s="81"/>
      <c r="Q241" s="81">
        <v>0</v>
      </c>
      <c r="R241" s="81"/>
      <c r="S241" s="81"/>
      <c r="T241" s="81"/>
      <c r="U241" s="81"/>
      <c r="V241" s="81"/>
      <c r="W241" s="364"/>
      <c r="X241" s="204">
        <v>0</v>
      </c>
    </row>
    <row r="242" spans="1:24" hidden="1" x14ac:dyDescent="0.3">
      <c r="A242" s="4">
        <v>626189.31999999995</v>
      </c>
      <c r="B242" s="4">
        <f t="shared" ref="B242:L242" si="190">A242+B112</f>
        <v>1386289.2289827061</v>
      </c>
      <c r="C242" s="4">
        <f t="shared" si="190"/>
        <v>2159070.0846854122</v>
      </c>
      <c r="D242" s="4">
        <f t="shared" si="190"/>
        <v>2932069.6055881181</v>
      </c>
      <c r="E242" s="4">
        <f t="shared" si="190"/>
        <v>3702342.5134508242</v>
      </c>
      <c r="F242" s="4">
        <f t="shared" si="190"/>
        <v>4467255.2471535299</v>
      </c>
      <c r="G242" s="4">
        <f t="shared" si="190"/>
        <v>5231399.954056236</v>
      </c>
      <c r="H242" s="4">
        <f t="shared" si="190"/>
        <v>6409502.7639989424</v>
      </c>
      <c r="I242" s="4">
        <f t="shared" si="190"/>
        <v>7185399.2293816488</v>
      </c>
      <c r="J242" s="4">
        <f t="shared" si="190"/>
        <v>7965231.1548443548</v>
      </c>
      <c r="K242" s="4">
        <f t="shared" si="190"/>
        <v>8745062.3047870602</v>
      </c>
      <c r="L242" s="4">
        <f t="shared" si="190"/>
        <v>9558518.5938812289</v>
      </c>
      <c r="M242" s="13" t="s">
        <v>172</v>
      </c>
      <c r="N242" s="4">
        <v>2778215.6557142856</v>
      </c>
      <c r="O242" s="4">
        <v>4067125.3166334992</v>
      </c>
      <c r="P242" s="4">
        <v>8941495.7323477827</v>
      </c>
      <c r="Q242" s="4">
        <v>8940791.3599765208</v>
      </c>
      <c r="R242" s="4">
        <v>704.37237126438868</v>
      </c>
      <c r="S242" s="4"/>
      <c r="T242" s="4"/>
      <c r="U242" s="4"/>
      <c r="V242" s="4"/>
      <c r="W242" s="365">
        <v>0</v>
      </c>
      <c r="X242" s="162">
        <v>0.31073487165252239</v>
      </c>
    </row>
    <row r="243" spans="1:24" hidden="1" x14ac:dyDescent="0.3">
      <c r="A243" s="81"/>
      <c r="B243" s="81">
        <f t="shared" ref="B243:L243" si="191">A243+B113</f>
        <v>0</v>
      </c>
      <c r="C243" s="81">
        <f t="shared" si="191"/>
        <v>0</v>
      </c>
      <c r="D243" s="81">
        <f t="shared" si="191"/>
        <v>0</v>
      </c>
      <c r="E243" s="81">
        <f t="shared" si="191"/>
        <v>0</v>
      </c>
      <c r="F243" s="81">
        <f t="shared" si="191"/>
        <v>0</v>
      </c>
      <c r="G243" s="81">
        <f t="shared" si="191"/>
        <v>0</v>
      </c>
      <c r="H243" s="81">
        <f t="shared" si="191"/>
        <v>0</v>
      </c>
      <c r="I243" s="81">
        <f t="shared" si="191"/>
        <v>0</v>
      </c>
      <c r="J243" s="81">
        <f t="shared" si="191"/>
        <v>0</v>
      </c>
      <c r="K243" s="81">
        <f t="shared" si="191"/>
        <v>0</v>
      </c>
      <c r="L243" s="81">
        <f t="shared" si="191"/>
        <v>0</v>
      </c>
      <c r="M243" s="122"/>
      <c r="N243" s="81">
        <v>0</v>
      </c>
      <c r="O243" s="81"/>
      <c r="P243" s="81"/>
      <c r="Q243" s="81">
        <v>0</v>
      </c>
      <c r="R243" s="81"/>
      <c r="S243" s="81"/>
      <c r="T243" s="81"/>
      <c r="U243" s="81"/>
      <c r="V243" s="81"/>
      <c r="W243" s="364"/>
      <c r="X243" s="204">
        <v>0</v>
      </c>
    </row>
    <row r="244" spans="1:24" hidden="1" x14ac:dyDescent="0.3">
      <c r="A244" s="8">
        <v>0</v>
      </c>
      <c r="B244" s="8">
        <f t="shared" ref="B244:L244" si="192">A244+B114</f>
        <v>0</v>
      </c>
      <c r="C244" s="8">
        <f t="shared" si="192"/>
        <v>0</v>
      </c>
      <c r="D244" s="8">
        <f t="shared" si="192"/>
        <v>0</v>
      </c>
      <c r="E244" s="8">
        <f t="shared" si="192"/>
        <v>0</v>
      </c>
      <c r="F244" s="8">
        <f t="shared" si="192"/>
        <v>0</v>
      </c>
      <c r="G244" s="8">
        <f t="shared" si="192"/>
        <v>0</v>
      </c>
      <c r="H244" s="8">
        <f>G244+H114</f>
        <v>0</v>
      </c>
      <c r="I244" s="8">
        <f t="shared" si="192"/>
        <v>0</v>
      </c>
      <c r="J244" s="8">
        <f t="shared" si="192"/>
        <v>0</v>
      </c>
      <c r="K244" s="8">
        <f t="shared" si="192"/>
        <v>0</v>
      </c>
      <c r="L244" s="8">
        <f t="shared" si="192"/>
        <v>50450.720000000001</v>
      </c>
      <c r="M244" s="187" t="s">
        <v>173</v>
      </c>
      <c r="N244" s="8">
        <v>37729.410000000003</v>
      </c>
      <c r="O244" s="8">
        <v>0</v>
      </c>
      <c r="P244" s="8">
        <v>37729.410000000003</v>
      </c>
      <c r="Q244" s="8">
        <v>37729</v>
      </c>
      <c r="R244" s="8">
        <v>0.41000000000349246</v>
      </c>
      <c r="S244" s="8"/>
      <c r="T244" s="8"/>
      <c r="U244" s="8"/>
      <c r="V244" s="8"/>
      <c r="W244" s="362"/>
      <c r="X244" s="158">
        <v>1.0000108669723555</v>
      </c>
    </row>
    <row r="245" spans="1:24" hidden="1" x14ac:dyDescent="0.3">
      <c r="A245" s="7">
        <v>0</v>
      </c>
      <c r="B245" s="7">
        <f t="shared" ref="B245:L245" si="193">A245+B115</f>
        <v>0</v>
      </c>
      <c r="C245" s="7">
        <f t="shared" si="193"/>
        <v>0</v>
      </c>
      <c r="D245" s="7">
        <f t="shared" si="193"/>
        <v>0</v>
      </c>
      <c r="E245" s="7">
        <f t="shared" si="193"/>
        <v>0</v>
      </c>
      <c r="F245" s="7">
        <f t="shared" si="193"/>
        <v>0</v>
      </c>
      <c r="G245" s="7">
        <f t="shared" si="193"/>
        <v>0</v>
      </c>
      <c r="H245" s="7">
        <f t="shared" si="193"/>
        <v>0</v>
      </c>
      <c r="I245" s="7">
        <f t="shared" si="193"/>
        <v>0</v>
      </c>
      <c r="J245" s="7">
        <f t="shared" si="193"/>
        <v>0</v>
      </c>
      <c r="K245" s="7">
        <f t="shared" si="193"/>
        <v>0</v>
      </c>
      <c r="L245" s="7">
        <f t="shared" si="193"/>
        <v>0</v>
      </c>
      <c r="M245" s="13" t="s">
        <v>174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/>
      <c r="T245" s="7"/>
      <c r="U245" s="7"/>
      <c r="V245" s="7"/>
      <c r="W245" s="359"/>
      <c r="X245" s="159">
        <v>0</v>
      </c>
    </row>
    <row r="246" spans="1:24" hidden="1" x14ac:dyDescent="0.3">
      <c r="A246" s="7">
        <v>0</v>
      </c>
      <c r="B246" s="7">
        <f t="shared" ref="B246:L246" si="194">A246+B116</f>
        <v>0</v>
      </c>
      <c r="C246" s="7">
        <f t="shared" si="194"/>
        <v>0</v>
      </c>
      <c r="D246" s="7">
        <f t="shared" si="194"/>
        <v>0</v>
      </c>
      <c r="E246" s="7">
        <f t="shared" si="194"/>
        <v>0</v>
      </c>
      <c r="F246" s="7">
        <f t="shared" si="194"/>
        <v>0</v>
      </c>
      <c r="G246" s="7">
        <f t="shared" si="194"/>
        <v>0</v>
      </c>
      <c r="H246" s="7">
        <f t="shared" si="194"/>
        <v>0</v>
      </c>
      <c r="I246" s="7">
        <f t="shared" si="194"/>
        <v>0</v>
      </c>
      <c r="J246" s="7">
        <f t="shared" si="194"/>
        <v>0</v>
      </c>
      <c r="K246" s="7">
        <f t="shared" si="194"/>
        <v>0</v>
      </c>
      <c r="L246" s="7">
        <f t="shared" si="194"/>
        <v>0</v>
      </c>
      <c r="M246" s="13" t="s">
        <v>175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/>
      <c r="T246" s="7"/>
      <c r="U246" s="7"/>
      <c r="V246" s="7"/>
      <c r="W246" s="359"/>
      <c r="X246" s="159">
        <v>0</v>
      </c>
    </row>
    <row r="247" spans="1:24" hidden="1" x14ac:dyDescent="0.3">
      <c r="A247" s="7">
        <v>0</v>
      </c>
      <c r="B247" s="7">
        <f t="shared" ref="B247:L247" si="195">A247+B117</f>
        <v>0</v>
      </c>
      <c r="C247" s="7">
        <f t="shared" si="195"/>
        <v>0</v>
      </c>
      <c r="D247" s="7">
        <f t="shared" si="195"/>
        <v>0</v>
      </c>
      <c r="E247" s="7">
        <f t="shared" si="195"/>
        <v>0</v>
      </c>
      <c r="F247" s="7">
        <f t="shared" si="195"/>
        <v>0</v>
      </c>
      <c r="G247" s="7">
        <f t="shared" si="195"/>
        <v>0</v>
      </c>
      <c r="H247" s="7">
        <f t="shared" si="195"/>
        <v>0</v>
      </c>
      <c r="I247" s="7">
        <f t="shared" si="195"/>
        <v>0</v>
      </c>
      <c r="J247" s="7">
        <f t="shared" si="195"/>
        <v>0</v>
      </c>
      <c r="K247" s="7">
        <f t="shared" si="195"/>
        <v>0</v>
      </c>
      <c r="L247" s="7">
        <f t="shared" si="195"/>
        <v>0</v>
      </c>
      <c r="M247" s="187" t="s">
        <v>176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/>
      <c r="T247" s="7"/>
      <c r="U247" s="7"/>
      <c r="V247" s="7"/>
      <c r="W247" s="359"/>
      <c r="X247" s="159">
        <v>0</v>
      </c>
    </row>
    <row r="248" spans="1:24" hidden="1" x14ac:dyDescent="0.3">
      <c r="A248" s="7">
        <v>0</v>
      </c>
      <c r="B248" s="7">
        <f t="shared" ref="B248:L248" si="196">A248+B118</f>
        <v>0</v>
      </c>
      <c r="C248" s="7">
        <f t="shared" si="196"/>
        <v>0</v>
      </c>
      <c r="D248" s="7">
        <f t="shared" si="196"/>
        <v>0</v>
      </c>
      <c r="E248" s="7">
        <f t="shared" si="196"/>
        <v>0</v>
      </c>
      <c r="F248" s="7">
        <f t="shared" si="196"/>
        <v>0</v>
      </c>
      <c r="G248" s="7">
        <f t="shared" si="196"/>
        <v>0</v>
      </c>
      <c r="H248" s="7">
        <f t="shared" si="196"/>
        <v>0</v>
      </c>
      <c r="I248" s="7">
        <f t="shared" si="196"/>
        <v>0</v>
      </c>
      <c r="J248" s="7">
        <f t="shared" si="196"/>
        <v>0</v>
      </c>
      <c r="K248" s="7">
        <f t="shared" si="196"/>
        <v>0</v>
      </c>
      <c r="L248" s="7">
        <f t="shared" si="196"/>
        <v>0</v>
      </c>
      <c r="M248" s="13" t="s">
        <v>177</v>
      </c>
      <c r="N248" s="7">
        <v>0</v>
      </c>
      <c r="O248" s="7">
        <v>45804</v>
      </c>
      <c r="P248" s="7">
        <v>45804</v>
      </c>
      <c r="Q248" s="7">
        <v>45804</v>
      </c>
      <c r="R248" s="7">
        <v>0</v>
      </c>
      <c r="S248" s="7"/>
      <c r="T248" s="7"/>
      <c r="U248" s="7"/>
      <c r="V248" s="7"/>
      <c r="W248" s="359"/>
      <c r="X248" s="159">
        <v>0</v>
      </c>
    </row>
    <row r="249" spans="1:24" hidden="1" x14ac:dyDescent="0.3">
      <c r="A249" s="7"/>
      <c r="B249" s="7">
        <f t="shared" ref="B249:L249" si="197">A249+B119</f>
        <v>0</v>
      </c>
      <c r="C249" s="7">
        <f t="shared" si="197"/>
        <v>0</v>
      </c>
      <c r="D249" s="7">
        <f t="shared" si="197"/>
        <v>0</v>
      </c>
      <c r="E249" s="7">
        <f t="shared" si="197"/>
        <v>0</v>
      </c>
      <c r="F249" s="7">
        <f t="shared" si="197"/>
        <v>0</v>
      </c>
      <c r="G249" s="7">
        <f t="shared" si="197"/>
        <v>0</v>
      </c>
      <c r="H249" s="7">
        <f t="shared" si="197"/>
        <v>0</v>
      </c>
      <c r="I249" s="7">
        <f t="shared" si="197"/>
        <v>0</v>
      </c>
      <c r="J249" s="7">
        <f t="shared" si="197"/>
        <v>0</v>
      </c>
      <c r="K249" s="7">
        <f t="shared" si="197"/>
        <v>0</v>
      </c>
      <c r="L249" s="7">
        <f t="shared" si="197"/>
        <v>0</v>
      </c>
      <c r="M249" s="13" t="s">
        <v>178</v>
      </c>
      <c r="N249" s="7">
        <v>0</v>
      </c>
      <c r="O249" s="7">
        <v>61271</v>
      </c>
      <c r="P249" s="7">
        <v>61271</v>
      </c>
      <c r="Q249" s="7">
        <v>61271</v>
      </c>
      <c r="R249" s="7">
        <v>0</v>
      </c>
      <c r="S249" s="7"/>
      <c r="T249" s="7"/>
      <c r="U249" s="7"/>
      <c r="V249" s="7"/>
      <c r="W249" s="370" t="s">
        <v>278</v>
      </c>
      <c r="X249" s="159">
        <v>0</v>
      </c>
    </row>
    <row r="250" spans="1:24" hidden="1" x14ac:dyDescent="0.3">
      <c r="A250" s="7">
        <v>0</v>
      </c>
      <c r="B250" s="7">
        <f t="shared" ref="B250:L250" si="198">A250+B120</f>
        <v>0</v>
      </c>
      <c r="C250" s="7">
        <f t="shared" si="198"/>
        <v>0</v>
      </c>
      <c r="D250" s="7">
        <f t="shared" si="198"/>
        <v>0</v>
      </c>
      <c r="E250" s="7">
        <f t="shared" si="198"/>
        <v>0</v>
      </c>
      <c r="F250" s="7">
        <f t="shared" si="198"/>
        <v>0</v>
      </c>
      <c r="G250" s="7">
        <f t="shared" si="198"/>
        <v>0</v>
      </c>
      <c r="H250" s="7">
        <f t="shared" si="198"/>
        <v>0</v>
      </c>
      <c r="I250" s="7">
        <f t="shared" si="198"/>
        <v>0</v>
      </c>
      <c r="J250" s="7">
        <f t="shared" si="198"/>
        <v>0</v>
      </c>
      <c r="K250" s="7">
        <f t="shared" si="198"/>
        <v>0</v>
      </c>
      <c r="L250" s="7">
        <f t="shared" si="198"/>
        <v>0</v>
      </c>
      <c r="M250" s="187" t="s">
        <v>179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/>
      <c r="T250" s="7"/>
      <c r="U250" s="7"/>
      <c r="V250" s="7"/>
      <c r="W250" s="359"/>
      <c r="X250" s="159">
        <v>0</v>
      </c>
    </row>
    <row r="251" spans="1:24" hidden="1" x14ac:dyDescent="0.3">
      <c r="A251" s="7">
        <v>0</v>
      </c>
      <c r="B251" s="7">
        <f t="shared" ref="B251:L251" si="199">A251+B121</f>
        <v>0</v>
      </c>
      <c r="C251" s="7">
        <f t="shared" si="199"/>
        <v>0</v>
      </c>
      <c r="D251" s="7">
        <f t="shared" si="199"/>
        <v>0</v>
      </c>
      <c r="E251" s="7">
        <f t="shared" si="199"/>
        <v>0</v>
      </c>
      <c r="F251" s="7">
        <f t="shared" si="199"/>
        <v>0</v>
      </c>
      <c r="G251" s="7">
        <f t="shared" si="199"/>
        <v>0</v>
      </c>
      <c r="H251" s="7">
        <f t="shared" si="199"/>
        <v>0</v>
      </c>
      <c r="I251" s="7">
        <f t="shared" si="199"/>
        <v>0</v>
      </c>
      <c r="J251" s="7">
        <f t="shared" si="199"/>
        <v>0</v>
      </c>
      <c r="K251" s="7">
        <f t="shared" si="199"/>
        <v>0</v>
      </c>
      <c r="L251" s="7">
        <f t="shared" si="199"/>
        <v>0</v>
      </c>
      <c r="M251" s="13" t="s">
        <v>180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/>
      <c r="T251" s="7"/>
      <c r="U251" s="7"/>
      <c r="V251" s="7"/>
      <c r="W251" s="359"/>
      <c r="X251" s="159">
        <v>0</v>
      </c>
    </row>
    <row r="252" spans="1:24" hidden="1" x14ac:dyDescent="0.3">
      <c r="A252" s="7">
        <v>0</v>
      </c>
      <c r="B252" s="7">
        <f t="shared" ref="B252:L252" si="200">A252+B122</f>
        <v>0</v>
      </c>
      <c r="C252" s="7">
        <f t="shared" si="200"/>
        <v>0</v>
      </c>
      <c r="D252" s="7">
        <f t="shared" si="200"/>
        <v>0</v>
      </c>
      <c r="E252" s="7">
        <f t="shared" si="200"/>
        <v>0</v>
      </c>
      <c r="F252" s="7">
        <f t="shared" si="200"/>
        <v>0</v>
      </c>
      <c r="G252" s="7">
        <f t="shared" si="200"/>
        <v>0</v>
      </c>
      <c r="H252" s="7">
        <f t="shared" si="200"/>
        <v>0</v>
      </c>
      <c r="I252" s="7">
        <f t="shared" si="200"/>
        <v>0</v>
      </c>
      <c r="J252" s="7">
        <f t="shared" si="200"/>
        <v>0</v>
      </c>
      <c r="K252" s="7">
        <f t="shared" si="200"/>
        <v>0</v>
      </c>
      <c r="L252" s="7">
        <f t="shared" si="200"/>
        <v>0</v>
      </c>
      <c r="M252" s="13" t="s">
        <v>181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/>
      <c r="T252" s="7"/>
      <c r="U252" s="7"/>
      <c r="V252" s="7"/>
      <c r="W252" s="359"/>
      <c r="X252" s="159">
        <v>0</v>
      </c>
    </row>
    <row r="253" spans="1:24" hidden="1" x14ac:dyDescent="0.3">
      <c r="A253" s="7">
        <v>0</v>
      </c>
      <c r="B253" s="7">
        <f t="shared" ref="B253:L253" si="201">A253+B123</f>
        <v>0</v>
      </c>
      <c r="C253" s="7">
        <f t="shared" si="201"/>
        <v>0</v>
      </c>
      <c r="D253" s="7">
        <f t="shared" si="201"/>
        <v>0</v>
      </c>
      <c r="E253" s="7">
        <f t="shared" si="201"/>
        <v>0</v>
      </c>
      <c r="F253" s="7">
        <f t="shared" si="201"/>
        <v>0</v>
      </c>
      <c r="G253" s="7">
        <f t="shared" si="201"/>
        <v>0</v>
      </c>
      <c r="H253" s="7">
        <f t="shared" si="201"/>
        <v>0</v>
      </c>
      <c r="I253" s="7">
        <f t="shared" si="201"/>
        <v>0</v>
      </c>
      <c r="J253" s="7">
        <f t="shared" si="201"/>
        <v>0</v>
      </c>
      <c r="K253" s="7">
        <f t="shared" si="201"/>
        <v>0</v>
      </c>
      <c r="L253" s="7">
        <f t="shared" si="201"/>
        <v>0</v>
      </c>
      <c r="M253" s="187" t="s">
        <v>182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/>
      <c r="T253" s="7"/>
      <c r="U253" s="7"/>
      <c r="V253" s="7"/>
      <c r="W253" s="359"/>
      <c r="X253" s="159">
        <v>0</v>
      </c>
    </row>
    <row r="254" spans="1:24" hidden="1" x14ac:dyDescent="0.3">
      <c r="A254" s="7">
        <v>0</v>
      </c>
      <c r="B254" s="7">
        <f t="shared" ref="B254:L254" si="202">A254+B124</f>
        <v>0</v>
      </c>
      <c r="C254" s="7">
        <f t="shared" si="202"/>
        <v>0</v>
      </c>
      <c r="D254" s="7">
        <f t="shared" si="202"/>
        <v>0</v>
      </c>
      <c r="E254" s="7">
        <f t="shared" si="202"/>
        <v>0</v>
      </c>
      <c r="F254" s="7">
        <f t="shared" si="202"/>
        <v>0</v>
      </c>
      <c r="G254" s="7">
        <f t="shared" si="202"/>
        <v>0</v>
      </c>
      <c r="H254" s="7">
        <f t="shared" si="202"/>
        <v>0</v>
      </c>
      <c r="I254" s="7">
        <f t="shared" si="202"/>
        <v>0</v>
      </c>
      <c r="J254" s="7">
        <f t="shared" si="202"/>
        <v>0</v>
      </c>
      <c r="K254" s="7">
        <f t="shared" si="202"/>
        <v>0</v>
      </c>
      <c r="L254" s="7">
        <f t="shared" si="202"/>
        <v>0</v>
      </c>
      <c r="M254" s="13" t="s">
        <v>183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/>
      <c r="T254" s="7"/>
      <c r="U254" s="7"/>
      <c r="V254" s="7"/>
      <c r="W254" s="359"/>
      <c r="X254" s="159">
        <v>0</v>
      </c>
    </row>
    <row r="255" spans="1:24" hidden="1" x14ac:dyDescent="0.3">
      <c r="A255" s="11">
        <v>0</v>
      </c>
      <c r="B255" s="11">
        <f t="shared" ref="B255:L255" si="203">A255+B125</f>
        <v>0</v>
      </c>
      <c r="C255" s="11">
        <f t="shared" si="203"/>
        <v>0</v>
      </c>
      <c r="D255" s="11">
        <f t="shared" si="203"/>
        <v>0</v>
      </c>
      <c r="E255" s="11">
        <f t="shared" si="203"/>
        <v>0</v>
      </c>
      <c r="F255" s="11">
        <f t="shared" si="203"/>
        <v>0</v>
      </c>
      <c r="G255" s="11">
        <f t="shared" si="203"/>
        <v>0</v>
      </c>
      <c r="H255" s="11">
        <f t="shared" si="203"/>
        <v>0</v>
      </c>
      <c r="I255" s="11">
        <f t="shared" si="203"/>
        <v>0</v>
      </c>
      <c r="J255" s="11">
        <f t="shared" si="203"/>
        <v>0</v>
      </c>
      <c r="K255" s="11">
        <f t="shared" si="203"/>
        <v>0</v>
      </c>
      <c r="L255" s="11">
        <f t="shared" si="203"/>
        <v>0</v>
      </c>
      <c r="M255" s="13" t="s">
        <v>184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/>
      <c r="T255" s="11"/>
      <c r="U255" s="11"/>
      <c r="V255" s="11"/>
      <c r="W255" s="363"/>
      <c r="X255" s="160">
        <v>0</v>
      </c>
    </row>
    <row r="256" spans="1:24" hidden="1" x14ac:dyDescent="0.3">
      <c r="A256" s="7"/>
      <c r="B256" s="7">
        <f t="shared" ref="B256:L256" si="204">A256+B126</f>
        <v>0</v>
      </c>
      <c r="C256" s="7">
        <f t="shared" si="204"/>
        <v>0</v>
      </c>
      <c r="D256" s="7">
        <f t="shared" si="204"/>
        <v>0</v>
      </c>
      <c r="E256" s="7">
        <f t="shared" si="204"/>
        <v>0</v>
      </c>
      <c r="F256" s="7">
        <f t="shared" si="204"/>
        <v>0</v>
      </c>
      <c r="G256" s="7">
        <f t="shared" si="204"/>
        <v>0</v>
      </c>
      <c r="H256" s="7">
        <f t="shared" si="204"/>
        <v>0</v>
      </c>
      <c r="I256" s="7">
        <f t="shared" si="204"/>
        <v>0</v>
      </c>
      <c r="J256" s="7">
        <f t="shared" si="204"/>
        <v>0</v>
      </c>
      <c r="K256" s="7">
        <f t="shared" si="204"/>
        <v>0</v>
      </c>
      <c r="L256" s="7">
        <f t="shared" si="204"/>
        <v>0</v>
      </c>
      <c r="M256" s="13"/>
      <c r="N256" s="7">
        <v>0</v>
      </c>
      <c r="O256" s="7"/>
      <c r="P256" s="7"/>
      <c r="Q256" s="7">
        <v>0</v>
      </c>
      <c r="R256" s="7"/>
      <c r="S256" s="7"/>
      <c r="T256" s="7"/>
      <c r="U256" s="7"/>
      <c r="V256" s="7"/>
      <c r="W256" s="359"/>
      <c r="X256" s="159">
        <v>0</v>
      </c>
    </row>
    <row r="257" spans="1:24" hidden="1" x14ac:dyDescent="0.3">
      <c r="A257" s="4">
        <v>0</v>
      </c>
      <c r="B257" s="4">
        <f t="shared" ref="B257:L257" si="205">A257+B127</f>
        <v>0</v>
      </c>
      <c r="C257" s="4">
        <f t="shared" si="205"/>
        <v>0</v>
      </c>
      <c r="D257" s="4">
        <f t="shared" si="205"/>
        <v>0</v>
      </c>
      <c r="E257" s="4">
        <f t="shared" si="205"/>
        <v>0</v>
      </c>
      <c r="F257" s="4">
        <f t="shared" si="205"/>
        <v>0</v>
      </c>
      <c r="G257" s="4">
        <f t="shared" si="205"/>
        <v>0</v>
      </c>
      <c r="H257" s="4">
        <f t="shared" si="205"/>
        <v>0</v>
      </c>
      <c r="I257" s="4">
        <f t="shared" si="205"/>
        <v>0</v>
      </c>
      <c r="J257" s="4">
        <f t="shared" si="205"/>
        <v>0</v>
      </c>
      <c r="K257" s="4">
        <f t="shared" si="205"/>
        <v>0</v>
      </c>
      <c r="L257" s="4">
        <f t="shared" si="205"/>
        <v>50450.720000000001</v>
      </c>
      <c r="M257" s="13" t="s">
        <v>185</v>
      </c>
      <c r="N257" s="4">
        <v>37729.410000000003</v>
      </c>
      <c r="O257" s="4">
        <v>107075</v>
      </c>
      <c r="P257" s="4">
        <v>144804.41</v>
      </c>
      <c r="Q257" s="4">
        <v>119000</v>
      </c>
      <c r="R257" s="4">
        <v>0.41000000000349246</v>
      </c>
      <c r="S257" s="4"/>
      <c r="T257" s="4"/>
      <c r="U257" s="4"/>
      <c r="V257" s="4"/>
      <c r="W257" s="365">
        <v>0</v>
      </c>
      <c r="X257" s="162">
        <v>0.31705386554621851</v>
      </c>
    </row>
    <row r="258" spans="1:24" hidden="1" x14ac:dyDescent="0.3">
      <c r="A258" s="82"/>
      <c r="B258" s="82">
        <f t="shared" ref="B258:L258" si="206">A258+B128</f>
        <v>0</v>
      </c>
      <c r="C258" s="82">
        <f t="shared" si="206"/>
        <v>0</v>
      </c>
      <c r="D258" s="82">
        <f t="shared" si="206"/>
        <v>0</v>
      </c>
      <c r="E258" s="82">
        <f t="shared" si="206"/>
        <v>0</v>
      </c>
      <c r="F258" s="82">
        <f t="shared" si="206"/>
        <v>0</v>
      </c>
      <c r="G258" s="82">
        <f t="shared" si="206"/>
        <v>0</v>
      </c>
      <c r="H258" s="82">
        <f t="shared" si="206"/>
        <v>0</v>
      </c>
      <c r="I258" s="82">
        <f t="shared" si="206"/>
        <v>0</v>
      </c>
      <c r="J258" s="82">
        <f t="shared" si="206"/>
        <v>0</v>
      </c>
      <c r="K258" s="82">
        <f t="shared" si="206"/>
        <v>0</v>
      </c>
      <c r="L258" s="82">
        <f t="shared" si="206"/>
        <v>0</v>
      </c>
      <c r="M258" s="122"/>
      <c r="N258" s="81">
        <v>0</v>
      </c>
      <c r="O258" s="81"/>
      <c r="P258" s="81"/>
      <c r="Q258" s="81">
        <v>0</v>
      </c>
      <c r="R258" s="81"/>
      <c r="S258" s="81"/>
      <c r="T258" s="81"/>
      <c r="U258" s="81"/>
      <c r="V258" s="81"/>
      <c r="W258" s="364"/>
      <c r="X258" s="204">
        <v>0</v>
      </c>
    </row>
    <row r="259" spans="1:24" hidden="1" x14ac:dyDescent="0.3">
      <c r="A259" s="4">
        <v>626189.31999999995</v>
      </c>
      <c r="B259" s="4">
        <f>A259+B129</f>
        <v>1386289.2289827061</v>
      </c>
      <c r="C259" s="4">
        <f t="shared" ref="C259:L259" si="207">B259+C129</f>
        <v>2159070.0846854122</v>
      </c>
      <c r="D259" s="4">
        <f t="shared" si="207"/>
        <v>2932069.6055881181</v>
      </c>
      <c r="E259" s="4">
        <f t="shared" si="207"/>
        <v>3702342.5134508242</v>
      </c>
      <c r="F259" s="4">
        <f t="shared" si="207"/>
        <v>4467255.2471535299</v>
      </c>
      <c r="G259" s="4">
        <f t="shared" si="207"/>
        <v>5231399.954056236</v>
      </c>
      <c r="H259" s="4">
        <f t="shared" si="207"/>
        <v>6409502.7639989424</v>
      </c>
      <c r="I259" s="4">
        <f t="shared" si="207"/>
        <v>7185399.2293816488</v>
      </c>
      <c r="J259" s="4">
        <f t="shared" si="207"/>
        <v>7965231.1548443548</v>
      </c>
      <c r="K259" s="4">
        <f t="shared" si="207"/>
        <v>8745062.3047870602</v>
      </c>
      <c r="L259" s="4">
        <f t="shared" si="207"/>
        <v>9608969.3138812296</v>
      </c>
      <c r="M259" s="13" t="s">
        <v>186</v>
      </c>
      <c r="N259" s="4">
        <v>2815945.0657142857</v>
      </c>
      <c r="O259" s="4">
        <v>4174200.3166334992</v>
      </c>
      <c r="P259" s="4">
        <v>9086300.1423477829</v>
      </c>
      <c r="Q259" s="4">
        <v>9059791.3599765208</v>
      </c>
      <c r="R259" s="4">
        <v>704.78237126439217</v>
      </c>
      <c r="S259" s="4"/>
      <c r="T259" s="4"/>
      <c r="U259" s="4"/>
      <c r="V259" s="4"/>
      <c r="W259" s="365">
        <v>0</v>
      </c>
      <c r="X259" s="162">
        <v>0.31081787138656397</v>
      </c>
    </row>
    <row r="260" spans="1:24" hidden="1" x14ac:dyDescent="0.3"/>
    <row r="261" spans="1:24" x14ac:dyDescent="0.3">
      <c r="W261" s="167"/>
      <c r="X261" s="167"/>
    </row>
  </sheetData>
  <mergeCells count="3">
    <mergeCell ref="M134:M135"/>
    <mergeCell ref="A3:L3"/>
    <mergeCell ref="A133:L133"/>
  </mergeCells>
  <pageMargins left="0.7" right="0.7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AA285"/>
  <sheetViews>
    <sheetView zoomScale="60" zoomScaleNormal="60" workbookViewId="0">
      <pane xSplit="13" ySplit="6" topLeftCell="N103" activePane="bottomRight" state="frozen"/>
      <selection pane="topRight" activeCell="N1" sqref="N1"/>
      <selection pane="bottomLeft" activeCell="A7" sqref="A7"/>
      <selection pane="bottomRight" activeCell="P129" sqref="P129:Q129"/>
    </sheetView>
  </sheetViews>
  <sheetFormatPr defaultRowHeight="14.4" x14ac:dyDescent="0.3"/>
  <cols>
    <col min="1" max="3" width="13" bestFit="1" customWidth="1"/>
    <col min="4" max="5" width="14.44140625" bestFit="1" customWidth="1"/>
    <col min="6" max="12" width="14.88671875" bestFit="1" customWidth="1"/>
    <col min="13" max="13" width="67.6640625" customWidth="1"/>
    <col min="14" max="15" width="13.33203125" customWidth="1"/>
    <col min="16" max="16" width="14.6640625" customWidth="1"/>
    <col min="17" max="17" width="20.109375" customWidth="1"/>
    <col min="18" max="19" width="13.33203125" style="167" hidden="1" customWidth="1"/>
    <col min="20" max="20" width="14.44140625" style="167" hidden="1" customWidth="1"/>
    <col min="21" max="21" width="17.88671875" style="167" hidden="1" customWidth="1"/>
    <col min="22" max="22" width="15.109375" style="167" hidden="1" customWidth="1"/>
    <col min="23" max="23" width="18.44140625" hidden="1" customWidth="1"/>
    <col min="24" max="24" width="10.109375" style="167" customWidth="1"/>
    <col min="25" max="25" width="12.33203125" bestFit="1" customWidth="1"/>
    <col min="26" max="27" width="13.33203125" style="167" customWidth="1"/>
  </cols>
  <sheetData>
    <row r="2" spans="1:27" x14ac:dyDescent="0.3">
      <c r="C2" t="s">
        <v>412</v>
      </c>
    </row>
    <row r="3" spans="1:27" x14ac:dyDescent="0.3">
      <c r="A3" s="408" t="s">
        <v>231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14" t="s">
        <v>69</v>
      </c>
      <c r="N3" s="426" t="s">
        <v>226</v>
      </c>
      <c r="O3" s="427"/>
      <c r="P3" s="427"/>
      <c r="Q3" s="427"/>
      <c r="R3" s="427"/>
      <c r="S3" s="427"/>
      <c r="T3" s="427"/>
      <c r="U3" s="427"/>
      <c r="V3" s="427"/>
      <c r="W3" s="427"/>
      <c r="X3" s="428"/>
    </row>
    <row r="4" spans="1:27" ht="43.5" customHeight="1" x14ac:dyDescent="0.3">
      <c r="A4" s="125">
        <v>44287</v>
      </c>
      <c r="B4" s="125">
        <v>44317</v>
      </c>
      <c r="C4" s="125">
        <v>44348</v>
      </c>
      <c r="D4" s="125">
        <v>44378</v>
      </c>
      <c r="E4" s="125">
        <v>44409</v>
      </c>
      <c r="F4" s="125">
        <v>44440</v>
      </c>
      <c r="G4" s="125">
        <v>44470</v>
      </c>
      <c r="H4" s="125">
        <v>44501</v>
      </c>
      <c r="I4" s="125">
        <v>44531</v>
      </c>
      <c r="J4" s="125">
        <v>44562</v>
      </c>
      <c r="K4" s="125">
        <v>44593</v>
      </c>
      <c r="L4" s="125">
        <v>44621</v>
      </c>
      <c r="M4" s="429" t="s">
        <v>264</v>
      </c>
      <c r="N4" s="243" t="s">
        <v>411</v>
      </c>
      <c r="O4" s="243" t="s">
        <v>413</v>
      </c>
      <c r="P4" s="243" t="s">
        <v>407</v>
      </c>
      <c r="Q4" s="243" t="s">
        <v>407</v>
      </c>
      <c r="R4" s="243" t="s">
        <v>228</v>
      </c>
      <c r="S4" s="243" t="s">
        <v>378</v>
      </c>
      <c r="T4" s="243" t="s">
        <v>294</v>
      </c>
      <c r="U4" s="243" t="s">
        <v>74</v>
      </c>
      <c r="V4" s="243" t="s">
        <v>295</v>
      </c>
      <c r="W4" s="125" t="s">
        <v>229</v>
      </c>
      <c r="X4" s="243" t="s">
        <v>271</v>
      </c>
    </row>
    <row r="5" spans="1:27" ht="27.6" x14ac:dyDescent="0.3">
      <c r="A5" s="10" t="s">
        <v>1</v>
      </c>
      <c r="B5" s="10" t="s">
        <v>1</v>
      </c>
      <c r="C5" s="10" t="s">
        <v>1</v>
      </c>
      <c r="D5" s="10" t="s">
        <v>1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430"/>
      <c r="N5" s="201" t="s">
        <v>2</v>
      </c>
      <c r="O5" s="10" t="s">
        <v>1</v>
      </c>
      <c r="P5" s="289" t="s">
        <v>502</v>
      </c>
      <c r="Q5" s="289" t="s">
        <v>241</v>
      </c>
      <c r="R5" s="10" t="s">
        <v>399</v>
      </c>
      <c r="S5" s="289" t="s">
        <v>235</v>
      </c>
      <c r="T5" s="289" t="s">
        <v>235</v>
      </c>
      <c r="U5" s="289" t="s">
        <v>235</v>
      </c>
      <c r="V5" s="10" t="s">
        <v>399</v>
      </c>
      <c r="W5" s="10" t="s">
        <v>400</v>
      </c>
      <c r="X5" s="10" t="s">
        <v>13</v>
      </c>
    </row>
    <row r="6" spans="1:27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24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7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238" t="s">
        <v>414</v>
      </c>
      <c r="N7" s="8">
        <f>SUM(0)</f>
        <v>0</v>
      </c>
      <c r="O7" s="8">
        <f>SUM(A7:L7)</f>
        <v>0</v>
      </c>
      <c r="P7" s="8">
        <f>SUM(N7:O7)</f>
        <v>0</v>
      </c>
      <c r="Q7" s="8">
        <v>0</v>
      </c>
      <c r="R7" s="8">
        <f>Q7-P7</f>
        <v>0</v>
      </c>
      <c r="S7" s="8"/>
      <c r="T7" s="8"/>
      <c r="U7" s="8">
        <v>0</v>
      </c>
      <c r="V7" s="8">
        <f>U7-P7</f>
        <v>0</v>
      </c>
      <c r="W7" s="8"/>
      <c r="X7" s="158"/>
    </row>
    <row r="8" spans="1:27" x14ac:dyDescent="0.3">
      <c r="A8" s="7">
        <f>266505.09*1.058</f>
        <v>281962.38522000005</v>
      </c>
      <c r="B8" s="7">
        <f t="shared" ref="B8:K8" si="0">266488.85478*1.058</f>
        <v>281945.20835724002</v>
      </c>
      <c r="C8" s="7">
        <f t="shared" si="0"/>
        <v>281945.20835724002</v>
      </c>
      <c r="D8" s="7">
        <f t="shared" si="0"/>
        <v>281945.20835724002</v>
      </c>
      <c r="E8" s="7">
        <f t="shared" si="0"/>
        <v>281945.20835724002</v>
      </c>
      <c r="F8" s="7">
        <f t="shared" si="0"/>
        <v>281945.20835724002</v>
      </c>
      <c r="G8" s="7">
        <f t="shared" si="0"/>
        <v>281945.20835724002</v>
      </c>
      <c r="H8" s="7">
        <f t="shared" si="0"/>
        <v>281945.20835724002</v>
      </c>
      <c r="I8" s="7">
        <f t="shared" si="0"/>
        <v>281945.20835724002</v>
      </c>
      <c r="J8" s="7">
        <f t="shared" si="0"/>
        <v>281945.20835724002</v>
      </c>
      <c r="K8" s="7">
        <f t="shared" si="0"/>
        <v>281945.20835724002</v>
      </c>
      <c r="L8" s="7">
        <f>(266488.85478*1.058)+390.18</f>
        <v>282335.38835724001</v>
      </c>
      <c r="M8" s="13" t="s">
        <v>415</v>
      </c>
      <c r="N8" s="7">
        <f t="shared" ref="N8:N16" si="1">SUM(0)</f>
        <v>0</v>
      </c>
      <c r="O8" s="7">
        <f t="shared" ref="O8:O16" si="2">SUM(A8:L8)</f>
        <v>3383749.857149641</v>
      </c>
      <c r="P8" s="7">
        <f t="shared" ref="P8:P71" si="3">SUM(N8:O8)</f>
        <v>3383749.857149641</v>
      </c>
      <c r="Q8" s="7">
        <v>3383749.857149641</v>
      </c>
      <c r="R8" s="247">
        <f t="shared" ref="R8:R16" si="4">Q8-P8</f>
        <v>0</v>
      </c>
      <c r="S8" s="247"/>
      <c r="T8" s="7">
        <v>-34689</v>
      </c>
      <c r="U8" s="7">
        <v>2640773.1359999999</v>
      </c>
      <c r="V8" s="7">
        <f t="shared" ref="V8:V71" si="5">U8-P8</f>
        <v>-742976.72114964109</v>
      </c>
      <c r="W8" s="248" t="s">
        <v>296</v>
      </c>
      <c r="X8" s="159">
        <f>IFERROR(N8/Q8,0)</f>
        <v>0</v>
      </c>
      <c r="Z8" s="182"/>
      <c r="AA8" s="182"/>
    </row>
    <row r="9" spans="1:27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>
        <v>4378.9632000000001</v>
      </c>
      <c r="M9" s="13" t="s">
        <v>416</v>
      </c>
      <c r="N9" s="7">
        <f t="shared" si="1"/>
        <v>0</v>
      </c>
      <c r="O9" s="7">
        <f t="shared" si="2"/>
        <v>4378.9632000000001</v>
      </c>
      <c r="P9" s="7">
        <f t="shared" si="3"/>
        <v>4378.9632000000001</v>
      </c>
      <c r="Q9" s="7">
        <v>4378.9632000000001</v>
      </c>
      <c r="R9" s="7">
        <f t="shared" si="4"/>
        <v>0</v>
      </c>
      <c r="S9" s="7"/>
      <c r="T9" s="7"/>
      <c r="U9" s="7">
        <v>4013.1932040000002</v>
      </c>
      <c r="V9" s="7">
        <f t="shared" si="5"/>
        <v>-365.76999599999999</v>
      </c>
      <c r="W9" s="248"/>
      <c r="X9" s="159">
        <f t="shared" ref="X9:X72" si="6">IFERROR(N9/Q9,0)</f>
        <v>0</v>
      </c>
      <c r="Z9" s="182"/>
      <c r="AA9" s="182"/>
    </row>
    <row r="10" spans="1:27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3" t="s">
        <v>417</v>
      </c>
      <c r="N10" s="7">
        <f t="shared" si="1"/>
        <v>0</v>
      </c>
      <c r="O10" s="7">
        <f t="shared" si="2"/>
        <v>0</v>
      </c>
      <c r="P10" s="7">
        <f t="shared" si="3"/>
        <v>0</v>
      </c>
      <c r="Q10" s="7">
        <v>0</v>
      </c>
      <c r="R10" s="7">
        <f t="shared" si="4"/>
        <v>0</v>
      </c>
      <c r="S10" s="7"/>
      <c r="T10" s="7"/>
      <c r="U10" s="7">
        <v>0</v>
      </c>
      <c r="V10" s="7">
        <f t="shared" si="5"/>
        <v>0</v>
      </c>
      <c r="W10" s="248"/>
      <c r="X10" s="159">
        <f t="shared" si="6"/>
        <v>0</v>
      </c>
      <c r="Z10" s="182"/>
      <c r="AA10" s="182"/>
    </row>
    <row r="11" spans="1:27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3" t="s">
        <v>418</v>
      </c>
      <c r="N11" s="7">
        <f t="shared" si="1"/>
        <v>0</v>
      </c>
      <c r="O11" s="7">
        <f t="shared" si="2"/>
        <v>0</v>
      </c>
      <c r="P11" s="7">
        <f t="shared" si="3"/>
        <v>0</v>
      </c>
      <c r="Q11" s="7">
        <v>0</v>
      </c>
      <c r="R11" s="7">
        <f t="shared" si="4"/>
        <v>0</v>
      </c>
      <c r="S11" s="7"/>
      <c r="T11" s="7"/>
      <c r="U11" s="7">
        <v>0</v>
      </c>
      <c r="V11" s="7">
        <f t="shared" si="5"/>
        <v>0</v>
      </c>
      <c r="W11" s="248"/>
      <c r="X11" s="159">
        <f t="shared" si="6"/>
        <v>0</v>
      </c>
      <c r="Z11" s="182"/>
      <c r="AA11" s="182"/>
    </row>
    <row r="12" spans="1:27" x14ac:dyDescent="0.3">
      <c r="A12" s="7">
        <f>3251.48792*1.048</f>
        <v>3407.5593401600004</v>
      </c>
      <c r="B12" s="7">
        <f t="shared" ref="B12:L12" si="7">3251.48792*1.048</f>
        <v>3407.5593401600004</v>
      </c>
      <c r="C12" s="7">
        <f t="shared" si="7"/>
        <v>3407.5593401600004</v>
      </c>
      <c r="D12" s="7">
        <f t="shared" si="7"/>
        <v>3407.5593401600004</v>
      </c>
      <c r="E12" s="7">
        <f t="shared" si="7"/>
        <v>3407.5593401600004</v>
      </c>
      <c r="F12" s="7">
        <f t="shared" si="7"/>
        <v>3407.5593401600004</v>
      </c>
      <c r="G12" s="7">
        <f t="shared" si="7"/>
        <v>3407.5593401600004</v>
      </c>
      <c r="H12" s="7">
        <f t="shared" si="7"/>
        <v>3407.5593401600004</v>
      </c>
      <c r="I12" s="7">
        <f t="shared" si="7"/>
        <v>3407.5593401600004</v>
      </c>
      <c r="J12" s="7">
        <f t="shared" si="7"/>
        <v>3407.5593401600004</v>
      </c>
      <c r="K12" s="7">
        <f t="shared" si="7"/>
        <v>3407.5593401600004</v>
      </c>
      <c r="L12" s="7">
        <f t="shared" si="7"/>
        <v>3407.5593401600004</v>
      </c>
      <c r="M12" s="13" t="s">
        <v>419</v>
      </c>
      <c r="N12" s="7">
        <f t="shared" si="1"/>
        <v>0</v>
      </c>
      <c r="O12" s="7">
        <f t="shared" si="2"/>
        <v>40890.712081920006</v>
      </c>
      <c r="P12" s="7">
        <f t="shared" si="3"/>
        <v>40890.712081920006</v>
      </c>
      <c r="Q12" s="7">
        <v>40890.712081920006</v>
      </c>
      <c r="R12" s="247">
        <f t="shared" si="4"/>
        <v>0</v>
      </c>
      <c r="S12" s="247"/>
      <c r="T12" s="7"/>
      <c r="U12" s="7">
        <v>37196.719559999998</v>
      </c>
      <c r="V12" s="7">
        <f t="shared" si="5"/>
        <v>-3693.9925219200086</v>
      </c>
      <c r="W12" s="248" t="s">
        <v>296</v>
      </c>
      <c r="X12" s="159">
        <f>IFERROR(N12/Q12,0)</f>
        <v>0</v>
      </c>
      <c r="Z12" s="182"/>
      <c r="AA12" s="182"/>
    </row>
    <row r="13" spans="1:27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3" t="s">
        <v>420</v>
      </c>
      <c r="N13" s="7">
        <f t="shared" si="1"/>
        <v>0</v>
      </c>
      <c r="O13" s="7">
        <f t="shared" si="2"/>
        <v>0</v>
      </c>
      <c r="P13" s="7">
        <f t="shared" si="3"/>
        <v>0</v>
      </c>
      <c r="Q13" s="7">
        <v>0</v>
      </c>
      <c r="R13" s="7">
        <f t="shared" si="4"/>
        <v>0</v>
      </c>
      <c r="S13" s="7"/>
      <c r="T13" s="7"/>
      <c r="U13" s="7">
        <v>0</v>
      </c>
      <c r="V13" s="7">
        <f t="shared" si="5"/>
        <v>0</v>
      </c>
      <c r="W13" s="248"/>
      <c r="X13" s="159">
        <f>IFERROR(N13/Q13,0)</f>
        <v>0</v>
      </c>
      <c r="Z13" s="182"/>
      <c r="AA13" s="182"/>
    </row>
    <row r="14" spans="1:27" x14ac:dyDescent="0.3">
      <c r="A14" s="7"/>
      <c r="B14" s="7"/>
      <c r="C14" s="7"/>
      <c r="D14" s="7"/>
      <c r="E14" s="7"/>
      <c r="F14" s="7"/>
      <c r="G14" s="7"/>
      <c r="H14" s="7">
        <f>186089.67</f>
        <v>186089.67</v>
      </c>
      <c r="I14" s="7"/>
      <c r="J14" s="7"/>
      <c r="K14" s="7"/>
      <c r="L14" s="7"/>
      <c r="M14" s="13" t="s">
        <v>421</v>
      </c>
      <c r="N14" s="7">
        <f t="shared" si="1"/>
        <v>0</v>
      </c>
      <c r="O14" s="7">
        <f t="shared" si="2"/>
        <v>186089.67</v>
      </c>
      <c r="P14" s="7">
        <f t="shared" si="3"/>
        <v>186089.67</v>
      </c>
      <c r="Q14" s="7">
        <v>186089.67</v>
      </c>
      <c r="R14" s="7">
        <f t="shared" si="4"/>
        <v>0</v>
      </c>
      <c r="S14" s="7"/>
      <c r="T14" s="7"/>
      <c r="U14" s="7">
        <v>186119.10511304348</v>
      </c>
      <c r="V14" s="7">
        <f t="shared" si="5"/>
        <v>29.435113043466117</v>
      </c>
      <c r="W14" s="248"/>
      <c r="X14" s="159">
        <f t="shared" si="6"/>
        <v>0</v>
      </c>
      <c r="Z14" s="182"/>
      <c r="AA14" s="182"/>
    </row>
    <row r="15" spans="1:27" x14ac:dyDescent="0.3">
      <c r="A15" s="7">
        <v>0</v>
      </c>
      <c r="B15" s="7">
        <v>0</v>
      </c>
      <c r="C15" s="7">
        <v>0</v>
      </c>
      <c r="D15" s="7">
        <f>3000*1.048</f>
        <v>3144</v>
      </c>
      <c r="E15" s="7">
        <v>0</v>
      </c>
      <c r="F15" s="7">
        <v>0</v>
      </c>
      <c r="G15" s="7">
        <v>0</v>
      </c>
      <c r="H15" s="7"/>
      <c r="I15" s="7"/>
      <c r="J15" s="7"/>
      <c r="K15" s="7">
        <v>0</v>
      </c>
      <c r="L15" s="7">
        <f>6000*1.048</f>
        <v>6288</v>
      </c>
      <c r="M15" s="13" t="s">
        <v>422</v>
      </c>
      <c r="N15" s="7">
        <f t="shared" si="1"/>
        <v>0</v>
      </c>
      <c r="O15" s="7">
        <f t="shared" si="2"/>
        <v>9432</v>
      </c>
      <c r="P15" s="7">
        <f t="shared" si="3"/>
        <v>9432</v>
      </c>
      <c r="Q15" s="7">
        <v>9432</v>
      </c>
      <c r="R15" s="7">
        <f t="shared" si="4"/>
        <v>0</v>
      </c>
      <c r="S15" s="7"/>
      <c r="T15" s="7"/>
      <c r="U15" s="7">
        <v>9000</v>
      </c>
      <c r="V15" s="7">
        <f t="shared" si="5"/>
        <v>-432</v>
      </c>
      <c r="W15" s="248"/>
      <c r="X15" s="159">
        <f t="shared" si="6"/>
        <v>0</v>
      </c>
      <c r="Z15" s="182"/>
      <c r="AA15" s="182"/>
    </row>
    <row r="16" spans="1:27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3" t="s">
        <v>423</v>
      </c>
      <c r="N16" s="11">
        <f t="shared" si="1"/>
        <v>0</v>
      </c>
      <c r="O16" s="11">
        <f t="shared" si="2"/>
        <v>0</v>
      </c>
      <c r="P16" s="11">
        <f t="shared" si="3"/>
        <v>0</v>
      </c>
      <c r="Q16" s="11">
        <v>0</v>
      </c>
      <c r="R16" s="11">
        <f t="shared" si="4"/>
        <v>0</v>
      </c>
      <c r="S16" s="11"/>
      <c r="T16" s="11"/>
      <c r="U16" s="11">
        <v>0</v>
      </c>
      <c r="V16" s="11">
        <f t="shared" si="5"/>
        <v>0</v>
      </c>
      <c r="W16" s="249"/>
      <c r="X16" s="160">
        <f t="shared" si="6"/>
        <v>0</v>
      </c>
      <c r="Z16" s="182"/>
      <c r="AA16" s="182"/>
    </row>
    <row r="17" spans="1:27" x14ac:dyDescent="0.3">
      <c r="A17" s="81"/>
      <c r="B17" s="81"/>
      <c r="C17" s="81"/>
      <c r="D17" s="85"/>
      <c r="E17" s="83"/>
      <c r="F17" s="83"/>
      <c r="G17" s="83"/>
      <c r="H17" s="83"/>
      <c r="I17" s="83"/>
      <c r="J17" s="83"/>
      <c r="K17" s="84"/>
      <c r="L17" s="84"/>
      <c r="M17" s="13"/>
      <c r="N17" s="83">
        <f t="shared" ref="N17:N66" si="8">SUM(A17:J17)</f>
        <v>0</v>
      </c>
      <c r="O17" s="83">
        <f t="shared" ref="O17:O66" si="9">SUM(K17:L17)</f>
        <v>0</v>
      </c>
      <c r="P17" s="83">
        <f t="shared" si="3"/>
        <v>0</v>
      </c>
      <c r="Q17" s="81">
        <v>0</v>
      </c>
      <c r="R17" s="81">
        <f t="shared" ref="R17:R72" si="10">P17-Q17</f>
        <v>0</v>
      </c>
      <c r="S17" s="81"/>
      <c r="T17" s="81"/>
      <c r="U17" s="81">
        <v>0</v>
      </c>
      <c r="V17" s="81">
        <f t="shared" si="5"/>
        <v>0</v>
      </c>
      <c r="W17" s="250"/>
      <c r="X17" s="204">
        <f t="shared" si="6"/>
        <v>0</v>
      </c>
      <c r="Z17" s="182"/>
      <c r="AA17" s="182"/>
    </row>
    <row r="18" spans="1:27" x14ac:dyDescent="0.3">
      <c r="A18" s="4">
        <f>SUM(A7:A16)</f>
        <v>285369.94456016005</v>
      </c>
      <c r="B18" s="4">
        <f t="shared" ref="B18:L18" si="11">SUM(B7:B16)</f>
        <v>285352.76769740001</v>
      </c>
      <c r="C18" s="4">
        <f t="shared" si="11"/>
        <v>285352.76769740001</v>
      </c>
      <c r="D18" s="4">
        <f t="shared" si="11"/>
        <v>288496.76769740001</v>
      </c>
      <c r="E18" s="4">
        <f t="shared" si="11"/>
        <v>285352.76769740001</v>
      </c>
      <c r="F18" s="4">
        <f t="shared" si="11"/>
        <v>285352.76769740001</v>
      </c>
      <c r="G18" s="4">
        <f t="shared" si="11"/>
        <v>285352.76769740001</v>
      </c>
      <c r="H18" s="4">
        <f t="shared" si="11"/>
        <v>471442.43769739999</v>
      </c>
      <c r="I18" s="4">
        <f t="shared" si="11"/>
        <v>285352.76769740001</v>
      </c>
      <c r="J18" s="4">
        <f t="shared" si="11"/>
        <v>285352.76769740001</v>
      </c>
      <c r="K18" s="4">
        <f t="shared" si="11"/>
        <v>285352.76769740001</v>
      </c>
      <c r="L18" s="4">
        <f t="shared" si="11"/>
        <v>296409.9108974</v>
      </c>
      <c r="M18" s="13" t="s">
        <v>89</v>
      </c>
      <c r="N18" s="4">
        <f t="shared" ref="N18:O18" si="12">SUM(N7:N17)</f>
        <v>0</v>
      </c>
      <c r="O18" s="4">
        <f t="shared" si="12"/>
        <v>3624541.202431561</v>
      </c>
      <c r="P18" s="4">
        <f t="shared" ref="P18:Q18" si="13">SUM(P7:P17)</f>
        <v>3624541.202431561</v>
      </c>
      <c r="Q18" s="4">
        <f t="shared" si="13"/>
        <v>3624541.202431561</v>
      </c>
      <c r="R18" s="4">
        <f t="shared" si="10"/>
        <v>0</v>
      </c>
      <c r="S18" s="4">
        <v>0</v>
      </c>
      <c r="T18" s="4">
        <v>-35731.998877043297</v>
      </c>
      <c r="U18" s="4">
        <f>SUM(U7:U17)</f>
        <v>2877102.1538770436</v>
      </c>
      <c r="V18" s="4">
        <f t="shared" si="5"/>
        <v>-747439.04855451733</v>
      </c>
      <c r="W18" s="4">
        <f t="shared" ref="W18" si="14">SUM(W8:W16)</f>
        <v>0</v>
      </c>
      <c r="X18" s="4">
        <f t="shared" ref="X18" si="15">SUM(X7:X16)</f>
        <v>0</v>
      </c>
      <c r="Z18" s="182"/>
      <c r="AA18" s="182"/>
    </row>
    <row r="19" spans="1:27" x14ac:dyDescent="0.3">
      <c r="A19" s="81"/>
      <c r="B19" s="81"/>
      <c r="C19" s="81"/>
      <c r="D19" s="82"/>
      <c r="E19" s="86"/>
      <c r="F19" s="86"/>
      <c r="G19" s="86"/>
      <c r="H19" s="87"/>
      <c r="I19" s="87"/>
      <c r="J19" s="87"/>
      <c r="K19" s="88"/>
      <c r="L19" s="88"/>
      <c r="M19" s="122"/>
      <c r="N19" s="86">
        <f t="shared" si="8"/>
        <v>0</v>
      </c>
      <c r="O19" s="86">
        <f t="shared" si="9"/>
        <v>0</v>
      </c>
      <c r="P19" s="86">
        <f t="shared" si="3"/>
        <v>0</v>
      </c>
      <c r="Q19" s="81">
        <v>0</v>
      </c>
      <c r="R19" s="81">
        <f t="shared" si="10"/>
        <v>0</v>
      </c>
      <c r="S19" s="81"/>
      <c r="T19" s="81"/>
      <c r="U19" s="81">
        <v>0</v>
      </c>
      <c r="V19" s="81">
        <f t="shared" si="5"/>
        <v>0</v>
      </c>
      <c r="W19" s="250"/>
      <c r="X19" s="204">
        <f t="shared" si="6"/>
        <v>0</v>
      </c>
      <c r="Z19" s="182"/>
      <c r="AA19" s="182"/>
    </row>
    <row r="20" spans="1:27" x14ac:dyDescent="0.3">
      <c r="A20" s="183">
        <f t="shared" ref="A20:L26" si="16">$Q20/12</f>
        <v>0</v>
      </c>
      <c r="B20" s="183">
        <f t="shared" si="16"/>
        <v>0</v>
      </c>
      <c r="C20" s="183">
        <f t="shared" si="16"/>
        <v>0</v>
      </c>
      <c r="D20" s="183">
        <f t="shared" si="16"/>
        <v>0</v>
      </c>
      <c r="E20" s="183">
        <f t="shared" si="16"/>
        <v>0</v>
      </c>
      <c r="F20" s="183">
        <f t="shared" si="16"/>
        <v>0</v>
      </c>
      <c r="G20" s="183">
        <f t="shared" si="16"/>
        <v>0</v>
      </c>
      <c r="H20" s="183">
        <f t="shared" si="16"/>
        <v>0</v>
      </c>
      <c r="I20" s="183">
        <f t="shared" si="16"/>
        <v>0</v>
      </c>
      <c r="J20" s="183">
        <f t="shared" si="16"/>
        <v>0</v>
      </c>
      <c r="K20" s="183">
        <f t="shared" si="16"/>
        <v>0</v>
      </c>
      <c r="L20" s="183">
        <f>$Q20/12</f>
        <v>0</v>
      </c>
      <c r="M20" s="238" t="s">
        <v>424</v>
      </c>
      <c r="N20" s="8">
        <f t="shared" ref="N20:N26" si="17">SUM(0)</f>
        <v>0</v>
      </c>
      <c r="O20" s="8">
        <f t="shared" ref="O20:O26" si="18">SUM(A20:L20)</f>
        <v>0</v>
      </c>
      <c r="P20" s="8">
        <f t="shared" si="3"/>
        <v>0</v>
      </c>
      <c r="Q20" s="8">
        <v>0</v>
      </c>
      <c r="R20" s="8">
        <f t="shared" ref="R20:R26" si="19">Q20-P20</f>
        <v>0</v>
      </c>
      <c r="S20" s="8"/>
      <c r="T20" s="8"/>
      <c r="U20" s="8">
        <v>0</v>
      </c>
      <c r="V20" s="8">
        <f t="shared" si="5"/>
        <v>0</v>
      </c>
      <c r="W20" s="251"/>
      <c r="X20" s="158">
        <f t="shared" si="6"/>
        <v>0</v>
      </c>
      <c r="Z20" s="182"/>
      <c r="AA20" s="182"/>
    </row>
    <row r="21" spans="1:27" x14ac:dyDescent="0.3">
      <c r="A21" s="7">
        <f t="shared" si="16"/>
        <v>0</v>
      </c>
      <c r="B21" s="7">
        <f t="shared" si="16"/>
        <v>0</v>
      </c>
      <c r="C21" s="7">
        <f t="shared" si="16"/>
        <v>0</v>
      </c>
      <c r="D21" s="7">
        <f t="shared" si="16"/>
        <v>0</v>
      </c>
      <c r="E21" s="7">
        <f t="shared" si="16"/>
        <v>0</v>
      </c>
      <c r="F21" s="7">
        <f t="shared" si="16"/>
        <v>0</v>
      </c>
      <c r="G21" s="7">
        <f t="shared" si="16"/>
        <v>0</v>
      </c>
      <c r="H21" s="7">
        <f t="shared" si="16"/>
        <v>0</v>
      </c>
      <c r="I21" s="7">
        <f t="shared" si="16"/>
        <v>0</v>
      </c>
      <c r="J21" s="7">
        <f t="shared" si="16"/>
        <v>0</v>
      </c>
      <c r="K21" s="7">
        <f t="shared" si="16"/>
        <v>0</v>
      </c>
      <c r="L21" s="7">
        <f t="shared" si="16"/>
        <v>0</v>
      </c>
      <c r="M21" s="13" t="s">
        <v>425</v>
      </c>
      <c r="N21" s="7">
        <f t="shared" si="17"/>
        <v>0</v>
      </c>
      <c r="O21" s="7">
        <f t="shared" si="18"/>
        <v>0</v>
      </c>
      <c r="P21" s="7">
        <f t="shared" si="3"/>
        <v>0</v>
      </c>
      <c r="Q21" s="7">
        <v>0</v>
      </c>
      <c r="R21" s="7">
        <f t="shared" si="19"/>
        <v>0</v>
      </c>
      <c r="S21" s="7"/>
      <c r="T21" s="7">
        <v>0</v>
      </c>
      <c r="U21" s="7">
        <v>0</v>
      </c>
      <c r="V21" s="7">
        <f t="shared" si="5"/>
        <v>0</v>
      </c>
      <c r="W21" s="248"/>
      <c r="X21" s="159">
        <f t="shared" si="6"/>
        <v>0</v>
      </c>
      <c r="Z21" s="182"/>
      <c r="AA21" s="182"/>
    </row>
    <row r="22" spans="1:27" x14ac:dyDescent="0.3">
      <c r="A22" s="7">
        <f>13138*1.048</f>
        <v>13768.624</v>
      </c>
      <c r="B22" s="7">
        <f t="shared" ref="B22:K22" si="20">13138*1.048</f>
        <v>13768.624</v>
      </c>
      <c r="C22" s="7">
        <f t="shared" si="20"/>
        <v>13768.624</v>
      </c>
      <c r="D22" s="7">
        <f t="shared" si="20"/>
        <v>13768.624</v>
      </c>
      <c r="E22" s="7">
        <f t="shared" si="20"/>
        <v>13768.624</v>
      </c>
      <c r="F22" s="7">
        <f t="shared" si="20"/>
        <v>13768.624</v>
      </c>
      <c r="G22" s="7">
        <f t="shared" si="20"/>
        <v>13768.624</v>
      </c>
      <c r="H22" s="7">
        <f t="shared" si="20"/>
        <v>13768.624</v>
      </c>
      <c r="I22" s="7">
        <f t="shared" si="20"/>
        <v>13768.624</v>
      </c>
      <c r="J22" s="7">
        <f t="shared" si="20"/>
        <v>13768.624</v>
      </c>
      <c r="K22" s="7">
        <f t="shared" si="20"/>
        <v>13768.624</v>
      </c>
      <c r="L22" s="7">
        <f>(13138*1.048)-6</f>
        <v>13762.624</v>
      </c>
      <c r="M22" s="13" t="s">
        <v>426</v>
      </c>
      <c r="N22" s="7">
        <f t="shared" si="17"/>
        <v>0</v>
      </c>
      <c r="O22" s="7">
        <f t="shared" si="18"/>
        <v>165217.48800000001</v>
      </c>
      <c r="P22" s="7">
        <f t="shared" si="3"/>
        <v>165217.48800000001</v>
      </c>
      <c r="Q22" s="7">
        <v>165217.48800000001</v>
      </c>
      <c r="R22" s="7">
        <f t="shared" si="19"/>
        <v>0</v>
      </c>
      <c r="S22" s="7">
        <v>400000</v>
      </c>
      <c r="T22" s="7"/>
      <c r="U22" s="7">
        <v>550000</v>
      </c>
      <c r="V22" s="7">
        <f t="shared" si="5"/>
        <v>384782.51199999999</v>
      </c>
      <c r="W22" s="248"/>
      <c r="X22" s="159">
        <f t="shared" si="6"/>
        <v>0</v>
      </c>
      <c r="Z22" s="182"/>
      <c r="AA22" s="182"/>
    </row>
    <row r="23" spans="1:27" x14ac:dyDescent="0.3">
      <c r="A23" s="7">
        <f t="shared" si="16"/>
        <v>0</v>
      </c>
      <c r="B23" s="7">
        <f t="shared" si="16"/>
        <v>0</v>
      </c>
      <c r="C23" s="7">
        <f t="shared" si="16"/>
        <v>0</v>
      </c>
      <c r="D23" s="7">
        <f t="shared" si="16"/>
        <v>0</v>
      </c>
      <c r="E23" s="7">
        <f t="shared" si="16"/>
        <v>0</v>
      </c>
      <c r="F23" s="7">
        <f t="shared" si="16"/>
        <v>0</v>
      </c>
      <c r="G23" s="7">
        <f t="shared" si="16"/>
        <v>0</v>
      </c>
      <c r="H23" s="7">
        <f t="shared" si="16"/>
        <v>0</v>
      </c>
      <c r="I23" s="7">
        <f t="shared" si="16"/>
        <v>0</v>
      </c>
      <c r="J23" s="7">
        <f t="shared" si="16"/>
        <v>0</v>
      </c>
      <c r="K23" s="7">
        <f t="shared" si="16"/>
        <v>0</v>
      </c>
      <c r="L23" s="7">
        <f t="shared" si="16"/>
        <v>0</v>
      </c>
      <c r="M23" s="125" t="s">
        <v>427</v>
      </c>
      <c r="N23" s="7">
        <f t="shared" si="17"/>
        <v>0</v>
      </c>
      <c r="O23" s="7">
        <f t="shared" si="18"/>
        <v>0</v>
      </c>
      <c r="P23" s="7">
        <f t="shared" si="3"/>
        <v>0</v>
      </c>
      <c r="Q23" s="7">
        <v>0</v>
      </c>
      <c r="R23" s="7">
        <f t="shared" si="19"/>
        <v>0</v>
      </c>
      <c r="S23" s="7"/>
      <c r="T23" s="7"/>
      <c r="U23" s="7">
        <v>0</v>
      </c>
      <c r="V23" s="7">
        <f t="shared" si="5"/>
        <v>0</v>
      </c>
      <c r="W23" s="248"/>
      <c r="X23" s="159">
        <f t="shared" si="6"/>
        <v>0</v>
      </c>
      <c r="Z23" s="182"/>
      <c r="AA23" s="182"/>
    </row>
    <row r="24" spans="1:27" x14ac:dyDescent="0.3">
      <c r="A24" s="7">
        <f>22260*1.048</f>
        <v>23328.48</v>
      </c>
      <c r="B24" s="7">
        <f t="shared" ref="B24:K24" si="21">22260*1.048</f>
        <v>23328.48</v>
      </c>
      <c r="C24" s="7">
        <f t="shared" si="21"/>
        <v>23328.48</v>
      </c>
      <c r="D24" s="7">
        <f t="shared" si="21"/>
        <v>23328.48</v>
      </c>
      <c r="E24" s="7">
        <f t="shared" si="21"/>
        <v>23328.48</v>
      </c>
      <c r="F24" s="7">
        <f t="shared" si="21"/>
        <v>23328.48</v>
      </c>
      <c r="G24" s="7">
        <f t="shared" si="21"/>
        <v>23328.48</v>
      </c>
      <c r="H24" s="7">
        <f t="shared" si="21"/>
        <v>23328.48</v>
      </c>
      <c r="I24" s="7">
        <f t="shared" si="21"/>
        <v>23328.48</v>
      </c>
      <c r="J24" s="7">
        <f t="shared" si="21"/>
        <v>23328.48</v>
      </c>
      <c r="K24" s="7">
        <f t="shared" si="21"/>
        <v>23328.48</v>
      </c>
      <c r="L24" s="7">
        <f>(22260*1.048)+5</f>
        <v>23333.48</v>
      </c>
      <c r="M24" s="125" t="s">
        <v>428</v>
      </c>
      <c r="N24" s="7">
        <f t="shared" si="17"/>
        <v>0</v>
      </c>
      <c r="O24" s="7">
        <f t="shared" si="18"/>
        <v>279946.76000000007</v>
      </c>
      <c r="P24" s="7">
        <f t="shared" si="3"/>
        <v>279946.76000000007</v>
      </c>
      <c r="Q24" s="7">
        <v>279946.76000000007</v>
      </c>
      <c r="R24" s="7">
        <f t="shared" si="19"/>
        <v>0</v>
      </c>
      <c r="S24" s="7"/>
      <c r="T24" s="7"/>
      <c r="U24" s="7">
        <v>267125.03999999998</v>
      </c>
      <c r="V24" s="7">
        <f t="shared" si="5"/>
        <v>-12821.720000000088</v>
      </c>
      <c r="W24" s="248"/>
      <c r="X24" s="159">
        <f t="shared" si="6"/>
        <v>0</v>
      </c>
      <c r="Z24" s="182"/>
      <c r="AA24" s="182"/>
    </row>
    <row r="25" spans="1:27" x14ac:dyDescent="0.3">
      <c r="A25" s="7">
        <f>833*1.048</f>
        <v>872.98400000000004</v>
      </c>
      <c r="B25" s="7">
        <f t="shared" ref="B25:K25" si="22">833*1.048</f>
        <v>872.98400000000004</v>
      </c>
      <c r="C25" s="7">
        <f t="shared" si="22"/>
        <v>872.98400000000004</v>
      </c>
      <c r="D25" s="7">
        <f t="shared" si="22"/>
        <v>872.98400000000004</v>
      </c>
      <c r="E25" s="7">
        <f t="shared" si="22"/>
        <v>872.98400000000004</v>
      </c>
      <c r="F25" s="7">
        <f t="shared" si="22"/>
        <v>872.98400000000004</v>
      </c>
      <c r="G25" s="7">
        <f t="shared" si="22"/>
        <v>872.98400000000004</v>
      </c>
      <c r="H25" s="7">
        <f t="shared" si="22"/>
        <v>872.98400000000004</v>
      </c>
      <c r="I25" s="7">
        <f t="shared" si="22"/>
        <v>872.98400000000004</v>
      </c>
      <c r="J25" s="7">
        <f t="shared" si="22"/>
        <v>872.98400000000004</v>
      </c>
      <c r="K25" s="7">
        <f t="shared" si="22"/>
        <v>872.98400000000004</v>
      </c>
      <c r="L25" s="7">
        <f>(833*1.048)+8</f>
        <v>880.98400000000004</v>
      </c>
      <c r="M25" s="13" t="s">
        <v>429</v>
      </c>
      <c r="N25" s="7">
        <f t="shared" si="17"/>
        <v>0</v>
      </c>
      <c r="O25" s="7">
        <f t="shared" si="18"/>
        <v>10483.808000000003</v>
      </c>
      <c r="P25" s="7">
        <f t="shared" si="3"/>
        <v>10483.808000000003</v>
      </c>
      <c r="Q25" s="7">
        <v>10483.808000000003</v>
      </c>
      <c r="R25" s="252">
        <f t="shared" si="19"/>
        <v>0</v>
      </c>
      <c r="S25" s="252"/>
      <c r="T25" s="7">
        <v>8301</v>
      </c>
      <c r="U25" s="7">
        <v>12447.1875</v>
      </c>
      <c r="V25" s="7">
        <f t="shared" si="5"/>
        <v>1963.3794999999973</v>
      </c>
      <c r="W25" s="248" t="s">
        <v>297</v>
      </c>
      <c r="X25" s="159">
        <f t="shared" si="6"/>
        <v>0</v>
      </c>
      <c r="Y25" s="391"/>
      <c r="Z25" s="182"/>
      <c r="AA25" s="182"/>
    </row>
    <row r="26" spans="1:27" x14ac:dyDescent="0.3">
      <c r="A26" s="11">
        <f t="shared" si="16"/>
        <v>0</v>
      </c>
      <c r="B26" s="11">
        <f t="shared" si="16"/>
        <v>0</v>
      </c>
      <c r="C26" s="11">
        <f t="shared" si="16"/>
        <v>0</v>
      </c>
      <c r="D26" s="11">
        <f t="shared" si="16"/>
        <v>0</v>
      </c>
      <c r="E26" s="11">
        <f t="shared" si="16"/>
        <v>0</v>
      </c>
      <c r="F26" s="11">
        <f t="shared" si="16"/>
        <v>0</v>
      </c>
      <c r="G26" s="11">
        <f t="shared" si="16"/>
        <v>0</v>
      </c>
      <c r="H26" s="11">
        <f t="shared" si="16"/>
        <v>0</v>
      </c>
      <c r="I26" s="11">
        <f t="shared" si="16"/>
        <v>0</v>
      </c>
      <c r="J26" s="11">
        <f t="shared" si="16"/>
        <v>0</v>
      </c>
      <c r="K26" s="11">
        <f t="shared" si="16"/>
        <v>0</v>
      </c>
      <c r="L26" s="11">
        <f t="shared" si="16"/>
        <v>0</v>
      </c>
      <c r="M26" s="13" t="s">
        <v>430</v>
      </c>
      <c r="N26" s="11">
        <f t="shared" si="17"/>
        <v>0</v>
      </c>
      <c r="O26" s="11">
        <f t="shared" si="18"/>
        <v>0</v>
      </c>
      <c r="P26" s="11">
        <f t="shared" si="3"/>
        <v>0</v>
      </c>
      <c r="Q26" s="11">
        <v>0</v>
      </c>
      <c r="R26" s="11">
        <f t="shared" si="19"/>
        <v>0</v>
      </c>
      <c r="S26" s="11"/>
      <c r="T26" s="11"/>
      <c r="U26" s="11">
        <v>0</v>
      </c>
      <c r="V26" s="11">
        <f t="shared" si="5"/>
        <v>0</v>
      </c>
      <c r="W26" s="249"/>
      <c r="X26" s="160">
        <f t="shared" si="6"/>
        <v>0</v>
      </c>
      <c r="Z26" s="182"/>
      <c r="AA26" s="182"/>
    </row>
    <row r="27" spans="1:27" x14ac:dyDescent="0.3">
      <c r="A27" s="81"/>
      <c r="B27" s="81"/>
      <c r="C27" s="81"/>
      <c r="D27" s="85"/>
      <c r="E27" s="83"/>
      <c r="F27" s="83"/>
      <c r="G27" s="83"/>
      <c r="H27" s="83"/>
      <c r="I27" s="83"/>
      <c r="J27" s="83"/>
      <c r="K27" s="84"/>
      <c r="L27" s="84"/>
      <c r="M27" s="13"/>
      <c r="N27" s="83">
        <f t="shared" si="8"/>
        <v>0</v>
      </c>
      <c r="O27" s="83">
        <f t="shared" si="9"/>
        <v>0</v>
      </c>
      <c r="P27" s="83">
        <f t="shared" si="3"/>
        <v>0</v>
      </c>
      <c r="Q27" s="81">
        <v>0</v>
      </c>
      <c r="R27" s="81">
        <f t="shared" si="10"/>
        <v>0</v>
      </c>
      <c r="S27" s="81"/>
      <c r="T27" s="81"/>
      <c r="U27" s="81">
        <v>0</v>
      </c>
      <c r="V27" s="81">
        <f t="shared" si="5"/>
        <v>0</v>
      </c>
      <c r="W27" s="250"/>
      <c r="X27" s="204">
        <f t="shared" si="6"/>
        <v>0</v>
      </c>
      <c r="Z27" s="182"/>
      <c r="AA27" s="182"/>
    </row>
    <row r="28" spans="1:27" x14ac:dyDescent="0.3">
      <c r="A28" s="4">
        <f>SUM(A20:A26)</f>
        <v>37970.087999999996</v>
      </c>
      <c r="B28" s="4">
        <f t="shared" ref="B28:L28" si="23">SUM(B20:B26)</f>
        <v>37970.087999999996</v>
      </c>
      <c r="C28" s="4">
        <f t="shared" si="23"/>
        <v>37970.087999999996</v>
      </c>
      <c r="D28" s="4">
        <f t="shared" si="23"/>
        <v>37970.087999999996</v>
      </c>
      <c r="E28" s="4">
        <f t="shared" si="23"/>
        <v>37970.087999999996</v>
      </c>
      <c r="F28" s="4">
        <f t="shared" si="23"/>
        <v>37970.087999999996</v>
      </c>
      <c r="G28" s="4">
        <f t="shared" si="23"/>
        <v>37970.087999999996</v>
      </c>
      <c r="H28" s="4">
        <f t="shared" si="23"/>
        <v>37970.087999999996</v>
      </c>
      <c r="I28" s="4">
        <f t="shared" si="23"/>
        <v>37970.087999999996</v>
      </c>
      <c r="J28" s="4">
        <f t="shared" si="23"/>
        <v>37970.087999999996</v>
      </c>
      <c r="K28" s="4">
        <f t="shared" si="23"/>
        <v>37970.087999999996</v>
      </c>
      <c r="L28" s="4">
        <f t="shared" si="23"/>
        <v>37977.087999999996</v>
      </c>
      <c r="M28" s="13" t="s">
        <v>97</v>
      </c>
      <c r="N28" s="4">
        <f t="shared" ref="N28:O28" si="24">SUM(N20:N26)</f>
        <v>0</v>
      </c>
      <c r="O28" s="4">
        <f t="shared" si="24"/>
        <v>455648.0560000001</v>
      </c>
      <c r="P28" s="4">
        <f t="shared" ref="P28:Q28" si="25">SUM(P20:P26)</f>
        <v>455648.0560000001</v>
      </c>
      <c r="Q28" s="4">
        <f t="shared" si="25"/>
        <v>455648.0560000001</v>
      </c>
      <c r="R28" s="4">
        <f t="shared" si="10"/>
        <v>0</v>
      </c>
      <c r="S28" s="4">
        <v>400000</v>
      </c>
      <c r="T28" s="4">
        <v>8301</v>
      </c>
      <c r="U28" s="4">
        <v>829572.22750000004</v>
      </c>
      <c r="V28" s="4">
        <f t="shared" si="5"/>
        <v>373924.17149999994</v>
      </c>
      <c r="W28" s="4">
        <f t="shared" ref="W28" si="26">SUM(W20:W26)</f>
        <v>0</v>
      </c>
      <c r="X28" s="162">
        <f t="shared" si="6"/>
        <v>0</v>
      </c>
      <c r="Z28" s="182"/>
      <c r="AA28" s="182"/>
    </row>
    <row r="29" spans="1:27" x14ac:dyDescent="0.3">
      <c r="A29" s="81"/>
      <c r="B29" s="81"/>
      <c r="C29" s="81"/>
      <c r="D29" s="82"/>
      <c r="E29" s="86"/>
      <c r="F29" s="86"/>
      <c r="G29" s="86"/>
      <c r="H29" s="87"/>
      <c r="I29" s="87"/>
      <c r="J29" s="87"/>
      <c r="K29" s="84"/>
      <c r="L29" s="84"/>
      <c r="M29" s="80"/>
      <c r="N29" s="86">
        <f t="shared" si="8"/>
        <v>0</v>
      </c>
      <c r="O29" s="86">
        <f t="shared" si="9"/>
        <v>0</v>
      </c>
      <c r="P29" s="86">
        <f t="shared" si="3"/>
        <v>0</v>
      </c>
      <c r="Q29" s="81">
        <v>0</v>
      </c>
      <c r="R29" s="81">
        <f t="shared" si="10"/>
        <v>0</v>
      </c>
      <c r="S29" s="81"/>
      <c r="T29" s="81"/>
      <c r="U29" s="81">
        <v>0</v>
      </c>
      <c r="V29" s="81">
        <f t="shared" si="5"/>
        <v>0</v>
      </c>
      <c r="W29" s="250"/>
      <c r="X29" s="204">
        <f t="shared" si="6"/>
        <v>0</v>
      </c>
      <c r="Z29" s="182"/>
      <c r="AA29" s="182"/>
    </row>
    <row r="30" spans="1:27" x14ac:dyDescent="0.3">
      <c r="A30" s="8">
        <f t="shared" ref="A30:L44" si="27">$Q30/12</f>
        <v>0</v>
      </c>
      <c r="B30" s="8">
        <f t="shared" si="27"/>
        <v>0</v>
      </c>
      <c r="C30" s="8">
        <f t="shared" si="27"/>
        <v>0</v>
      </c>
      <c r="D30" s="8">
        <f t="shared" si="27"/>
        <v>0</v>
      </c>
      <c r="E30" s="8">
        <f t="shared" si="27"/>
        <v>0</v>
      </c>
      <c r="F30" s="8">
        <f t="shared" si="27"/>
        <v>0</v>
      </c>
      <c r="G30" s="8">
        <f t="shared" si="27"/>
        <v>0</v>
      </c>
      <c r="H30" s="8">
        <f t="shared" si="27"/>
        <v>0</v>
      </c>
      <c r="I30" s="8">
        <f t="shared" si="27"/>
        <v>0</v>
      </c>
      <c r="J30" s="8">
        <f t="shared" si="27"/>
        <v>0</v>
      </c>
      <c r="K30" s="8">
        <f t="shared" si="27"/>
        <v>0</v>
      </c>
      <c r="L30" s="8">
        <f t="shared" si="27"/>
        <v>0</v>
      </c>
      <c r="M30" s="238" t="s">
        <v>431</v>
      </c>
      <c r="N30" s="8">
        <f t="shared" ref="N30:N44" si="28">SUM(0)</f>
        <v>0</v>
      </c>
      <c r="O30" s="8">
        <f t="shared" ref="O30:O44" si="29">SUM(A30:L30)</f>
        <v>0</v>
      </c>
      <c r="P30" s="8">
        <f t="shared" si="3"/>
        <v>0</v>
      </c>
      <c r="Q30" s="8">
        <v>0</v>
      </c>
      <c r="R30" s="8">
        <f t="shared" ref="R30:R44" si="30">Q30-P30</f>
        <v>0</v>
      </c>
      <c r="S30" s="8"/>
      <c r="T30" s="8"/>
      <c r="U30" s="8">
        <v>0</v>
      </c>
      <c r="V30" s="8">
        <f t="shared" si="5"/>
        <v>0</v>
      </c>
      <c r="W30" s="251"/>
      <c r="X30" s="158">
        <f t="shared" si="6"/>
        <v>0</v>
      </c>
      <c r="Z30" s="182"/>
      <c r="AA30" s="182"/>
    </row>
    <row r="31" spans="1:27" x14ac:dyDescent="0.3">
      <c r="A31" s="7">
        <f t="shared" si="27"/>
        <v>0</v>
      </c>
      <c r="B31" s="7">
        <f t="shared" si="27"/>
        <v>0</v>
      </c>
      <c r="C31" s="7">
        <f t="shared" si="27"/>
        <v>0</v>
      </c>
      <c r="D31" s="7">
        <f t="shared" si="27"/>
        <v>0</v>
      </c>
      <c r="E31" s="7">
        <f t="shared" si="27"/>
        <v>0</v>
      </c>
      <c r="F31" s="7">
        <f t="shared" si="27"/>
        <v>0</v>
      </c>
      <c r="G31" s="7">
        <f t="shared" si="27"/>
        <v>0</v>
      </c>
      <c r="H31" s="7">
        <f t="shared" si="27"/>
        <v>0</v>
      </c>
      <c r="I31" s="7">
        <f t="shared" si="27"/>
        <v>0</v>
      </c>
      <c r="J31" s="7">
        <f t="shared" si="27"/>
        <v>0</v>
      </c>
      <c r="K31" s="7">
        <f t="shared" si="27"/>
        <v>0</v>
      </c>
      <c r="L31" s="7">
        <f t="shared" si="27"/>
        <v>0</v>
      </c>
      <c r="M31" s="13" t="s">
        <v>432</v>
      </c>
      <c r="N31" s="7">
        <f t="shared" si="28"/>
        <v>0</v>
      </c>
      <c r="O31" s="7">
        <f t="shared" si="29"/>
        <v>0</v>
      </c>
      <c r="P31" s="7">
        <f t="shared" si="3"/>
        <v>0</v>
      </c>
      <c r="Q31" s="7">
        <v>0</v>
      </c>
      <c r="R31" s="7">
        <f t="shared" si="30"/>
        <v>0</v>
      </c>
      <c r="S31" s="7"/>
      <c r="T31" s="7"/>
      <c r="U31" s="7">
        <v>0</v>
      </c>
      <c r="V31" s="7">
        <f t="shared" si="5"/>
        <v>0</v>
      </c>
      <c r="W31" s="248"/>
      <c r="X31" s="159">
        <f t="shared" si="6"/>
        <v>0</v>
      </c>
      <c r="Z31" s="182"/>
      <c r="AA31" s="182"/>
    </row>
    <row r="32" spans="1:27" x14ac:dyDescent="0.3">
      <c r="A32" s="7">
        <f t="shared" si="27"/>
        <v>0</v>
      </c>
      <c r="B32" s="7">
        <f t="shared" si="27"/>
        <v>0</v>
      </c>
      <c r="C32" s="7">
        <f t="shared" si="27"/>
        <v>0</v>
      </c>
      <c r="D32" s="7">
        <f t="shared" si="27"/>
        <v>0</v>
      </c>
      <c r="E32" s="7">
        <f t="shared" si="27"/>
        <v>0</v>
      </c>
      <c r="F32" s="7">
        <f t="shared" si="27"/>
        <v>0</v>
      </c>
      <c r="G32" s="7">
        <f t="shared" si="27"/>
        <v>0</v>
      </c>
      <c r="H32" s="7">
        <f t="shared" si="27"/>
        <v>0</v>
      </c>
      <c r="I32" s="7">
        <f t="shared" si="27"/>
        <v>0</v>
      </c>
      <c r="J32" s="7">
        <f t="shared" si="27"/>
        <v>0</v>
      </c>
      <c r="K32" s="7">
        <f t="shared" si="27"/>
        <v>0</v>
      </c>
      <c r="L32" s="7">
        <f t="shared" si="27"/>
        <v>0</v>
      </c>
      <c r="M32" s="13" t="s">
        <v>433</v>
      </c>
      <c r="N32" s="7">
        <f t="shared" si="28"/>
        <v>0</v>
      </c>
      <c r="O32" s="7">
        <f t="shared" si="29"/>
        <v>0</v>
      </c>
      <c r="P32" s="7">
        <f t="shared" si="3"/>
        <v>0</v>
      </c>
      <c r="Q32" s="7">
        <v>0</v>
      </c>
      <c r="R32" s="7">
        <f t="shared" si="30"/>
        <v>0</v>
      </c>
      <c r="S32" s="7"/>
      <c r="T32" s="7"/>
      <c r="U32" s="7">
        <v>0</v>
      </c>
      <c r="V32" s="7">
        <f t="shared" si="5"/>
        <v>0</v>
      </c>
      <c r="W32" s="248"/>
      <c r="X32" s="159">
        <f t="shared" si="6"/>
        <v>0</v>
      </c>
      <c r="Z32" s="182"/>
      <c r="AA32" s="182"/>
    </row>
    <row r="33" spans="1:27" x14ac:dyDescent="0.3">
      <c r="A33" s="7">
        <f t="shared" si="27"/>
        <v>0</v>
      </c>
      <c r="B33" s="7">
        <f t="shared" si="27"/>
        <v>0</v>
      </c>
      <c r="C33" s="7">
        <f t="shared" si="27"/>
        <v>0</v>
      </c>
      <c r="D33" s="7">
        <f t="shared" si="27"/>
        <v>0</v>
      </c>
      <c r="E33" s="7">
        <f t="shared" si="27"/>
        <v>0</v>
      </c>
      <c r="F33" s="7">
        <f t="shared" si="27"/>
        <v>0</v>
      </c>
      <c r="G33" s="7">
        <f t="shared" si="27"/>
        <v>0</v>
      </c>
      <c r="H33" s="7">
        <f t="shared" si="27"/>
        <v>0</v>
      </c>
      <c r="I33" s="7">
        <f t="shared" si="27"/>
        <v>0</v>
      </c>
      <c r="J33" s="7">
        <f t="shared" si="27"/>
        <v>0</v>
      </c>
      <c r="K33" s="7">
        <f t="shared" si="27"/>
        <v>0</v>
      </c>
      <c r="L33" s="7">
        <f t="shared" si="27"/>
        <v>0</v>
      </c>
      <c r="M33" s="13" t="s">
        <v>434</v>
      </c>
      <c r="N33" s="7">
        <f t="shared" si="28"/>
        <v>0</v>
      </c>
      <c r="O33" s="7">
        <f t="shared" si="29"/>
        <v>0</v>
      </c>
      <c r="P33" s="7">
        <f t="shared" si="3"/>
        <v>0</v>
      </c>
      <c r="Q33" s="7">
        <v>0</v>
      </c>
      <c r="R33" s="7">
        <f t="shared" si="30"/>
        <v>0</v>
      </c>
      <c r="S33" s="7"/>
      <c r="T33" s="7"/>
      <c r="U33" s="7">
        <v>0</v>
      </c>
      <c r="V33" s="7">
        <f t="shared" si="5"/>
        <v>0</v>
      </c>
      <c r="W33" s="248"/>
      <c r="X33" s="159">
        <f t="shared" si="6"/>
        <v>0</v>
      </c>
      <c r="Z33" s="182"/>
      <c r="AA33" s="182"/>
    </row>
    <row r="34" spans="1:27" x14ac:dyDescent="0.3">
      <c r="A34" s="7">
        <f>10532*1.048</f>
        <v>11037.536</v>
      </c>
      <c r="B34" s="7">
        <f t="shared" ref="B34:L34" si="31">10532*1.048</f>
        <v>11037.536</v>
      </c>
      <c r="C34" s="7">
        <f t="shared" si="31"/>
        <v>11037.536</v>
      </c>
      <c r="D34" s="7">
        <f t="shared" si="31"/>
        <v>11037.536</v>
      </c>
      <c r="E34" s="7">
        <f t="shared" si="31"/>
        <v>11037.536</v>
      </c>
      <c r="F34" s="7">
        <f t="shared" si="31"/>
        <v>11037.536</v>
      </c>
      <c r="G34" s="7">
        <f t="shared" si="31"/>
        <v>11037.536</v>
      </c>
      <c r="H34" s="7">
        <f t="shared" si="31"/>
        <v>11037.536</v>
      </c>
      <c r="I34" s="7">
        <f t="shared" si="31"/>
        <v>11037.536</v>
      </c>
      <c r="J34" s="7">
        <f t="shared" si="31"/>
        <v>11037.536</v>
      </c>
      <c r="K34" s="7">
        <f t="shared" si="31"/>
        <v>11037.536</v>
      </c>
      <c r="L34" s="7">
        <f t="shared" si="31"/>
        <v>11037.536</v>
      </c>
      <c r="M34" s="13" t="s">
        <v>435</v>
      </c>
      <c r="N34" s="7">
        <f t="shared" si="28"/>
        <v>0</v>
      </c>
      <c r="O34" s="7">
        <f t="shared" si="29"/>
        <v>132450.43199999997</v>
      </c>
      <c r="P34" s="7">
        <f t="shared" si="3"/>
        <v>132450.43199999997</v>
      </c>
      <c r="Q34" s="7">
        <v>132450.43199999997</v>
      </c>
      <c r="R34" s="7">
        <f t="shared" si="30"/>
        <v>0</v>
      </c>
      <c r="S34" s="7"/>
      <c r="T34" s="202">
        <v>-397840</v>
      </c>
      <c r="U34" s="7">
        <v>126385.90894300002</v>
      </c>
      <c r="V34" s="7">
        <f t="shared" si="5"/>
        <v>-6064.5230569999549</v>
      </c>
      <c r="W34" s="248" t="s">
        <v>296</v>
      </c>
      <c r="X34" s="159">
        <f t="shared" si="6"/>
        <v>0</v>
      </c>
      <c r="Z34" s="182"/>
      <c r="AA34" s="182"/>
    </row>
    <row r="35" spans="1:27" x14ac:dyDescent="0.3">
      <c r="A35" s="7">
        <f t="shared" si="27"/>
        <v>0</v>
      </c>
      <c r="B35" s="7">
        <f t="shared" si="27"/>
        <v>0</v>
      </c>
      <c r="C35" s="7">
        <f t="shared" si="27"/>
        <v>0</v>
      </c>
      <c r="D35" s="7">
        <f t="shared" si="27"/>
        <v>0</v>
      </c>
      <c r="E35" s="7">
        <f t="shared" si="27"/>
        <v>0</v>
      </c>
      <c r="F35" s="7">
        <f t="shared" si="27"/>
        <v>0</v>
      </c>
      <c r="G35" s="7">
        <f t="shared" si="27"/>
        <v>0</v>
      </c>
      <c r="H35" s="7">
        <f t="shared" si="27"/>
        <v>0</v>
      </c>
      <c r="I35" s="7">
        <f t="shared" si="27"/>
        <v>0</v>
      </c>
      <c r="J35" s="7">
        <f t="shared" si="27"/>
        <v>0</v>
      </c>
      <c r="K35" s="7">
        <f t="shared" si="27"/>
        <v>0</v>
      </c>
      <c r="L35" s="7">
        <f t="shared" si="27"/>
        <v>0</v>
      </c>
      <c r="M35" s="13" t="s">
        <v>436</v>
      </c>
      <c r="N35" s="7">
        <f t="shared" si="28"/>
        <v>0</v>
      </c>
      <c r="O35" s="7">
        <f t="shared" si="29"/>
        <v>0</v>
      </c>
      <c r="P35" s="7">
        <f t="shared" si="3"/>
        <v>0</v>
      </c>
      <c r="Q35" s="7">
        <v>0</v>
      </c>
      <c r="R35" s="7">
        <f t="shared" si="30"/>
        <v>0</v>
      </c>
      <c r="S35" s="7"/>
      <c r="T35" s="7"/>
      <c r="U35" s="7">
        <v>0</v>
      </c>
      <c r="V35" s="7">
        <f t="shared" si="5"/>
        <v>0</v>
      </c>
      <c r="W35" s="7"/>
      <c r="X35" s="159">
        <f t="shared" si="6"/>
        <v>0</v>
      </c>
      <c r="Z35" s="182"/>
      <c r="AA35" s="182"/>
    </row>
    <row r="36" spans="1:27" x14ac:dyDescent="0.3">
      <c r="A36" s="7">
        <f t="shared" si="27"/>
        <v>0</v>
      </c>
      <c r="B36" s="7">
        <f t="shared" si="27"/>
        <v>0</v>
      </c>
      <c r="C36" s="7">
        <f t="shared" si="27"/>
        <v>0</v>
      </c>
      <c r="D36" s="7">
        <f t="shared" si="27"/>
        <v>0</v>
      </c>
      <c r="E36" s="7">
        <f t="shared" si="27"/>
        <v>0</v>
      </c>
      <c r="F36" s="7">
        <f t="shared" si="27"/>
        <v>0</v>
      </c>
      <c r="G36" s="7">
        <f t="shared" si="27"/>
        <v>0</v>
      </c>
      <c r="H36" s="7">
        <f t="shared" si="27"/>
        <v>0</v>
      </c>
      <c r="I36" s="7">
        <f t="shared" si="27"/>
        <v>0</v>
      </c>
      <c r="J36" s="7">
        <f t="shared" si="27"/>
        <v>0</v>
      </c>
      <c r="K36" s="7">
        <f t="shared" si="27"/>
        <v>0</v>
      </c>
      <c r="L36" s="7">
        <f t="shared" si="27"/>
        <v>0</v>
      </c>
      <c r="M36" s="13" t="s">
        <v>437</v>
      </c>
      <c r="N36" s="7">
        <f t="shared" si="28"/>
        <v>0</v>
      </c>
      <c r="O36" s="7">
        <f t="shared" si="29"/>
        <v>0</v>
      </c>
      <c r="P36" s="7">
        <f t="shared" si="3"/>
        <v>0</v>
      </c>
      <c r="Q36" s="7">
        <v>0</v>
      </c>
      <c r="R36" s="7">
        <f t="shared" si="30"/>
        <v>0</v>
      </c>
      <c r="S36" s="7"/>
      <c r="T36" s="7"/>
      <c r="U36" s="7">
        <v>0</v>
      </c>
      <c r="V36" s="7">
        <f t="shared" si="5"/>
        <v>0</v>
      </c>
      <c r="W36" s="7"/>
      <c r="X36" s="159">
        <f t="shared" si="6"/>
        <v>0</v>
      </c>
      <c r="Z36" s="182"/>
      <c r="AA36" s="182"/>
    </row>
    <row r="37" spans="1:27" x14ac:dyDescent="0.3">
      <c r="A37" s="7">
        <f t="shared" si="27"/>
        <v>0</v>
      </c>
      <c r="B37" s="7">
        <f t="shared" si="27"/>
        <v>0</v>
      </c>
      <c r="C37" s="7">
        <f t="shared" si="27"/>
        <v>0</v>
      </c>
      <c r="D37" s="7">
        <f t="shared" si="27"/>
        <v>0</v>
      </c>
      <c r="E37" s="7">
        <f t="shared" si="27"/>
        <v>0</v>
      </c>
      <c r="F37" s="7">
        <f t="shared" si="27"/>
        <v>0</v>
      </c>
      <c r="G37" s="7">
        <f t="shared" si="27"/>
        <v>0</v>
      </c>
      <c r="H37" s="7">
        <f t="shared" si="27"/>
        <v>0</v>
      </c>
      <c r="I37" s="7">
        <f t="shared" si="27"/>
        <v>0</v>
      </c>
      <c r="J37" s="7">
        <f t="shared" si="27"/>
        <v>0</v>
      </c>
      <c r="K37" s="7">
        <f t="shared" si="27"/>
        <v>0</v>
      </c>
      <c r="L37" s="7">
        <f t="shared" si="27"/>
        <v>0</v>
      </c>
      <c r="M37" s="238" t="s">
        <v>438</v>
      </c>
      <c r="N37" s="7">
        <f t="shared" si="28"/>
        <v>0</v>
      </c>
      <c r="O37" s="7">
        <f t="shared" si="29"/>
        <v>0</v>
      </c>
      <c r="P37" s="7">
        <f t="shared" si="3"/>
        <v>0</v>
      </c>
      <c r="Q37" s="7">
        <v>0</v>
      </c>
      <c r="R37" s="7">
        <f t="shared" si="30"/>
        <v>0</v>
      </c>
      <c r="S37" s="7"/>
      <c r="T37" s="7"/>
      <c r="U37" s="7">
        <v>0</v>
      </c>
      <c r="V37" s="7">
        <f t="shared" si="5"/>
        <v>0</v>
      </c>
      <c r="W37" s="7"/>
      <c r="X37" s="159">
        <f t="shared" si="6"/>
        <v>0</v>
      </c>
      <c r="Z37" s="182"/>
      <c r="AA37" s="182"/>
    </row>
    <row r="38" spans="1:27" x14ac:dyDescent="0.3">
      <c r="A38" s="7">
        <f t="shared" si="27"/>
        <v>0</v>
      </c>
      <c r="B38" s="7">
        <f t="shared" si="27"/>
        <v>0</v>
      </c>
      <c r="C38" s="7">
        <f t="shared" si="27"/>
        <v>0</v>
      </c>
      <c r="D38" s="7">
        <f t="shared" si="27"/>
        <v>0</v>
      </c>
      <c r="E38" s="7">
        <f t="shared" si="27"/>
        <v>0</v>
      </c>
      <c r="F38" s="7">
        <f t="shared" si="27"/>
        <v>0</v>
      </c>
      <c r="G38" s="7">
        <f t="shared" si="27"/>
        <v>0</v>
      </c>
      <c r="H38" s="7">
        <f t="shared" si="27"/>
        <v>0</v>
      </c>
      <c r="I38" s="7">
        <f t="shared" si="27"/>
        <v>0</v>
      </c>
      <c r="J38" s="7">
        <f t="shared" si="27"/>
        <v>0</v>
      </c>
      <c r="K38" s="7">
        <f t="shared" si="27"/>
        <v>0</v>
      </c>
      <c r="L38" s="7">
        <f t="shared" si="27"/>
        <v>0</v>
      </c>
      <c r="M38" s="13" t="s">
        <v>439</v>
      </c>
      <c r="N38" s="7">
        <f t="shared" si="28"/>
        <v>0</v>
      </c>
      <c r="O38" s="7">
        <f t="shared" si="29"/>
        <v>0</v>
      </c>
      <c r="P38" s="7">
        <f t="shared" si="3"/>
        <v>0</v>
      </c>
      <c r="Q38" s="7">
        <v>0</v>
      </c>
      <c r="R38" s="7">
        <f t="shared" si="30"/>
        <v>0</v>
      </c>
      <c r="S38" s="7"/>
      <c r="T38" s="7"/>
      <c r="U38" s="7">
        <v>0</v>
      </c>
      <c r="V38" s="7">
        <f t="shared" si="5"/>
        <v>0</v>
      </c>
      <c r="W38" s="7"/>
      <c r="X38" s="159">
        <f t="shared" si="6"/>
        <v>0</v>
      </c>
      <c r="Z38" s="182"/>
      <c r="AA38" s="182"/>
    </row>
    <row r="39" spans="1:27" x14ac:dyDescent="0.3">
      <c r="A39" s="7">
        <f t="shared" si="27"/>
        <v>0</v>
      </c>
      <c r="B39" s="7">
        <f t="shared" si="27"/>
        <v>0</v>
      </c>
      <c r="C39" s="7">
        <f t="shared" si="27"/>
        <v>0</v>
      </c>
      <c r="D39" s="7">
        <f t="shared" si="27"/>
        <v>0</v>
      </c>
      <c r="E39" s="7">
        <f t="shared" si="27"/>
        <v>0</v>
      </c>
      <c r="F39" s="7">
        <f t="shared" si="27"/>
        <v>0</v>
      </c>
      <c r="G39" s="7">
        <f t="shared" si="27"/>
        <v>0</v>
      </c>
      <c r="H39" s="7">
        <f t="shared" si="27"/>
        <v>0</v>
      </c>
      <c r="I39" s="7">
        <f t="shared" si="27"/>
        <v>0</v>
      </c>
      <c r="J39" s="7">
        <f t="shared" si="27"/>
        <v>0</v>
      </c>
      <c r="K39" s="7">
        <f t="shared" si="27"/>
        <v>0</v>
      </c>
      <c r="L39" s="7">
        <f t="shared" si="27"/>
        <v>0</v>
      </c>
      <c r="M39" s="13" t="s">
        <v>440</v>
      </c>
      <c r="N39" s="7">
        <f t="shared" si="28"/>
        <v>0</v>
      </c>
      <c r="O39" s="7">
        <f t="shared" si="29"/>
        <v>0</v>
      </c>
      <c r="P39" s="7">
        <f t="shared" si="3"/>
        <v>0</v>
      </c>
      <c r="Q39" s="7">
        <v>0</v>
      </c>
      <c r="R39" s="7">
        <f t="shared" si="30"/>
        <v>0</v>
      </c>
      <c r="S39" s="7"/>
      <c r="T39" s="7"/>
      <c r="U39" s="7">
        <v>0</v>
      </c>
      <c r="V39" s="7">
        <f t="shared" si="5"/>
        <v>0</v>
      </c>
      <c r="W39" s="7"/>
      <c r="X39" s="159">
        <f t="shared" si="6"/>
        <v>0</v>
      </c>
      <c r="Z39" s="182"/>
      <c r="AA39" s="182"/>
    </row>
    <row r="40" spans="1:27" x14ac:dyDescent="0.3">
      <c r="A40" s="7">
        <f t="shared" si="27"/>
        <v>0</v>
      </c>
      <c r="B40" s="7">
        <f t="shared" si="27"/>
        <v>0</v>
      </c>
      <c r="C40" s="7">
        <f t="shared" si="27"/>
        <v>0</v>
      </c>
      <c r="D40" s="7">
        <f t="shared" si="27"/>
        <v>0</v>
      </c>
      <c r="E40" s="7">
        <f t="shared" si="27"/>
        <v>0</v>
      </c>
      <c r="F40" s="7">
        <f t="shared" si="27"/>
        <v>0</v>
      </c>
      <c r="G40" s="7">
        <f t="shared" si="27"/>
        <v>0</v>
      </c>
      <c r="H40" s="7">
        <f t="shared" si="27"/>
        <v>0</v>
      </c>
      <c r="I40" s="7">
        <f t="shared" si="27"/>
        <v>0</v>
      </c>
      <c r="J40" s="7">
        <f t="shared" si="27"/>
        <v>0</v>
      </c>
      <c r="K40" s="7">
        <f t="shared" si="27"/>
        <v>0</v>
      </c>
      <c r="L40" s="7">
        <f t="shared" si="27"/>
        <v>0</v>
      </c>
      <c r="M40" s="13" t="s">
        <v>441</v>
      </c>
      <c r="N40" s="7">
        <f t="shared" si="28"/>
        <v>0</v>
      </c>
      <c r="O40" s="7">
        <f t="shared" si="29"/>
        <v>0</v>
      </c>
      <c r="P40" s="7">
        <f t="shared" si="3"/>
        <v>0</v>
      </c>
      <c r="Q40" s="7">
        <v>0</v>
      </c>
      <c r="R40" s="7">
        <f t="shared" si="30"/>
        <v>0</v>
      </c>
      <c r="S40" s="7"/>
      <c r="T40" s="7"/>
      <c r="U40" s="7">
        <v>0</v>
      </c>
      <c r="V40" s="7">
        <f t="shared" si="5"/>
        <v>0</v>
      </c>
      <c r="W40" s="7"/>
      <c r="X40" s="159">
        <f t="shared" si="6"/>
        <v>0</v>
      </c>
      <c r="Z40" s="182"/>
      <c r="AA40" s="182"/>
    </row>
    <row r="41" spans="1:27" x14ac:dyDescent="0.3">
      <c r="A41" s="7">
        <f t="shared" si="27"/>
        <v>0</v>
      </c>
      <c r="B41" s="7">
        <f t="shared" si="27"/>
        <v>0</v>
      </c>
      <c r="C41" s="7">
        <f t="shared" si="27"/>
        <v>0</v>
      </c>
      <c r="D41" s="7">
        <f t="shared" si="27"/>
        <v>0</v>
      </c>
      <c r="E41" s="7">
        <f t="shared" si="27"/>
        <v>0</v>
      </c>
      <c r="F41" s="7">
        <f t="shared" si="27"/>
        <v>0</v>
      </c>
      <c r="G41" s="7">
        <f t="shared" si="27"/>
        <v>0</v>
      </c>
      <c r="H41" s="7">
        <f t="shared" si="27"/>
        <v>0</v>
      </c>
      <c r="I41" s="7">
        <f t="shared" si="27"/>
        <v>0</v>
      </c>
      <c r="J41" s="7">
        <f t="shared" si="27"/>
        <v>0</v>
      </c>
      <c r="K41" s="7">
        <f t="shared" si="27"/>
        <v>0</v>
      </c>
      <c r="L41" s="7">
        <f t="shared" si="27"/>
        <v>0</v>
      </c>
      <c r="M41" s="13" t="s">
        <v>442</v>
      </c>
      <c r="N41" s="7">
        <f t="shared" si="28"/>
        <v>0</v>
      </c>
      <c r="O41" s="7">
        <f t="shared" si="29"/>
        <v>0</v>
      </c>
      <c r="P41" s="7">
        <f t="shared" si="3"/>
        <v>0</v>
      </c>
      <c r="Q41" s="7">
        <v>0</v>
      </c>
      <c r="R41" s="7">
        <f t="shared" si="30"/>
        <v>0</v>
      </c>
      <c r="S41" s="7"/>
      <c r="T41" s="7"/>
      <c r="U41" s="7">
        <v>0</v>
      </c>
      <c r="V41" s="7">
        <f t="shared" si="5"/>
        <v>0</v>
      </c>
      <c r="W41" s="7"/>
      <c r="X41" s="159">
        <f t="shared" si="6"/>
        <v>0</v>
      </c>
      <c r="Z41" s="182"/>
      <c r="AA41" s="182"/>
    </row>
    <row r="42" spans="1:27" x14ac:dyDescent="0.3">
      <c r="A42" s="7">
        <f t="shared" si="27"/>
        <v>0</v>
      </c>
      <c r="B42" s="7">
        <f t="shared" si="27"/>
        <v>0</v>
      </c>
      <c r="C42" s="7">
        <f t="shared" si="27"/>
        <v>0</v>
      </c>
      <c r="D42" s="7">
        <f t="shared" si="27"/>
        <v>0</v>
      </c>
      <c r="E42" s="7">
        <f t="shared" si="27"/>
        <v>0</v>
      </c>
      <c r="F42" s="7">
        <f t="shared" si="27"/>
        <v>0</v>
      </c>
      <c r="G42" s="7">
        <f t="shared" si="27"/>
        <v>0</v>
      </c>
      <c r="H42" s="7">
        <f t="shared" si="27"/>
        <v>0</v>
      </c>
      <c r="I42" s="7">
        <f t="shared" si="27"/>
        <v>0</v>
      </c>
      <c r="J42" s="7">
        <f t="shared" si="27"/>
        <v>0</v>
      </c>
      <c r="K42" s="7">
        <f t="shared" si="27"/>
        <v>0</v>
      </c>
      <c r="L42" s="7">
        <f t="shared" si="27"/>
        <v>0</v>
      </c>
      <c r="M42" s="13" t="s">
        <v>443</v>
      </c>
      <c r="N42" s="7">
        <f t="shared" si="28"/>
        <v>0</v>
      </c>
      <c r="O42" s="7">
        <f t="shared" si="29"/>
        <v>0</v>
      </c>
      <c r="P42" s="7">
        <f t="shared" si="3"/>
        <v>0</v>
      </c>
      <c r="Q42" s="7">
        <v>0</v>
      </c>
      <c r="R42" s="7">
        <f t="shared" si="30"/>
        <v>0</v>
      </c>
      <c r="S42" s="7"/>
      <c r="T42" s="7"/>
      <c r="U42" s="7">
        <v>0</v>
      </c>
      <c r="V42" s="7">
        <f t="shared" si="5"/>
        <v>0</v>
      </c>
      <c r="W42" s="7"/>
      <c r="X42" s="159">
        <f t="shared" si="6"/>
        <v>0</v>
      </c>
      <c r="Z42" s="182"/>
      <c r="AA42" s="182"/>
    </row>
    <row r="43" spans="1:27" x14ac:dyDescent="0.3">
      <c r="A43" s="7">
        <f t="shared" si="27"/>
        <v>0</v>
      </c>
      <c r="B43" s="7">
        <f t="shared" si="27"/>
        <v>0</v>
      </c>
      <c r="C43" s="7">
        <f t="shared" si="27"/>
        <v>0</v>
      </c>
      <c r="D43" s="7">
        <f t="shared" si="27"/>
        <v>0</v>
      </c>
      <c r="E43" s="7">
        <f t="shared" si="27"/>
        <v>0</v>
      </c>
      <c r="F43" s="7">
        <f t="shared" si="27"/>
        <v>0</v>
      </c>
      <c r="G43" s="7">
        <f t="shared" si="27"/>
        <v>0</v>
      </c>
      <c r="H43" s="7">
        <f t="shared" si="27"/>
        <v>0</v>
      </c>
      <c r="I43" s="7">
        <f t="shared" si="27"/>
        <v>0</v>
      </c>
      <c r="J43" s="7">
        <f t="shared" si="27"/>
        <v>0</v>
      </c>
      <c r="K43" s="7">
        <f t="shared" si="27"/>
        <v>0</v>
      </c>
      <c r="L43" s="7">
        <f t="shared" si="27"/>
        <v>0</v>
      </c>
      <c r="M43" s="13" t="s">
        <v>444</v>
      </c>
      <c r="N43" s="7">
        <f t="shared" si="28"/>
        <v>0</v>
      </c>
      <c r="O43" s="7">
        <f t="shared" si="29"/>
        <v>0</v>
      </c>
      <c r="P43" s="7">
        <f t="shared" si="3"/>
        <v>0</v>
      </c>
      <c r="Q43" s="7">
        <v>0</v>
      </c>
      <c r="R43" s="7">
        <f t="shared" si="30"/>
        <v>0</v>
      </c>
      <c r="S43" s="7"/>
      <c r="T43" s="7"/>
      <c r="U43" s="7">
        <v>0</v>
      </c>
      <c r="V43" s="7">
        <f t="shared" si="5"/>
        <v>0</v>
      </c>
      <c r="W43" s="7"/>
      <c r="X43" s="159">
        <f t="shared" si="6"/>
        <v>0</v>
      </c>
      <c r="Z43" s="182"/>
      <c r="AA43" s="182"/>
    </row>
    <row r="44" spans="1:27" x14ac:dyDescent="0.3">
      <c r="A44" s="11">
        <f t="shared" si="27"/>
        <v>0</v>
      </c>
      <c r="B44" s="11">
        <f t="shared" si="27"/>
        <v>0</v>
      </c>
      <c r="C44" s="11">
        <f t="shared" si="27"/>
        <v>0</v>
      </c>
      <c r="D44" s="11">
        <f t="shared" si="27"/>
        <v>0</v>
      </c>
      <c r="E44" s="11">
        <f t="shared" si="27"/>
        <v>0</v>
      </c>
      <c r="F44" s="11">
        <f t="shared" si="27"/>
        <v>0</v>
      </c>
      <c r="G44" s="11">
        <f t="shared" si="27"/>
        <v>0</v>
      </c>
      <c r="H44" s="11">
        <f t="shared" si="27"/>
        <v>0</v>
      </c>
      <c r="I44" s="11">
        <f t="shared" si="27"/>
        <v>0</v>
      </c>
      <c r="J44" s="11">
        <f t="shared" si="27"/>
        <v>0</v>
      </c>
      <c r="K44" s="11">
        <f t="shared" si="27"/>
        <v>0</v>
      </c>
      <c r="L44" s="11">
        <f t="shared" si="27"/>
        <v>0</v>
      </c>
      <c r="M44" s="238" t="s">
        <v>113</v>
      </c>
      <c r="N44" s="11">
        <f t="shared" si="28"/>
        <v>0</v>
      </c>
      <c r="O44" s="11">
        <f t="shared" si="29"/>
        <v>0</v>
      </c>
      <c r="P44" s="11">
        <f t="shared" si="3"/>
        <v>0</v>
      </c>
      <c r="Q44" s="11">
        <v>0</v>
      </c>
      <c r="R44" s="11">
        <f t="shared" si="30"/>
        <v>0</v>
      </c>
      <c r="S44" s="11"/>
      <c r="T44" s="11"/>
      <c r="U44" s="11">
        <v>0</v>
      </c>
      <c r="V44" s="11">
        <f t="shared" si="5"/>
        <v>0</v>
      </c>
      <c r="W44" s="11"/>
      <c r="X44" s="160">
        <f t="shared" si="6"/>
        <v>0</v>
      </c>
      <c r="Z44" s="182"/>
      <c r="AA44" s="182"/>
    </row>
    <row r="45" spans="1:27" x14ac:dyDescent="0.3">
      <c r="A45" s="8"/>
      <c r="B45" s="86"/>
      <c r="C45" s="86"/>
      <c r="D45" s="85"/>
      <c r="E45" s="83"/>
      <c r="F45" s="83"/>
      <c r="G45" s="83"/>
      <c r="H45" s="83"/>
      <c r="I45" s="83"/>
      <c r="J45" s="83"/>
      <c r="K45" s="84"/>
      <c r="L45" s="84"/>
      <c r="M45" s="13"/>
      <c r="N45" s="83">
        <f t="shared" si="8"/>
        <v>0</v>
      </c>
      <c r="O45" s="83">
        <f t="shared" si="9"/>
        <v>0</v>
      </c>
      <c r="P45" s="83">
        <f t="shared" si="3"/>
        <v>0</v>
      </c>
      <c r="Q45" s="86">
        <v>0</v>
      </c>
      <c r="R45" s="86">
        <f t="shared" si="10"/>
        <v>0</v>
      </c>
      <c r="S45" s="86"/>
      <c r="T45" s="86"/>
      <c r="U45" s="86">
        <v>0</v>
      </c>
      <c r="V45" s="86">
        <f t="shared" si="5"/>
        <v>0</v>
      </c>
      <c r="W45" s="86"/>
      <c r="X45" s="205">
        <f t="shared" si="6"/>
        <v>0</v>
      </c>
      <c r="Z45" s="182"/>
      <c r="AA45" s="182"/>
    </row>
    <row r="46" spans="1:27" x14ac:dyDescent="0.3">
      <c r="A46" s="4">
        <f>SUM(A30:A44)</f>
        <v>11037.536</v>
      </c>
      <c r="B46" s="4">
        <f t="shared" ref="B46:L46" si="32">SUM(B30:B44)</f>
        <v>11037.536</v>
      </c>
      <c r="C46" s="4">
        <f t="shared" si="32"/>
        <v>11037.536</v>
      </c>
      <c r="D46" s="4">
        <f t="shared" si="32"/>
        <v>11037.536</v>
      </c>
      <c r="E46" s="4">
        <f t="shared" si="32"/>
        <v>11037.536</v>
      </c>
      <c r="F46" s="4">
        <f t="shared" si="32"/>
        <v>11037.536</v>
      </c>
      <c r="G46" s="4">
        <f t="shared" si="32"/>
        <v>11037.536</v>
      </c>
      <c r="H46" s="4">
        <f t="shared" si="32"/>
        <v>11037.536</v>
      </c>
      <c r="I46" s="4">
        <f t="shared" si="32"/>
        <v>11037.536</v>
      </c>
      <c r="J46" s="4">
        <f t="shared" si="32"/>
        <v>11037.536</v>
      </c>
      <c r="K46" s="4">
        <f t="shared" si="32"/>
        <v>11037.536</v>
      </c>
      <c r="L46" s="4">
        <f t="shared" si="32"/>
        <v>11037.536</v>
      </c>
      <c r="M46" s="13" t="s">
        <v>114</v>
      </c>
      <c r="N46" s="4">
        <f t="shared" ref="N46:O46" si="33">SUM(N30:N44)</f>
        <v>0</v>
      </c>
      <c r="O46" s="4">
        <f t="shared" si="33"/>
        <v>132450.43199999997</v>
      </c>
      <c r="P46" s="4">
        <f t="shared" ref="P46:Q46" si="34">SUM(P30:P44)</f>
        <v>132450.43199999997</v>
      </c>
      <c r="Q46" s="4">
        <f t="shared" si="34"/>
        <v>132450.43199999997</v>
      </c>
      <c r="R46" s="4">
        <f t="shared" si="10"/>
        <v>0</v>
      </c>
      <c r="S46" s="4">
        <v>0</v>
      </c>
      <c r="T46" s="4">
        <v>-397840</v>
      </c>
      <c r="U46" s="4">
        <v>126385.90894300002</v>
      </c>
      <c r="V46" s="4">
        <f t="shared" si="5"/>
        <v>-6064.5230569999549</v>
      </c>
      <c r="W46" s="4">
        <f t="shared" ref="W46" si="35">SUM(W30:W44)</f>
        <v>0</v>
      </c>
      <c r="X46" s="162">
        <f t="shared" si="6"/>
        <v>0</v>
      </c>
      <c r="Z46" s="182"/>
      <c r="AA46" s="182"/>
    </row>
    <row r="47" spans="1:27" x14ac:dyDescent="0.3">
      <c r="A47" s="81"/>
      <c r="B47" s="81"/>
      <c r="C47" s="81"/>
      <c r="D47" s="82"/>
      <c r="E47" s="86"/>
      <c r="F47" s="86"/>
      <c r="G47" s="86"/>
      <c r="H47" s="87"/>
      <c r="I47" s="87"/>
      <c r="J47" s="87"/>
      <c r="K47" s="84"/>
      <c r="L47" s="84"/>
      <c r="M47" s="80"/>
      <c r="N47" s="86">
        <f t="shared" si="8"/>
        <v>0</v>
      </c>
      <c r="O47" s="86">
        <f t="shared" si="9"/>
        <v>0</v>
      </c>
      <c r="P47" s="86">
        <f t="shared" si="3"/>
        <v>0</v>
      </c>
      <c r="Q47" s="81">
        <v>0</v>
      </c>
      <c r="R47" s="81">
        <f t="shared" si="10"/>
        <v>0</v>
      </c>
      <c r="S47" s="81"/>
      <c r="T47" s="81"/>
      <c r="U47" s="81">
        <v>0</v>
      </c>
      <c r="V47" s="81">
        <f t="shared" si="5"/>
        <v>0</v>
      </c>
      <c r="W47" s="81"/>
      <c r="X47" s="204">
        <f t="shared" si="6"/>
        <v>0</v>
      </c>
      <c r="Z47" s="182"/>
      <c r="AA47" s="182"/>
    </row>
    <row r="48" spans="1:27" x14ac:dyDescent="0.3">
      <c r="A48" s="8">
        <f t="shared" ref="A48:L62" si="36">$Q48/12</f>
        <v>0</v>
      </c>
      <c r="B48" s="8">
        <f t="shared" si="36"/>
        <v>0</v>
      </c>
      <c r="C48" s="8">
        <f t="shared" si="36"/>
        <v>0</v>
      </c>
      <c r="D48" s="8">
        <f t="shared" si="36"/>
        <v>0</v>
      </c>
      <c r="E48" s="8">
        <f t="shared" si="36"/>
        <v>0</v>
      </c>
      <c r="F48" s="8">
        <f t="shared" si="36"/>
        <v>0</v>
      </c>
      <c r="G48" s="8">
        <f t="shared" si="36"/>
        <v>0</v>
      </c>
      <c r="H48" s="8">
        <f t="shared" si="36"/>
        <v>0</v>
      </c>
      <c r="I48" s="8">
        <f t="shared" si="36"/>
        <v>0</v>
      </c>
      <c r="J48" s="8">
        <f t="shared" si="36"/>
        <v>0</v>
      </c>
      <c r="K48" s="8">
        <f t="shared" si="36"/>
        <v>0</v>
      </c>
      <c r="L48" s="8">
        <f t="shared" si="36"/>
        <v>0</v>
      </c>
      <c r="M48" s="238" t="s">
        <v>445</v>
      </c>
      <c r="N48" s="8">
        <f t="shared" ref="N48:N63" si="37">SUM(0)</f>
        <v>0</v>
      </c>
      <c r="O48" s="8">
        <f t="shared" ref="O48:O63" si="38">SUM(A48:L48)</f>
        <v>0</v>
      </c>
      <c r="P48" s="8">
        <f t="shared" si="3"/>
        <v>0</v>
      </c>
      <c r="Q48" s="8">
        <v>0</v>
      </c>
      <c r="R48" s="8">
        <f t="shared" ref="R48:R63" si="39">Q48-P48</f>
        <v>0</v>
      </c>
      <c r="S48" s="8"/>
      <c r="T48" s="8"/>
      <c r="U48" s="8">
        <v>0</v>
      </c>
      <c r="V48" s="8">
        <f t="shared" si="5"/>
        <v>0</v>
      </c>
      <c r="W48" s="8"/>
      <c r="X48" s="158">
        <f t="shared" si="6"/>
        <v>0</v>
      </c>
      <c r="Z48" s="182"/>
      <c r="AA48" s="182"/>
    </row>
    <row r="49" spans="1:27" x14ac:dyDescent="0.3">
      <c r="A49" s="7"/>
      <c r="B49" s="7"/>
      <c r="C49" s="7"/>
      <c r="D49" s="7"/>
      <c r="E49" s="7">
        <f>1773*1.048</f>
        <v>1858.104</v>
      </c>
      <c r="F49" s="7"/>
      <c r="G49" s="7"/>
      <c r="H49" s="7"/>
      <c r="I49" s="7"/>
      <c r="J49" s="7"/>
      <c r="K49" s="7"/>
      <c r="L49" s="7"/>
      <c r="M49" s="13" t="s">
        <v>446</v>
      </c>
      <c r="N49" s="7">
        <f t="shared" si="37"/>
        <v>0</v>
      </c>
      <c r="O49" s="7">
        <f t="shared" si="38"/>
        <v>1858.104</v>
      </c>
      <c r="P49" s="7">
        <f t="shared" si="3"/>
        <v>1858.104</v>
      </c>
      <c r="Q49" s="7">
        <v>1858.104</v>
      </c>
      <c r="R49" s="7">
        <f t="shared" si="39"/>
        <v>0</v>
      </c>
      <c r="S49" s="7"/>
      <c r="T49" s="7"/>
      <c r="U49" s="7">
        <v>1773.042453</v>
      </c>
      <c r="V49" s="7">
        <f t="shared" si="5"/>
        <v>-85.061547000000019</v>
      </c>
      <c r="W49" s="7"/>
      <c r="X49" s="159">
        <f t="shared" si="6"/>
        <v>0</v>
      </c>
      <c r="Z49" s="182"/>
      <c r="AA49" s="182"/>
    </row>
    <row r="50" spans="1:27" x14ac:dyDescent="0.3">
      <c r="A50" s="7"/>
      <c r="B50" s="7"/>
      <c r="C50" s="7"/>
      <c r="D50" s="7"/>
      <c r="E50" s="7"/>
      <c r="F50" s="7">
        <f>107*1.048</f>
        <v>112.13600000000001</v>
      </c>
      <c r="G50" s="7"/>
      <c r="H50" s="7"/>
      <c r="I50" s="7"/>
      <c r="J50" s="7"/>
      <c r="K50" s="7"/>
      <c r="L50" s="7"/>
      <c r="M50" s="13" t="s">
        <v>447</v>
      </c>
      <c r="N50" s="7">
        <f t="shared" si="37"/>
        <v>0</v>
      </c>
      <c r="O50" s="7">
        <f t="shared" si="38"/>
        <v>112.13600000000001</v>
      </c>
      <c r="P50" s="7">
        <f t="shared" si="3"/>
        <v>112.13600000000001</v>
      </c>
      <c r="Q50" s="7">
        <v>112.13600000000001</v>
      </c>
      <c r="R50" s="7">
        <f t="shared" si="39"/>
        <v>0</v>
      </c>
      <c r="S50" s="7"/>
      <c r="T50" s="7"/>
      <c r="U50" s="7">
        <v>107.45711836363637</v>
      </c>
      <c r="V50" s="7">
        <f t="shared" si="5"/>
        <v>-4.6788816363636414</v>
      </c>
      <c r="W50" s="7"/>
      <c r="X50" s="159">
        <f t="shared" si="6"/>
        <v>0</v>
      </c>
      <c r="Z50" s="182"/>
      <c r="AA50" s="182"/>
    </row>
    <row r="51" spans="1:27" x14ac:dyDescent="0.3">
      <c r="A51" s="7">
        <f t="shared" si="36"/>
        <v>0</v>
      </c>
      <c r="B51" s="7">
        <f t="shared" si="36"/>
        <v>0</v>
      </c>
      <c r="C51" s="7">
        <f t="shared" si="36"/>
        <v>0</v>
      </c>
      <c r="D51" s="7">
        <f t="shared" si="36"/>
        <v>0</v>
      </c>
      <c r="E51" s="7">
        <f t="shared" si="36"/>
        <v>0</v>
      </c>
      <c r="F51" s="7">
        <f t="shared" si="36"/>
        <v>0</v>
      </c>
      <c r="G51" s="7">
        <f t="shared" si="36"/>
        <v>0</v>
      </c>
      <c r="H51" s="7">
        <f t="shared" si="36"/>
        <v>0</v>
      </c>
      <c r="I51" s="7">
        <f t="shared" si="36"/>
        <v>0</v>
      </c>
      <c r="J51" s="7">
        <f t="shared" si="36"/>
        <v>0</v>
      </c>
      <c r="K51" s="7">
        <f t="shared" si="36"/>
        <v>0</v>
      </c>
      <c r="L51" s="7">
        <f t="shared" si="36"/>
        <v>0</v>
      </c>
      <c r="M51" s="13" t="s">
        <v>448</v>
      </c>
      <c r="N51" s="7">
        <f t="shared" si="37"/>
        <v>0</v>
      </c>
      <c r="O51" s="7">
        <f t="shared" si="38"/>
        <v>0</v>
      </c>
      <c r="P51" s="7">
        <f t="shared" si="3"/>
        <v>0</v>
      </c>
      <c r="Q51" s="7">
        <v>0</v>
      </c>
      <c r="R51" s="7">
        <f t="shared" si="39"/>
        <v>0</v>
      </c>
      <c r="S51" s="7"/>
      <c r="T51" s="7"/>
      <c r="U51" s="7">
        <v>0</v>
      </c>
      <c r="V51" s="7">
        <f t="shared" si="5"/>
        <v>0</v>
      </c>
      <c r="W51" s="7"/>
      <c r="X51" s="159">
        <f t="shared" si="6"/>
        <v>0</v>
      </c>
      <c r="Z51" s="182"/>
      <c r="AA51" s="182"/>
    </row>
    <row r="52" spans="1:27" x14ac:dyDescent="0.3">
      <c r="A52" s="7"/>
      <c r="B52" s="7"/>
      <c r="C52" s="7"/>
      <c r="D52" s="7"/>
      <c r="E52" s="7">
        <f>215*1.048</f>
        <v>225.32000000000002</v>
      </c>
      <c r="F52" s="7"/>
      <c r="G52" s="7"/>
      <c r="H52" s="7"/>
      <c r="I52" s="7"/>
      <c r="J52" s="7"/>
      <c r="K52" s="7"/>
      <c r="L52" s="7"/>
      <c r="M52" s="13" t="s">
        <v>449</v>
      </c>
      <c r="N52" s="7">
        <f t="shared" si="37"/>
        <v>0</v>
      </c>
      <c r="O52" s="7">
        <f t="shared" si="38"/>
        <v>225.32000000000002</v>
      </c>
      <c r="P52" s="7">
        <f t="shared" si="3"/>
        <v>225.32000000000002</v>
      </c>
      <c r="Q52" s="7">
        <v>225.32000000000002</v>
      </c>
      <c r="R52" s="7">
        <f t="shared" si="39"/>
        <v>0</v>
      </c>
      <c r="S52" s="7"/>
      <c r="T52" s="7"/>
      <c r="U52" s="7">
        <v>214.91423672727274</v>
      </c>
      <c r="V52" s="7">
        <f t="shared" si="5"/>
        <v>-10.405763272727285</v>
      </c>
      <c r="W52" s="7"/>
      <c r="X52" s="159">
        <f t="shared" si="6"/>
        <v>0</v>
      </c>
      <c r="Z52" s="182"/>
      <c r="AA52" s="182"/>
    </row>
    <row r="53" spans="1:27" x14ac:dyDescent="0.3">
      <c r="A53" s="7">
        <f>586*1.048</f>
        <v>614.12800000000004</v>
      </c>
      <c r="B53" s="7">
        <f t="shared" ref="B53:L53" si="40">586*1.048</f>
        <v>614.12800000000004</v>
      </c>
      <c r="C53" s="7">
        <f t="shared" si="40"/>
        <v>614.12800000000004</v>
      </c>
      <c r="D53" s="7">
        <f t="shared" si="40"/>
        <v>614.12800000000004</v>
      </c>
      <c r="E53" s="7">
        <f t="shared" si="40"/>
        <v>614.12800000000004</v>
      </c>
      <c r="F53" s="7">
        <f t="shared" si="40"/>
        <v>614.12800000000004</v>
      </c>
      <c r="G53" s="7">
        <f t="shared" si="40"/>
        <v>614.12800000000004</v>
      </c>
      <c r="H53" s="7">
        <f t="shared" si="40"/>
        <v>614.12800000000004</v>
      </c>
      <c r="I53" s="7">
        <f t="shared" si="40"/>
        <v>614.12800000000004</v>
      </c>
      <c r="J53" s="7">
        <f t="shared" si="40"/>
        <v>614.12800000000004</v>
      </c>
      <c r="K53" s="7">
        <f t="shared" si="40"/>
        <v>614.12800000000004</v>
      </c>
      <c r="L53" s="7">
        <f t="shared" si="40"/>
        <v>614.12800000000004</v>
      </c>
      <c r="M53" s="13" t="s">
        <v>450</v>
      </c>
      <c r="N53" s="7">
        <f t="shared" si="37"/>
        <v>0</v>
      </c>
      <c r="O53" s="7">
        <f t="shared" si="38"/>
        <v>7369.5359999999991</v>
      </c>
      <c r="P53" s="7">
        <f t="shared" si="3"/>
        <v>7369.5359999999991</v>
      </c>
      <c r="Q53" s="7">
        <v>7369.5359999999991</v>
      </c>
      <c r="R53" s="7">
        <f t="shared" si="39"/>
        <v>0</v>
      </c>
      <c r="S53" s="7"/>
      <c r="T53" s="7"/>
      <c r="U53" s="7">
        <v>7033.9767851552724</v>
      </c>
      <c r="V53" s="7">
        <f t="shared" si="5"/>
        <v>-335.55921484472674</v>
      </c>
      <c r="W53" s="7"/>
      <c r="X53" s="159">
        <f t="shared" si="6"/>
        <v>0</v>
      </c>
      <c r="Z53" s="182"/>
      <c r="AA53" s="182"/>
    </row>
    <row r="54" spans="1:27" x14ac:dyDescent="0.3">
      <c r="A54" s="7">
        <f t="shared" si="36"/>
        <v>0</v>
      </c>
      <c r="B54" s="7">
        <f t="shared" si="36"/>
        <v>0</v>
      </c>
      <c r="C54" s="7">
        <f t="shared" si="36"/>
        <v>0</v>
      </c>
      <c r="D54" s="7">
        <f t="shared" si="36"/>
        <v>0</v>
      </c>
      <c r="E54" s="7">
        <f t="shared" si="36"/>
        <v>0</v>
      </c>
      <c r="F54" s="7">
        <f t="shared" si="36"/>
        <v>0</v>
      </c>
      <c r="G54" s="7">
        <f t="shared" si="36"/>
        <v>0</v>
      </c>
      <c r="H54" s="7">
        <f t="shared" si="36"/>
        <v>0</v>
      </c>
      <c r="I54" s="7">
        <f t="shared" si="36"/>
        <v>0</v>
      </c>
      <c r="J54" s="7">
        <f t="shared" si="36"/>
        <v>0</v>
      </c>
      <c r="K54" s="7">
        <f t="shared" si="36"/>
        <v>0</v>
      </c>
      <c r="L54" s="7">
        <f t="shared" si="36"/>
        <v>0</v>
      </c>
      <c r="M54" s="13" t="s">
        <v>451</v>
      </c>
      <c r="N54" s="7">
        <f t="shared" si="37"/>
        <v>0</v>
      </c>
      <c r="O54" s="7">
        <f t="shared" si="38"/>
        <v>0</v>
      </c>
      <c r="P54" s="7">
        <f t="shared" si="3"/>
        <v>0</v>
      </c>
      <c r="Q54" s="7">
        <v>0</v>
      </c>
      <c r="R54" s="7">
        <f t="shared" si="39"/>
        <v>0</v>
      </c>
      <c r="S54" s="7"/>
      <c r="T54" s="7"/>
      <c r="U54" s="7">
        <v>0</v>
      </c>
      <c r="V54" s="7">
        <f t="shared" si="5"/>
        <v>0</v>
      </c>
      <c r="W54" s="7"/>
      <c r="X54" s="159">
        <f t="shared" si="6"/>
        <v>0</v>
      </c>
      <c r="Z54" s="182"/>
      <c r="AA54" s="182"/>
    </row>
    <row r="55" spans="1:27" x14ac:dyDescent="0.3">
      <c r="A55" s="7"/>
      <c r="B55" s="7"/>
      <c r="C55" s="7"/>
      <c r="D55" s="7"/>
      <c r="E55" s="7">
        <f>2000*1.048</f>
        <v>2096</v>
      </c>
      <c r="F55" s="7"/>
      <c r="G55" s="7"/>
      <c r="H55" s="7">
        <f>2185*1.048</f>
        <v>2289.88</v>
      </c>
      <c r="I55" s="7"/>
      <c r="J55" s="7"/>
      <c r="K55" s="7"/>
      <c r="L55" s="7"/>
      <c r="M55" s="238" t="s">
        <v>452</v>
      </c>
      <c r="N55" s="7">
        <f t="shared" si="37"/>
        <v>0</v>
      </c>
      <c r="O55" s="7">
        <f t="shared" si="38"/>
        <v>4385.88</v>
      </c>
      <c r="P55" s="7">
        <f t="shared" si="3"/>
        <v>4385.88</v>
      </c>
      <c r="Q55" s="7">
        <v>4385.88</v>
      </c>
      <c r="R55" s="7">
        <f t="shared" si="39"/>
        <v>0</v>
      </c>
      <c r="S55" s="7"/>
      <c r="T55" s="7">
        <v>-4884</v>
      </c>
      <c r="U55" s="7">
        <v>4185.1415099999995</v>
      </c>
      <c r="V55" s="7">
        <f t="shared" si="5"/>
        <v>-200.73849000000064</v>
      </c>
      <c r="W55" s="7"/>
      <c r="X55" s="159">
        <f t="shared" si="6"/>
        <v>0</v>
      </c>
      <c r="Z55" s="182"/>
      <c r="AA55" s="182"/>
    </row>
    <row r="56" spans="1:27" x14ac:dyDescent="0.3">
      <c r="A56" s="7">
        <f t="shared" si="36"/>
        <v>0</v>
      </c>
      <c r="B56" s="7">
        <f t="shared" si="36"/>
        <v>0</v>
      </c>
      <c r="C56" s="7">
        <f t="shared" si="36"/>
        <v>0</v>
      </c>
      <c r="D56" s="7">
        <f t="shared" si="36"/>
        <v>0</v>
      </c>
      <c r="E56" s="7">
        <f t="shared" si="36"/>
        <v>0</v>
      </c>
      <c r="F56" s="7">
        <f t="shared" si="36"/>
        <v>0</v>
      </c>
      <c r="G56" s="7">
        <f t="shared" si="36"/>
        <v>0</v>
      </c>
      <c r="H56" s="7">
        <f t="shared" si="36"/>
        <v>0</v>
      </c>
      <c r="I56" s="7">
        <f t="shared" si="36"/>
        <v>0</v>
      </c>
      <c r="J56" s="7">
        <f t="shared" si="36"/>
        <v>0</v>
      </c>
      <c r="K56" s="7">
        <f t="shared" si="36"/>
        <v>0</v>
      </c>
      <c r="L56" s="7">
        <f t="shared" si="36"/>
        <v>0</v>
      </c>
      <c r="M56" s="13" t="s">
        <v>453</v>
      </c>
      <c r="N56" s="7">
        <f t="shared" si="37"/>
        <v>0</v>
      </c>
      <c r="O56" s="7">
        <f t="shared" si="38"/>
        <v>0</v>
      </c>
      <c r="P56" s="7">
        <f t="shared" si="3"/>
        <v>0</v>
      </c>
      <c r="Q56" s="7">
        <v>0</v>
      </c>
      <c r="R56" s="7">
        <f t="shared" si="39"/>
        <v>0</v>
      </c>
      <c r="S56" s="7"/>
      <c r="T56" s="7"/>
      <c r="U56" s="7">
        <v>0</v>
      </c>
      <c r="V56" s="7">
        <f t="shared" si="5"/>
        <v>0</v>
      </c>
      <c r="W56" s="7"/>
      <c r="X56" s="159">
        <f t="shared" si="6"/>
        <v>0</v>
      </c>
      <c r="Z56" s="182"/>
      <c r="AA56" s="182"/>
    </row>
    <row r="57" spans="1:27" x14ac:dyDescent="0.3">
      <c r="A57" s="7">
        <f t="shared" si="36"/>
        <v>0</v>
      </c>
      <c r="B57" s="7">
        <f t="shared" si="36"/>
        <v>0</v>
      </c>
      <c r="C57" s="7">
        <f t="shared" si="36"/>
        <v>0</v>
      </c>
      <c r="D57" s="7">
        <f t="shared" si="36"/>
        <v>0</v>
      </c>
      <c r="E57" s="7">
        <f t="shared" si="36"/>
        <v>0</v>
      </c>
      <c r="F57" s="7">
        <f t="shared" si="36"/>
        <v>0</v>
      </c>
      <c r="G57" s="7">
        <f t="shared" si="36"/>
        <v>0</v>
      </c>
      <c r="H57" s="7">
        <f t="shared" si="36"/>
        <v>0</v>
      </c>
      <c r="I57" s="7">
        <f t="shared" si="36"/>
        <v>0</v>
      </c>
      <c r="J57" s="7">
        <f t="shared" si="36"/>
        <v>0</v>
      </c>
      <c r="K57" s="7">
        <f t="shared" si="36"/>
        <v>0</v>
      </c>
      <c r="L57" s="7">
        <f t="shared" si="36"/>
        <v>0</v>
      </c>
      <c r="M57" s="13" t="s">
        <v>454</v>
      </c>
      <c r="N57" s="7">
        <f t="shared" si="37"/>
        <v>0</v>
      </c>
      <c r="O57" s="7">
        <f t="shared" si="38"/>
        <v>0</v>
      </c>
      <c r="P57" s="7">
        <f t="shared" si="3"/>
        <v>0</v>
      </c>
      <c r="Q57" s="7">
        <v>0</v>
      </c>
      <c r="R57" s="7">
        <f t="shared" si="39"/>
        <v>0</v>
      </c>
      <c r="S57" s="7"/>
      <c r="T57" s="7"/>
      <c r="U57" s="7">
        <v>0</v>
      </c>
      <c r="V57" s="7">
        <f t="shared" si="5"/>
        <v>0</v>
      </c>
      <c r="W57" s="248"/>
      <c r="X57" s="159">
        <f t="shared" si="6"/>
        <v>0</v>
      </c>
      <c r="Z57" s="182"/>
      <c r="AA57" s="182"/>
    </row>
    <row r="58" spans="1:27" x14ac:dyDescent="0.3">
      <c r="A58" s="168">
        <f>2043*1.048</f>
        <v>2141.0640000000003</v>
      </c>
      <c r="B58" s="168">
        <f t="shared" ref="B58:L58" si="41">2043*1.048</f>
        <v>2141.0640000000003</v>
      </c>
      <c r="C58" s="168">
        <f t="shared" si="41"/>
        <v>2141.0640000000003</v>
      </c>
      <c r="D58" s="168">
        <f t="shared" si="41"/>
        <v>2141.0640000000003</v>
      </c>
      <c r="E58" s="168">
        <f t="shared" si="41"/>
        <v>2141.0640000000003</v>
      </c>
      <c r="F58" s="168">
        <f t="shared" si="41"/>
        <v>2141.0640000000003</v>
      </c>
      <c r="G58" s="168">
        <f t="shared" si="41"/>
        <v>2141.0640000000003</v>
      </c>
      <c r="H58" s="168">
        <f t="shared" si="41"/>
        <v>2141.0640000000003</v>
      </c>
      <c r="I58" s="168">
        <f t="shared" si="41"/>
        <v>2141.0640000000003</v>
      </c>
      <c r="J58" s="168">
        <f t="shared" si="41"/>
        <v>2141.0640000000003</v>
      </c>
      <c r="K58" s="168">
        <f t="shared" si="41"/>
        <v>2141.0640000000003</v>
      </c>
      <c r="L58" s="168">
        <f t="shared" si="41"/>
        <v>2141.0640000000003</v>
      </c>
      <c r="M58" s="13" t="s">
        <v>455</v>
      </c>
      <c r="N58" s="7">
        <f t="shared" si="37"/>
        <v>0</v>
      </c>
      <c r="O58" s="7">
        <f t="shared" si="38"/>
        <v>25692.767999999996</v>
      </c>
      <c r="P58" s="7">
        <f t="shared" si="3"/>
        <v>25692.767999999996</v>
      </c>
      <c r="Q58" s="7">
        <v>25692.767999999996</v>
      </c>
      <c r="R58" s="7">
        <f t="shared" si="39"/>
        <v>0</v>
      </c>
      <c r="S58" s="7"/>
      <c r="T58" s="7">
        <v>11553</v>
      </c>
      <c r="U58" s="7">
        <v>24512.567754545453</v>
      </c>
      <c r="V58" s="7">
        <f t="shared" si="5"/>
        <v>-1180.2002454545436</v>
      </c>
      <c r="W58" s="248" t="s">
        <v>297</v>
      </c>
      <c r="X58" s="159">
        <f t="shared" si="6"/>
        <v>0</v>
      </c>
      <c r="Z58" s="182"/>
      <c r="AA58" s="182"/>
    </row>
    <row r="59" spans="1:27" x14ac:dyDescent="0.3">
      <c r="A59" s="7">
        <f t="shared" si="36"/>
        <v>0</v>
      </c>
      <c r="B59" s="7">
        <f t="shared" si="36"/>
        <v>0</v>
      </c>
      <c r="C59" s="7">
        <f t="shared" si="36"/>
        <v>0</v>
      </c>
      <c r="D59" s="7">
        <f t="shared" si="36"/>
        <v>0</v>
      </c>
      <c r="E59" s="7">
        <f t="shared" si="36"/>
        <v>0</v>
      </c>
      <c r="F59" s="7">
        <f t="shared" si="36"/>
        <v>0</v>
      </c>
      <c r="G59" s="7">
        <f t="shared" si="36"/>
        <v>0</v>
      </c>
      <c r="H59" s="7">
        <f t="shared" si="36"/>
        <v>0</v>
      </c>
      <c r="I59" s="7">
        <f t="shared" si="36"/>
        <v>0</v>
      </c>
      <c r="J59" s="7">
        <f t="shared" si="36"/>
        <v>0</v>
      </c>
      <c r="K59" s="7">
        <f t="shared" si="36"/>
        <v>0</v>
      </c>
      <c r="L59" s="7">
        <f t="shared" si="36"/>
        <v>0</v>
      </c>
      <c r="M59" s="13" t="s">
        <v>456</v>
      </c>
      <c r="N59" s="7">
        <f t="shared" si="37"/>
        <v>0</v>
      </c>
      <c r="O59" s="7">
        <f t="shared" si="38"/>
        <v>0</v>
      </c>
      <c r="P59" s="7">
        <f t="shared" si="3"/>
        <v>0</v>
      </c>
      <c r="Q59" s="7">
        <v>0</v>
      </c>
      <c r="R59" s="7">
        <f t="shared" si="39"/>
        <v>0</v>
      </c>
      <c r="S59" s="7"/>
      <c r="T59" s="7"/>
      <c r="U59" s="7">
        <v>0</v>
      </c>
      <c r="V59" s="7">
        <f t="shared" si="5"/>
        <v>0</v>
      </c>
      <c r="W59" s="7"/>
      <c r="X59" s="159">
        <f t="shared" si="6"/>
        <v>0</v>
      </c>
      <c r="Z59" s="182"/>
      <c r="AA59" s="182"/>
    </row>
    <row r="60" spans="1:27" x14ac:dyDescent="0.3">
      <c r="A60" s="7">
        <f t="shared" si="36"/>
        <v>0</v>
      </c>
      <c r="B60" s="7">
        <f t="shared" si="36"/>
        <v>0</v>
      </c>
      <c r="C60" s="7">
        <f t="shared" si="36"/>
        <v>0</v>
      </c>
      <c r="D60" s="7">
        <f t="shared" si="36"/>
        <v>0</v>
      </c>
      <c r="E60" s="7">
        <f t="shared" si="36"/>
        <v>0</v>
      </c>
      <c r="F60" s="7">
        <f t="shared" si="36"/>
        <v>0</v>
      </c>
      <c r="G60" s="7">
        <f t="shared" si="36"/>
        <v>0</v>
      </c>
      <c r="H60" s="7">
        <f t="shared" si="36"/>
        <v>0</v>
      </c>
      <c r="I60" s="7">
        <f t="shared" si="36"/>
        <v>0</v>
      </c>
      <c r="J60" s="7">
        <f t="shared" si="36"/>
        <v>0</v>
      </c>
      <c r="K60" s="7">
        <f t="shared" si="36"/>
        <v>0</v>
      </c>
      <c r="L60" s="7">
        <f t="shared" si="36"/>
        <v>0</v>
      </c>
      <c r="M60" s="13" t="s">
        <v>457</v>
      </c>
      <c r="N60" s="7">
        <f t="shared" si="37"/>
        <v>0</v>
      </c>
      <c r="O60" s="7">
        <f t="shared" si="38"/>
        <v>0</v>
      </c>
      <c r="P60" s="7">
        <f t="shared" si="3"/>
        <v>0</v>
      </c>
      <c r="Q60" s="7">
        <v>0</v>
      </c>
      <c r="R60" s="7">
        <f t="shared" si="39"/>
        <v>0</v>
      </c>
      <c r="S60" s="7"/>
      <c r="T60" s="7"/>
      <c r="U60" s="7">
        <v>0</v>
      </c>
      <c r="V60" s="7">
        <f t="shared" si="5"/>
        <v>0</v>
      </c>
      <c r="W60" s="7"/>
      <c r="X60" s="159">
        <f t="shared" si="6"/>
        <v>0</v>
      </c>
      <c r="Z60" s="182"/>
      <c r="AA60" s="182"/>
    </row>
    <row r="61" spans="1:27" x14ac:dyDescent="0.3">
      <c r="A61" s="7">
        <f>9275*1.048</f>
        <v>9720.2000000000007</v>
      </c>
      <c r="B61" s="7">
        <f t="shared" ref="B61:K61" si="42">9275*1.048</f>
        <v>9720.2000000000007</v>
      </c>
      <c r="C61" s="7">
        <f t="shared" si="42"/>
        <v>9720.2000000000007</v>
      </c>
      <c r="D61" s="7">
        <f t="shared" si="42"/>
        <v>9720.2000000000007</v>
      </c>
      <c r="E61" s="7">
        <f t="shared" si="42"/>
        <v>9720.2000000000007</v>
      </c>
      <c r="F61" s="7">
        <f t="shared" si="42"/>
        <v>9720.2000000000007</v>
      </c>
      <c r="G61" s="7">
        <f t="shared" si="42"/>
        <v>9720.2000000000007</v>
      </c>
      <c r="H61" s="7">
        <f t="shared" si="42"/>
        <v>9720.2000000000007</v>
      </c>
      <c r="I61" s="7">
        <f t="shared" si="42"/>
        <v>9720.2000000000007</v>
      </c>
      <c r="J61" s="7">
        <f t="shared" si="42"/>
        <v>9720.2000000000007</v>
      </c>
      <c r="K61" s="7">
        <f t="shared" si="42"/>
        <v>9720.2000000000007</v>
      </c>
      <c r="L61" s="7">
        <f>(9275*1.048)+2</f>
        <v>9722.2000000000007</v>
      </c>
      <c r="M61" s="13" t="s">
        <v>458</v>
      </c>
      <c r="N61" s="7">
        <f t="shared" si="37"/>
        <v>0</v>
      </c>
      <c r="O61" s="7">
        <f t="shared" si="38"/>
        <v>116644.39999999998</v>
      </c>
      <c r="P61" s="7">
        <f t="shared" si="3"/>
        <v>116644.39999999998</v>
      </c>
      <c r="Q61" s="7">
        <v>116644.39999999998</v>
      </c>
      <c r="R61" s="7">
        <f t="shared" si="39"/>
        <v>0</v>
      </c>
      <c r="S61" s="7"/>
      <c r="T61" s="7"/>
      <c r="U61" s="7">
        <v>111302.09999999999</v>
      </c>
      <c r="V61" s="7">
        <f t="shared" si="5"/>
        <v>-5342.2999999999884</v>
      </c>
      <c r="W61" s="7"/>
      <c r="X61" s="159">
        <f t="shared" si="6"/>
        <v>0</v>
      </c>
      <c r="Z61" s="182"/>
      <c r="AA61" s="182"/>
    </row>
    <row r="62" spans="1:27" x14ac:dyDescent="0.3">
      <c r="A62" s="7">
        <f t="shared" si="36"/>
        <v>0</v>
      </c>
      <c r="B62" s="7">
        <f t="shared" si="36"/>
        <v>0</v>
      </c>
      <c r="C62" s="7">
        <f t="shared" si="36"/>
        <v>0</v>
      </c>
      <c r="D62" s="7">
        <f t="shared" si="36"/>
        <v>0</v>
      </c>
      <c r="E62" s="7">
        <f t="shared" si="36"/>
        <v>0</v>
      </c>
      <c r="F62" s="7">
        <f t="shared" si="36"/>
        <v>0</v>
      </c>
      <c r="G62" s="7">
        <f t="shared" si="36"/>
        <v>0</v>
      </c>
      <c r="H62" s="7">
        <f t="shared" si="36"/>
        <v>0</v>
      </c>
      <c r="I62" s="7">
        <f t="shared" si="36"/>
        <v>0</v>
      </c>
      <c r="J62" s="7">
        <f t="shared" si="36"/>
        <v>0</v>
      </c>
      <c r="K62" s="7">
        <f t="shared" si="36"/>
        <v>0</v>
      </c>
      <c r="L62" s="7">
        <f t="shared" si="36"/>
        <v>0</v>
      </c>
      <c r="M62" s="238" t="s">
        <v>459</v>
      </c>
      <c r="N62" s="7">
        <f t="shared" si="37"/>
        <v>0</v>
      </c>
      <c r="O62" s="7">
        <f t="shared" si="38"/>
        <v>0</v>
      </c>
      <c r="P62" s="7">
        <f t="shared" si="3"/>
        <v>0</v>
      </c>
      <c r="Q62" s="7">
        <v>0</v>
      </c>
      <c r="R62" s="7">
        <f t="shared" si="39"/>
        <v>0</v>
      </c>
      <c r="S62" s="7"/>
      <c r="T62" s="7"/>
      <c r="U62" s="7">
        <v>0</v>
      </c>
      <c r="V62" s="7">
        <f t="shared" si="5"/>
        <v>0</v>
      </c>
      <c r="W62" s="7"/>
      <c r="X62" s="159">
        <f t="shared" si="6"/>
        <v>0</v>
      </c>
      <c r="Z62" s="182"/>
      <c r="AA62" s="182"/>
    </row>
    <row r="63" spans="1:27" x14ac:dyDescent="0.3">
      <c r="A63" s="11">
        <f>12585*1.048</f>
        <v>13189.08</v>
      </c>
      <c r="B63" s="11">
        <f t="shared" ref="B63:K63" si="43">12585*1.048</f>
        <v>13189.08</v>
      </c>
      <c r="C63" s="11">
        <f t="shared" si="43"/>
        <v>13189.08</v>
      </c>
      <c r="D63" s="11">
        <f t="shared" si="43"/>
        <v>13189.08</v>
      </c>
      <c r="E63" s="11">
        <f t="shared" si="43"/>
        <v>13189.08</v>
      </c>
      <c r="F63" s="11">
        <f t="shared" si="43"/>
        <v>13189.08</v>
      </c>
      <c r="G63" s="11">
        <f t="shared" si="43"/>
        <v>13189.08</v>
      </c>
      <c r="H63" s="11">
        <f t="shared" si="43"/>
        <v>13189.08</v>
      </c>
      <c r="I63" s="11">
        <f t="shared" si="43"/>
        <v>13189.08</v>
      </c>
      <c r="J63" s="11">
        <f t="shared" si="43"/>
        <v>13189.08</v>
      </c>
      <c r="K63" s="11">
        <f t="shared" si="43"/>
        <v>13189.08</v>
      </c>
      <c r="L63" s="11">
        <f>(12585*1.048)+4</f>
        <v>13193.08</v>
      </c>
      <c r="M63" s="238" t="s">
        <v>460</v>
      </c>
      <c r="N63" s="11">
        <f t="shared" si="37"/>
        <v>0</v>
      </c>
      <c r="O63" s="11">
        <f t="shared" si="38"/>
        <v>158272.95999999996</v>
      </c>
      <c r="P63" s="11">
        <f t="shared" si="3"/>
        <v>158272.95999999996</v>
      </c>
      <c r="Q63" s="11">
        <v>158272.95999999996</v>
      </c>
      <c r="R63" s="11">
        <f t="shared" si="39"/>
        <v>0</v>
      </c>
      <c r="S63" s="11"/>
      <c r="T63" s="11">
        <v>71646</v>
      </c>
      <c r="U63" s="11">
        <v>334631.60222999996</v>
      </c>
      <c r="V63" s="11">
        <f t="shared" si="5"/>
        <v>176358.64223</v>
      </c>
      <c r="W63" s="11"/>
      <c r="X63" s="160">
        <f t="shared" si="6"/>
        <v>0</v>
      </c>
      <c r="Z63" s="182"/>
      <c r="AA63" s="182"/>
    </row>
    <row r="64" spans="1:27" ht="15" thickBot="1" x14ac:dyDescent="0.35">
      <c r="A64" s="89"/>
      <c r="B64" s="89"/>
      <c r="C64" s="89"/>
      <c r="D64" s="90"/>
      <c r="E64" s="91"/>
      <c r="F64" s="91"/>
      <c r="G64" s="91"/>
      <c r="H64" s="91"/>
      <c r="I64" s="91"/>
      <c r="J64" s="91"/>
      <c r="K64" s="92"/>
      <c r="L64" s="92"/>
      <c r="M64" s="13"/>
      <c r="N64" s="91">
        <f t="shared" si="8"/>
        <v>0</v>
      </c>
      <c r="O64" s="91">
        <f t="shared" si="9"/>
        <v>0</v>
      </c>
      <c r="P64" s="91">
        <f t="shared" si="3"/>
        <v>0</v>
      </c>
      <c r="Q64" s="89">
        <v>0</v>
      </c>
      <c r="R64" s="89">
        <f t="shared" si="10"/>
        <v>0</v>
      </c>
      <c r="S64" s="89"/>
      <c r="T64" s="89"/>
      <c r="U64" s="89">
        <v>0</v>
      </c>
      <c r="V64" s="89">
        <f t="shared" si="5"/>
        <v>0</v>
      </c>
      <c r="W64" s="89"/>
      <c r="X64" s="207">
        <f t="shared" si="6"/>
        <v>0</v>
      </c>
      <c r="Z64" s="182"/>
      <c r="AA64" s="182"/>
    </row>
    <row r="65" spans="1:27" x14ac:dyDescent="0.3">
      <c r="A65" s="4">
        <f>SUM(A48:A63)</f>
        <v>25664.472000000002</v>
      </c>
      <c r="B65" s="4">
        <f t="shared" ref="B65:L65" si="44">SUM(B48:B63)</f>
        <v>25664.472000000002</v>
      </c>
      <c r="C65" s="4">
        <f t="shared" si="44"/>
        <v>25664.472000000002</v>
      </c>
      <c r="D65" s="4">
        <f t="shared" si="44"/>
        <v>25664.472000000002</v>
      </c>
      <c r="E65" s="4">
        <f t="shared" si="44"/>
        <v>29843.896000000001</v>
      </c>
      <c r="F65" s="4">
        <f t="shared" si="44"/>
        <v>25776.608</v>
      </c>
      <c r="G65" s="4">
        <f t="shared" si="44"/>
        <v>25664.472000000002</v>
      </c>
      <c r="H65" s="4">
        <f t="shared" si="44"/>
        <v>27954.351999999999</v>
      </c>
      <c r="I65" s="4">
        <f t="shared" si="44"/>
        <v>25664.472000000002</v>
      </c>
      <c r="J65" s="4">
        <f t="shared" si="44"/>
        <v>25664.472000000002</v>
      </c>
      <c r="K65" s="4">
        <f t="shared" si="44"/>
        <v>25664.472000000002</v>
      </c>
      <c r="L65" s="4">
        <f t="shared" si="44"/>
        <v>25670.472000000002</v>
      </c>
      <c r="M65" s="13" t="s">
        <v>132</v>
      </c>
      <c r="N65" s="4">
        <f t="shared" ref="N65:O65" si="45">SUM(N48:N63)</f>
        <v>0</v>
      </c>
      <c r="O65" s="4">
        <f t="shared" si="45"/>
        <v>314561.10399999993</v>
      </c>
      <c r="P65" s="4">
        <f>SUM(P48:P63)</f>
        <v>314561.10399999993</v>
      </c>
      <c r="Q65" s="4">
        <f>SUM(Q48:Q63)</f>
        <v>314561.10399999993</v>
      </c>
      <c r="R65" s="4">
        <f t="shared" si="10"/>
        <v>0</v>
      </c>
      <c r="S65" s="4">
        <v>0</v>
      </c>
      <c r="T65" s="4">
        <v>78315</v>
      </c>
      <c r="U65" s="4">
        <v>483760.80208779161</v>
      </c>
      <c r="V65" s="4">
        <f t="shared" si="5"/>
        <v>169199.69808779168</v>
      </c>
      <c r="W65" s="4">
        <f t="shared" ref="W65" si="46">SUM(W48:W63)</f>
        <v>0</v>
      </c>
      <c r="X65" s="162">
        <f t="shared" si="6"/>
        <v>0</v>
      </c>
      <c r="Z65" s="182"/>
      <c r="AA65" s="182"/>
    </row>
    <row r="66" spans="1:27" x14ac:dyDescent="0.3">
      <c r="A66" s="81"/>
      <c r="B66" s="81"/>
      <c r="C66" s="81"/>
      <c r="D66" s="82"/>
      <c r="E66" s="86"/>
      <c r="F66" s="86"/>
      <c r="G66" s="86"/>
      <c r="H66" s="87"/>
      <c r="I66" s="87"/>
      <c r="J66" s="87"/>
      <c r="K66" s="84"/>
      <c r="L66" s="84"/>
      <c r="M66" s="80"/>
      <c r="N66" s="86">
        <f t="shared" si="8"/>
        <v>0</v>
      </c>
      <c r="O66" s="86">
        <f t="shared" si="9"/>
        <v>0</v>
      </c>
      <c r="P66" s="86">
        <f t="shared" si="3"/>
        <v>0</v>
      </c>
      <c r="Q66" s="81"/>
      <c r="R66" s="81">
        <f t="shared" si="10"/>
        <v>0</v>
      </c>
      <c r="S66" s="81"/>
      <c r="T66" s="81"/>
      <c r="U66" s="81">
        <v>0</v>
      </c>
      <c r="V66" s="81">
        <f t="shared" si="5"/>
        <v>0</v>
      </c>
      <c r="W66" s="81"/>
      <c r="X66" s="204">
        <f t="shared" si="6"/>
        <v>0</v>
      </c>
      <c r="Z66" s="182"/>
      <c r="AA66" s="182"/>
    </row>
    <row r="67" spans="1:27" x14ac:dyDescent="0.3">
      <c r="A67" s="8">
        <f>$Q$67/12</f>
        <v>0</v>
      </c>
      <c r="B67" s="8">
        <f t="shared" ref="B67:L67" si="47">$Q$67/12</f>
        <v>0</v>
      </c>
      <c r="C67" s="8">
        <f t="shared" si="47"/>
        <v>0</v>
      </c>
      <c r="D67" s="8">
        <f t="shared" si="47"/>
        <v>0</v>
      </c>
      <c r="E67" s="8">
        <f t="shared" si="47"/>
        <v>0</v>
      </c>
      <c r="F67" s="8">
        <f t="shared" si="47"/>
        <v>0</v>
      </c>
      <c r="G67" s="8">
        <f t="shared" si="47"/>
        <v>0</v>
      </c>
      <c r="H67" s="8"/>
      <c r="I67" s="8">
        <f t="shared" si="47"/>
        <v>0</v>
      </c>
      <c r="J67" s="8"/>
      <c r="K67" s="8">
        <f t="shared" si="47"/>
        <v>0</v>
      </c>
      <c r="L67" s="8">
        <f t="shared" si="47"/>
        <v>0</v>
      </c>
      <c r="M67" s="238" t="s">
        <v>461</v>
      </c>
      <c r="N67" s="8">
        <f t="shared" ref="N67:N89" si="48">SUM(0)</f>
        <v>0</v>
      </c>
      <c r="O67" s="8">
        <f t="shared" ref="O67:O89" si="49">SUM(A67:L67)</f>
        <v>0</v>
      </c>
      <c r="P67" s="8">
        <f t="shared" si="3"/>
        <v>0</v>
      </c>
      <c r="Q67" s="8">
        <v>0</v>
      </c>
      <c r="R67" s="8">
        <f t="shared" si="10"/>
        <v>0</v>
      </c>
      <c r="S67" s="8"/>
      <c r="T67" s="8"/>
      <c r="U67" s="8">
        <v>0</v>
      </c>
      <c r="V67" s="8">
        <f t="shared" si="5"/>
        <v>0</v>
      </c>
      <c r="W67" s="8"/>
      <c r="X67" s="158">
        <f t="shared" si="6"/>
        <v>0</v>
      </c>
      <c r="Z67" s="182"/>
      <c r="AA67" s="182"/>
    </row>
    <row r="68" spans="1:27" x14ac:dyDescent="0.3">
      <c r="A68" s="7">
        <f>$Q$68/12</f>
        <v>0</v>
      </c>
      <c r="B68" s="7">
        <f t="shared" ref="B68:L68" si="50">$Q$68/12</f>
        <v>0</v>
      </c>
      <c r="C68" s="7">
        <f t="shared" si="50"/>
        <v>0</v>
      </c>
      <c r="D68" s="7">
        <f t="shared" si="50"/>
        <v>0</v>
      </c>
      <c r="E68" s="7">
        <f t="shared" si="50"/>
        <v>0</v>
      </c>
      <c r="F68" s="7">
        <f t="shared" si="50"/>
        <v>0</v>
      </c>
      <c r="G68" s="7">
        <f t="shared" si="50"/>
        <v>0</v>
      </c>
      <c r="H68" s="7"/>
      <c r="I68" s="7">
        <f t="shared" si="50"/>
        <v>0</v>
      </c>
      <c r="J68" s="7"/>
      <c r="K68" s="7">
        <f t="shared" si="50"/>
        <v>0</v>
      </c>
      <c r="L68" s="7">
        <f t="shared" si="50"/>
        <v>0</v>
      </c>
      <c r="M68" s="13" t="s">
        <v>462</v>
      </c>
      <c r="N68" s="7">
        <f t="shared" si="48"/>
        <v>0</v>
      </c>
      <c r="O68" s="7">
        <f t="shared" si="49"/>
        <v>0</v>
      </c>
      <c r="P68" s="7">
        <f t="shared" si="3"/>
        <v>0</v>
      </c>
      <c r="Q68" s="7">
        <v>0</v>
      </c>
      <c r="R68" s="7">
        <f t="shared" si="10"/>
        <v>0</v>
      </c>
      <c r="S68" s="7"/>
      <c r="T68" s="7"/>
      <c r="U68" s="7">
        <v>0</v>
      </c>
      <c r="V68" s="7">
        <f t="shared" si="5"/>
        <v>0</v>
      </c>
      <c r="W68" s="7"/>
      <c r="X68" s="159">
        <f t="shared" si="6"/>
        <v>0</v>
      </c>
      <c r="Z68" s="182"/>
      <c r="AA68" s="182"/>
    </row>
    <row r="69" spans="1:27" x14ac:dyDescent="0.3">
      <c r="A69" s="7">
        <f>$Q$69/12</f>
        <v>0</v>
      </c>
      <c r="B69" s="7">
        <f t="shared" ref="B69:L69" si="51">$Q$69/12</f>
        <v>0</v>
      </c>
      <c r="C69" s="7">
        <f t="shared" si="51"/>
        <v>0</v>
      </c>
      <c r="D69" s="7">
        <f t="shared" si="51"/>
        <v>0</v>
      </c>
      <c r="E69" s="7">
        <f t="shared" si="51"/>
        <v>0</v>
      </c>
      <c r="F69" s="7">
        <f t="shared" si="51"/>
        <v>0</v>
      </c>
      <c r="G69" s="7">
        <f t="shared" si="51"/>
        <v>0</v>
      </c>
      <c r="H69" s="7"/>
      <c r="I69" s="7">
        <f t="shared" si="51"/>
        <v>0</v>
      </c>
      <c r="J69" s="7"/>
      <c r="K69" s="7">
        <f t="shared" si="51"/>
        <v>0</v>
      </c>
      <c r="L69" s="7">
        <f t="shared" si="51"/>
        <v>0</v>
      </c>
      <c r="M69" s="13" t="s">
        <v>463</v>
      </c>
      <c r="N69" s="7">
        <f t="shared" si="48"/>
        <v>0</v>
      </c>
      <c r="O69" s="7">
        <f t="shared" si="49"/>
        <v>0</v>
      </c>
      <c r="P69" s="7">
        <f t="shared" si="3"/>
        <v>0</v>
      </c>
      <c r="Q69" s="7">
        <v>0</v>
      </c>
      <c r="R69" s="7">
        <f t="shared" si="10"/>
        <v>0</v>
      </c>
      <c r="S69" s="7"/>
      <c r="T69" s="7"/>
      <c r="U69" s="7">
        <v>0</v>
      </c>
      <c r="V69" s="7">
        <f t="shared" si="5"/>
        <v>0</v>
      </c>
      <c r="W69" s="7"/>
      <c r="X69" s="159">
        <f t="shared" si="6"/>
        <v>0</v>
      </c>
      <c r="Z69" s="182"/>
      <c r="AA69" s="182"/>
    </row>
    <row r="70" spans="1:27" x14ac:dyDescent="0.3">
      <c r="A70" s="7">
        <f>$Q$70/12</f>
        <v>0</v>
      </c>
      <c r="B70" s="7">
        <f t="shared" ref="B70:L70" si="52">$Q$70/12</f>
        <v>0</v>
      </c>
      <c r="C70" s="7">
        <f t="shared" si="52"/>
        <v>0</v>
      </c>
      <c r="D70" s="7">
        <f t="shared" si="52"/>
        <v>0</v>
      </c>
      <c r="E70" s="7">
        <f t="shared" si="52"/>
        <v>0</v>
      </c>
      <c r="F70" s="7">
        <f t="shared" si="52"/>
        <v>0</v>
      </c>
      <c r="G70" s="7">
        <f t="shared" si="52"/>
        <v>0</v>
      </c>
      <c r="H70" s="7"/>
      <c r="I70" s="7">
        <f t="shared" si="52"/>
        <v>0</v>
      </c>
      <c r="J70" s="7"/>
      <c r="K70" s="7">
        <f t="shared" si="52"/>
        <v>0</v>
      </c>
      <c r="L70" s="7">
        <f t="shared" si="52"/>
        <v>0</v>
      </c>
      <c r="M70" s="13" t="s">
        <v>464</v>
      </c>
      <c r="N70" s="7">
        <f t="shared" si="48"/>
        <v>0</v>
      </c>
      <c r="O70" s="7">
        <f t="shared" si="49"/>
        <v>0</v>
      </c>
      <c r="P70" s="7">
        <f t="shared" si="3"/>
        <v>0</v>
      </c>
      <c r="Q70" s="7">
        <v>0</v>
      </c>
      <c r="R70" s="7">
        <f t="shared" si="10"/>
        <v>0</v>
      </c>
      <c r="S70" s="7"/>
      <c r="T70" s="7"/>
      <c r="U70" s="7">
        <v>0</v>
      </c>
      <c r="V70" s="7">
        <f t="shared" si="5"/>
        <v>0</v>
      </c>
      <c r="W70" s="7"/>
      <c r="X70" s="159">
        <f t="shared" si="6"/>
        <v>0</v>
      </c>
      <c r="Z70" s="182"/>
      <c r="AA70" s="182"/>
    </row>
    <row r="71" spans="1:27" x14ac:dyDescent="0.3">
      <c r="A71" s="7">
        <f>$Q$71/12</f>
        <v>0</v>
      </c>
      <c r="B71" s="7">
        <f t="shared" ref="B71:L71" si="53">$Q$71/12</f>
        <v>0</v>
      </c>
      <c r="C71" s="7">
        <f t="shared" si="53"/>
        <v>0</v>
      </c>
      <c r="D71" s="7">
        <f t="shared" si="53"/>
        <v>0</v>
      </c>
      <c r="E71" s="7">
        <f t="shared" si="53"/>
        <v>0</v>
      </c>
      <c r="F71" s="7">
        <f t="shared" si="53"/>
        <v>0</v>
      </c>
      <c r="G71" s="7">
        <f t="shared" si="53"/>
        <v>0</v>
      </c>
      <c r="H71" s="7"/>
      <c r="I71" s="7">
        <f t="shared" si="53"/>
        <v>0</v>
      </c>
      <c r="J71" s="7"/>
      <c r="K71" s="7">
        <f t="shared" si="53"/>
        <v>0</v>
      </c>
      <c r="L71" s="7">
        <f t="shared" si="53"/>
        <v>0</v>
      </c>
      <c r="M71" s="13" t="s">
        <v>465</v>
      </c>
      <c r="N71" s="7">
        <f t="shared" si="48"/>
        <v>0</v>
      </c>
      <c r="O71" s="7">
        <f t="shared" si="49"/>
        <v>0</v>
      </c>
      <c r="P71" s="7">
        <f t="shared" si="3"/>
        <v>0</v>
      </c>
      <c r="Q71" s="7">
        <v>0</v>
      </c>
      <c r="R71" s="7">
        <f t="shared" si="10"/>
        <v>0</v>
      </c>
      <c r="S71" s="7"/>
      <c r="T71" s="7"/>
      <c r="U71" s="7">
        <v>0</v>
      </c>
      <c r="V71" s="7">
        <f t="shared" si="5"/>
        <v>0</v>
      </c>
      <c r="W71" s="7"/>
      <c r="X71" s="159">
        <f t="shared" si="6"/>
        <v>0</v>
      </c>
      <c r="Z71" s="182"/>
      <c r="AA71" s="182"/>
    </row>
    <row r="72" spans="1:27" x14ac:dyDescent="0.3">
      <c r="A72" s="7">
        <f>$Q$72/12</f>
        <v>0</v>
      </c>
      <c r="B72" s="7">
        <f t="shared" ref="B72:L72" si="54">$Q$72/12</f>
        <v>0</v>
      </c>
      <c r="C72" s="7">
        <f t="shared" si="54"/>
        <v>0</v>
      </c>
      <c r="D72" s="7">
        <f t="shared" si="54"/>
        <v>0</v>
      </c>
      <c r="E72" s="7">
        <f t="shared" si="54"/>
        <v>0</v>
      </c>
      <c r="F72" s="7">
        <f t="shared" si="54"/>
        <v>0</v>
      </c>
      <c r="G72" s="7">
        <f t="shared" si="54"/>
        <v>0</v>
      </c>
      <c r="H72" s="7"/>
      <c r="I72" s="7">
        <f t="shared" si="54"/>
        <v>0</v>
      </c>
      <c r="J72" s="7"/>
      <c r="K72" s="7">
        <f t="shared" si="54"/>
        <v>0</v>
      </c>
      <c r="L72" s="7">
        <f t="shared" si="54"/>
        <v>0</v>
      </c>
      <c r="M72" s="13" t="s">
        <v>466</v>
      </c>
      <c r="N72" s="7">
        <f t="shared" si="48"/>
        <v>0</v>
      </c>
      <c r="O72" s="7">
        <f t="shared" si="49"/>
        <v>0</v>
      </c>
      <c r="P72" s="7">
        <f t="shared" ref="P72:P128" si="55">SUM(N72:O72)</f>
        <v>0</v>
      </c>
      <c r="Q72" s="7">
        <v>0</v>
      </c>
      <c r="R72" s="7">
        <f t="shared" si="10"/>
        <v>0</v>
      </c>
      <c r="S72" s="7"/>
      <c r="T72" s="7"/>
      <c r="U72" s="7">
        <v>0</v>
      </c>
      <c r="V72" s="7">
        <f t="shared" ref="V72:V129" si="56">U72-P72</f>
        <v>0</v>
      </c>
      <c r="W72" s="7"/>
      <c r="X72" s="159">
        <f t="shared" si="6"/>
        <v>0</v>
      </c>
      <c r="Z72" s="182"/>
      <c r="AA72" s="182"/>
    </row>
    <row r="73" spans="1:27" x14ac:dyDescent="0.3">
      <c r="A73" s="7">
        <f>$Q$73/12</f>
        <v>0</v>
      </c>
      <c r="B73" s="7">
        <f t="shared" ref="B73:L73" si="57">$Q$73/12</f>
        <v>0</v>
      </c>
      <c r="C73" s="7">
        <f t="shared" si="57"/>
        <v>0</v>
      </c>
      <c r="D73" s="7">
        <f t="shared" si="57"/>
        <v>0</v>
      </c>
      <c r="E73" s="7">
        <f t="shared" si="57"/>
        <v>0</v>
      </c>
      <c r="F73" s="7">
        <f t="shared" si="57"/>
        <v>0</v>
      </c>
      <c r="G73" s="7">
        <f>$Q$73/12</f>
        <v>0</v>
      </c>
      <c r="H73" s="7"/>
      <c r="I73" s="7">
        <f t="shared" si="57"/>
        <v>0</v>
      </c>
      <c r="J73" s="7"/>
      <c r="K73" s="7">
        <f t="shared" si="57"/>
        <v>0</v>
      </c>
      <c r="L73" s="7">
        <f t="shared" si="57"/>
        <v>0</v>
      </c>
      <c r="M73" s="13" t="s">
        <v>453</v>
      </c>
      <c r="N73" s="7">
        <f t="shared" si="48"/>
        <v>0</v>
      </c>
      <c r="O73" s="7">
        <f t="shared" si="49"/>
        <v>0</v>
      </c>
      <c r="P73" s="7">
        <f t="shared" si="55"/>
        <v>0</v>
      </c>
      <c r="Q73" s="7">
        <v>0</v>
      </c>
      <c r="R73" s="7">
        <f t="shared" ref="R73:R128" si="58">P73-Q73</f>
        <v>0</v>
      </c>
      <c r="S73" s="7"/>
      <c r="T73" s="7"/>
      <c r="U73" s="7">
        <v>0</v>
      </c>
      <c r="V73" s="7">
        <f t="shared" si="56"/>
        <v>0</v>
      </c>
      <c r="W73" s="7"/>
      <c r="X73" s="159">
        <f t="shared" ref="X73:X129" si="59">IFERROR(N73/Q73,0)</f>
        <v>0</v>
      </c>
      <c r="Z73" s="182"/>
      <c r="AA73" s="182"/>
    </row>
    <row r="74" spans="1:27" x14ac:dyDescent="0.3">
      <c r="A74" s="7">
        <f>$Q$74/12</f>
        <v>0</v>
      </c>
      <c r="B74" s="7">
        <f t="shared" ref="B74:L74" si="60">$Q$74/12</f>
        <v>0</v>
      </c>
      <c r="C74" s="7">
        <f t="shared" si="60"/>
        <v>0</v>
      </c>
      <c r="D74" s="7">
        <f t="shared" si="60"/>
        <v>0</v>
      </c>
      <c r="E74" s="7">
        <f t="shared" si="60"/>
        <v>0</v>
      </c>
      <c r="F74" s="7">
        <f t="shared" si="60"/>
        <v>0</v>
      </c>
      <c r="G74" s="7">
        <f t="shared" si="60"/>
        <v>0</v>
      </c>
      <c r="H74" s="7"/>
      <c r="I74" s="7">
        <f t="shared" si="60"/>
        <v>0</v>
      </c>
      <c r="J74" s="7"/>
      <c r="K74" s="7">
        <f t="shared" si="60"/>
        <v>0</v>
      </c>
      <c r="L74" s="7">
        <f t="shared" si="60"/>
        <v>0</v>
      </c>
      <c r="M74" s="238" t="s">
        <v>467</v>
      </c>
      <c r="N74" s="7">
        <f t="shared" si="48"/>
        <v>0</v>
      </c>
      <c r="O74" s="7">
        <f t="shared" si="49"/>
        <v>0</v>
      </c>
      <c r="P74" s="7">
        <f t="shared" si="55"/>
        <v>0</v>
      </c>
      <c r="Q74" s="7">
        <v>0</v>
      </c>
      <c r="R74" s="7">
        <f t="shared" si="58"/>
        <v>0</v>
      </c>
      <c r="S74" s="7"/>
      <c r="T74" s="7"/>
      <c r="U74" s="7">
        <v>0</v>
      </c>
      <c r="V74" s="7">
        <f t="shared" si="56"/>
        <v>0</v>
      </c>
      <c r="W74" s="7"/>
      <c r="X74" s="159">
        <f t="shared" si="59"/>
        <v>0</v>
      </c>
      <c r="Z74" s="182"/>
      <c r="AA74" s="182"/>
    </row>
    <row r="75" spans="1:27" x14ac:dyDescent="0.3">
      <c r="A75" s="7">
        <f>$Q$75/12</f>
        <v>0</v>
      </c>
      <c r="B75" s="7">
        <f t="shared" ref="B75:L75" si="61">$Q$75/12</f>
        <v>0</v>
      </c>
      <c r="C75" s="7">
        <f t="shared" si="61"/>
        <v>0</v>
      </c>
      <c r="D75" s="7">
        <f t="shared" si="61"/>
        <v>0</v>
      </c>
      <c r="E75" s="7">
        <f t="shared" si="61"/>
        <v>0</v>
      </c>
      <c r="F75" s="7">
        <f t="shared" si="61"/>
        <v>0</v>
      </c>
      <c r="G75" s="7">
        <f t="shared" si="61"/>
        <v>0</v>
      </c>
      <c r="H75" s="7"/>
      <c r="I75" s="7">
        <f t="shared" si="61"/>
        <v>0</v>
      </c>
      <c r="J75" s="7"/>
      <c r="K75" s="7">
        <f t="shared" si="61"/>
        <v>0</v>
      </c>
      <c r="L75" s="7">
        <f t="shared" si="61"/>
        <v>0</v>
      </c>
      <c r="M75" s="13" t="s">
        <v>468</v>
      </c>
      <c r="N75" s="7">
        <f t="shared" si="48"/>
        <v>0</v>
      </c>
      <c r="O75" s="7">
        <f t="shared" si="49"/>
        <v>0</v>
      </c>
      <c r="P75" s="7">
        <f t="shared" si="55"/>
        <v>0</v>
      </c>
      <c r="Q75" s="7">
        <v>0</v>
      </c>
      <c r="R75" s="7">
        <f t="shared" si="58"/>
        <v>0</v>
      </c>
      <c r="S75" s="7"/>
      <c r="T75" s="7"/>
      <c r="U75" s="7">
        <v>0</v>
      </c>
      <c r="V75" s="7">
        <f t="shared" si="56"/>
        <v>0</v>
      </c>
      <c r="W75" s="7"/>
      <c r="X75" s="159">
        <f t="shared" si="59"/>
        <v>0</v>
      </c>
      <c r="Z75" s="182"/>
      <c r="AA75" s="182"/>
    </row>
    <row r="76" spans="1:27" x14ac:dyDescent="0.3">
      <c r="A76" s="7">
        <f>$Q$76/12</f>
        <v>0</v>
      </c>
      <c r="B76" s="7">
        <f t="shared" ref="B76:L76" si="62">$Q$76/12</f>
        <v>0</v>
      </c>
      <c r="C76" s="7">
        <f t="shared" si="62"/>
        <v>0</v>
      </c>
      <c r="D76" s="7">
        <f t="shared" si="62"/>
        <v>0</v>
      </c>
      <c r="E76" s="7">
        <f t="shared" si="62"/>
        <v>0</v>
      </c>
      <c r="F76" s="7">
        <f t="shared" si="62"/>
        <v>0</v>
      </c>
      <c r="G76" s="7">
        <f t="shared" si="62"/>
        <v>0</v>
      </c>
      <c r="H76" s="7"/>
      <c r="I76" s="7">
        <f t="shared" si="62"/>
        <v>0</v>
      </c>
      <c r="J76" s="7"/>
      <c r="K76" s="7">
        <f t="shared" si="62"/>
        <v>0</v>
      </c>
      <c r="L76" s="7">
        <f t="shared" si="62"/>
        <v>0</v>
      </c>
      <c r="M76" s="13" t="s">
        <v>469</v>
      </c>
      <c r="N76" s="7">
        <f t="shared" si="48"/>
        <v>0</v>
      </c>
      <c r="O76" s="7">
        <f t="shared" si="49"/>
        <v>0</v>
      </c>
      <c r="P76" s="7">
        <f t="shared" si="55"/>
        <v>0</v>
      </c>
      <c r="Q76" s="7">
        <v>0</v>
      </c>
      <c r="R76" s="7">
        <f t="shared" si="58"/>
        <v>0</v>
      </c>
      <c r="S76" s="7"/>
      <c r="T76" s="7"/>
      <c r="U76" s="7">
        <v>0</v>
      </c>
      <c r="V76" s="7">
        <f t="shared" si="56"/>
        <v>0</v>
      </c>
      <c r="W76" s="7"/>
      <c r="X76" s="159">
        <f t="shared" si="59"/>
        <v>0</v>
      </c>
      <c r="Z76" s="182"/>
      <c r="AA76" s="182"/>
    </row>
    <row r="77" spans="1:27" x14ac:dyDescent="0.3">
      <c r="A77" s="7">
        <f>$Q$77/12</f>
        <v>0</v>
      </c>
      <c r="B77" s="7">
        <f t="shared" ref="B77:L77" si="63">$Q$77/12</f>
        <v>0</v>
      </c>
      <c r="C77" s="7">
        <f t="shared" si="63"/>
        <v>0</v>
      </c>
      <c r="D77" s="7">
        <f t="shared" si="63"/>
        <v>0</v>
      </c>
      <c r="E77" s="7">
        <f t="shared" si="63"/>
        <v>0</v>
      </c>
      <c r="F77" s="7">
        <f t="shared" si="63"/>
        <v>0</v>
      </c>
      <c r="G77" s="7">
        <f t="shared" si="63"/>
        <v>0</v>
      </c>
      <c r="H77" s="7"/>
      <c r="I77" s="7">
        <f t="shared" si="63"/>
        <v>0</v>
      </c>
      <c r="J77" s="7"/>
      <c r="K77" s="7">
        <f t="shared" si="63"/>
        <v>0</v>
      </c>
      <c r="L77" s="7">
        <f t="shared" si="63"/>
        <v>0</v>
      </c>
      <c r="M77" s="13" t="s">
        <v>470</v>
      </c>
      <c r="N77" s="7">
        <f t="shared" si="48"/>
        <v>0</v>
      </c>
      <c r="O77" s="7">
        <f t="shared" si="49"/>
        <v>0</v>
      </c>
      <c r="P77" s="7">
        <f t="shared" si="55"/>
        <v>0</v>
      </c>
      <c r="Q77" s="7">
        <v>0</v>
      </c>
      <c r="R77" s="7">
        <f t="shared" si="58"/>
        <v>0</v>
      </c>
      <c r="S77" s="7"/>
      <c r="T77" s="7"/>
      <c r="U77" s="7">
        <v>0</v>
      </c>
      <c r="V77" s="7">
        <f t="shared" si="56"/>
        <v>0</v>
      </c>
      <c r="W77" s="7"/>
      <c r="X77" s="159">
        <f t="shared" si="59"/>
        <v>0</v>
      </c>
      <c r="Z77" s="182"/>
      <c r="AA77" s="182"/>
    </row>
    <row r="78" spans="1:27" x14ac:dyDescent="0.3">
      <c r="A78" s="7">
        <f>$Q$78/12</f>
        <v>0</v>
      </c>
      <c r="B78" s="7">
        <f t="shared" ref="B78:L78" si="64">$Q$78/12</f>
        <v>0</v>
      </c>
      <c r="C78" s="7">
        <f t="shared" si="64"/>
        <v>0</v>
      </c>
      <c r="D78" s="7">
        <f t="shared" si="64"/>
        <v>0</v>
      </c>
      <c r="E78" s="7">
        <f t="shared" si="64"/>
        <v>0</v>
      </c>
      <c r="F78" s="7">
        <f t="shared" si="64"/>
        <v>0</v>
      </c>
      <c r="G78" s="7">
        <f t="shared" si="64"/>
        <v>0</v>
      </c>
      <c r="H78" s="7"/>
      <c r="I78" s="7">
        <f t="shared" si="64"/>
        <v>0</v>
      </c>
      <c r="J78" s="7"/>
      <c r="K78" s="7">
        <f t="shared" si="64"/>
        <v>0</v>
      </c>
      <c r="L78" s="7">
        <f t="shared" si="64"/>
        <v>0</v>
      </c>
      <c r="M78" s="13" t="s">
        <v>471</v>
      </c>
      <c r="N78" s="7">
        <f t="shared" si="48"/>
        <v>0</v>
      </c>
      <c r="O78" s="7">
        <f t="shared" si="49"/>
        <v>0</v>
      </c>
      <c r="P78" s="7">
        <f t="shared" si="55"/>
        <v>0</v>
      </c>
      <c r="Q78" s="7">
        <v>0</v>
      </c>
      <c r="R78" s="7">
        <f t="shared" si="58"/>
        <v>0</v>
      </c>
      <c r="S78" s="7"/>
      <c r="T78" s="7"/>
      <c r="U78" s="7">
        <v>0</v>
      </c>
      <c r="V78" s="7">
        <f t="shared" si="56"/>
        <v>0</v>
      </c>
      <c r="W78" s="7"/>
      <c r="X78" s="159">
        <f t="shared" si="59"/>
        <v>0</v>
      </c>
      <c r="Z78" s="182"/>
      <c r="AA78" s="182"/>
    </row>
    <row r="79" spans="1:27" x14ac:dyDescent="0.3">
      <c r="A79" s="7">
        <f>$Q$79/12</f>
        <v>0</v>
      </c>
      <c r="B79" s="7">
        <f t="shared" ref="B79:L79" si="65">$Q$79/12</f>
        <v>0</v>
      </c>
      <c r="C79" s="7">
        <f t="shared" si="65"/>
        <v>0</v>
      </c>
      <c r="D79" s="7">
        <f t="shared" si="65"/>
        <v>0</v>
      </c>
      <c r="E79" s="7">
        <f t="shared" si="65"/>
        <v>0</v>
      </c>
      <c r="F79" s="7">
        <f t="shared" si="65"/>
        <v>0</v>
      </c>
      <c r="G79" s="7">
        <f t="shared" si="65"/>
        <v>0</v>
      </c>
      <c r="H79" s="7"/>
      <c r="I79" s="7">
        <f t="shared" si="65"/>
        <v>0</v>
      </c>
      <c r="J79" s="7"/>
      <c r="K79" s="7">
        <f t="shared" si="65"/>
        <v>0</v>
      </c>
      <c r="L79" s="7">
        <f t="shared" si="65"/>
        <v>0</v>
      </c>
      <c r="M79" s="13" t="s">
        <v>472</v>
      </c>
      <c r="N79" s="7">
        <f t="shared" si="48"/>
        <v>0</v>
      </c>
      <c r="O79" s="7">
        <f t="shared" si="49"/>
        <v>0</v>
      </c>
      <c r="P79" s="7">
        <f t="shared" si="55"/>
        <v>0</v>
      </c>
      <c r="Q79" s="7">
        <v>0</v>
      </c>
      <c r="R79" s="7">
        <f t="shared" si="58"/>
        <v>0</v>
      </c>
      <c r="S79" s="7"/>
      <c r="T79" s="7"/>
      <c r="U79" s="7">
        <v>0</v>
      </c>
      <c r="V79" s="7">
        <f t="shared" si="56"/>
        <v>0</v>
      </c>
      <c r="W79" s="7"/>
      <c r="X79" s="159">
        <f t="shared" si="59"/>
        <v>0</v>
      </c>
      <c r="Z79" s="182"/>
      <c r="AA79" s="182"/>
    </row>
    <row r="80" spans="1:27" x14ac:dyDescent="0.3">
      <c r="A80" s="7">
        <f>$Q$80/12</f>
        <v>0</v>
      </c>
      <c r="B80" s="7">
        <f t="shared" ref="B80:L80" si="66">$Q$80/12</f>
        <v>0</v>
      </c>
      <c r="C80" s="7">
        <f t="shared" si="66"/>
        <v>0</v>
      </c>
      <c r="D80" s="7">
        <f t="shared" si="66"/>
        <v>0</v>
      </c>
      <c r="E80" s="7">
        <f t="shared" si="66"/>
        <v>0</v>
      </c>
      <c r="F80" s="7">
        <f t="shared" si="66"/>
        <v>0</v>
      </c>
      <c r="G80" s="7">
        <f t="shared" si="66"/>
        <v>0</v>
      </c>
      <c r="H80" s="7"/>
      <c r="I80" s="7">
        <f t="shared" si="66"/>
        <v>0</v>
      </c>
      <c r="J80" s="7"/>
      <c r="K80" s="7">
        <f t="shared" si="66"/>
        <v>0</v>
      </c>
      <c r="L80" s="7">
        <f t="shared" si="66"/>
        <v>0</v>
      </c>
      <c r="M80" s="13" t="s">
        <v>145</v>
      </c>
      <c r="N80" s="7">
        <f t="shared" si="48"/>
        <v>0</v>
      </c>
      <c r="O80" s="7">
        <f t="shared" si="49"/>
        <v>0</v>
      </c>
      <c r="P80" s="7">
        <f t="shared" si="55"/>
        <v>0</v>
      </c>
      <c r="Q80" s="7">
        <v>0</v>
      </c>
      <c r="R80" s="7">
        <f t="shared" si="58"/>
        <v>0</v>
      </c>
      <c r="S80" s="7"/>
      <c r="T80" s="7"/>
      <c r="U80" s="7">
        <v>0</v>
      </c>
      <c r="V80" s="7">
        <f t="shared" si="56"/>
        <v>0</v>
      </c>
      <c r="W80" s="7"/>
      <c r="X80" s="159">
        <f t="shared" si="59"/>
        <v>0</v>
      </c>
      <c r="Z80" s="182"/>
      <c r="AA80" s="182"/>
    </row>
    <row r="81" spans="1:27" x14ac:dyDescent="0.3">
      <c r="A81" s="7">
        <v>0</v>
      </c>
      <c r="B81" s="7">
        <v>0</v>
      </c>
      <c r="C81" s="203">
        <v>0</v>
      </c>
      <c r="D81" s="7">
        <v>0</v>
      </c>
      <c r="E81" s="7">
        <f>7390*1.048</f>
        <v>7744.72</v>
      </c>
      <c r="F81" s="7">
        <v>0</v>
      </c>
      <c r="G81" s="7">
        <v>0</v>
      </c>
      <c r="H81" s="7">
        <v>0</v>
      </c>
      <c r="I81" s="7">
        <v>0</v>
      </c>
      <c r="J81" s="7"/>
      <c r="K81" s="7">
        <v>0</v>
      </c>
      <c r="L81" s="7"/>
      <c r="M81" s="238" t="s">
        <v>473</v>
      </c>
      <c r="N81" s="7">
        <f t="shared" si="48"/>
        <v>0</v>
      </c>
      <c r="O81" s="7">
        <f t="shared" si="49"/>
        <v>7744.72</v>
      </c>
      <c r="P81" s="7">
        <f t="shared" si="55"/>
        <v>7744.72</v>
      </c>
      <c r="Q81" s="7">
        <v>7744.72</v>
      </c>
      <c r="R81" s="7">
        <f t="shared" si="58"/>
        <v>0</v>
      </c>
      <c r="S81" s="7"/>
      <c r="T81" s="7">
        <v>2390</v>
      </c>
      <c r="U81" s="7">
        <v>7390</v>
      </c>
      <c r="V81" s="7">
        <f t="shared" si="56"/>
        <v>-354.72000000000025</v>
      </c>
      <c r="W81" s="7"/>
      <c r="X81" s="159">
        <f t="shared" si="59"/>
        <v>0</v>
      </c>
      <c r="Z81" s="182"/>
      <c r="AA81" s="182"/>
    </row>
    <row r="82" spans="1:27" x14ac:dyDescent="0.3">
      <c r="A82" s="7">
        <f t="shared" ref="A82:L89" si="67">$Q82/12</f>
        <v>0</v>
      </c>
      <c r="B82" s="7">
        <f t="shared" si="67"/>
        <v>0</v>
      </c>
      <c r="C82" s="7">
        <f t="shared" si="67"/>
        <v>0</v>
      </c>
      <c r="D82" s="7">
        <f t="shared" si="67"/>
        <v>0</v>
      </c>
      <c r="E82" s="7">
        <f t="shared" si="67"/>
        <v>0</v>
      </c>
      <c r="F82" s="7">
        <f t="shared" si="67"/>
        <v>0</v>
      </c>
      <c r="G82" s="7">
        <f t="shared" si="67"/>
        <v>0</v>
      </c>
      <c r="H82" s="7">
        <f t="shared" si="67"/>
        <v>0</v>
      </c>
      <c r="I82" s="7">
        <f t="shared" si="67"/>
        <v>0</v>
      </c>
      <c r="J82" s="7">
        <f t="shared" si="67"/>
        <v>0</v>
      </c>
      <c r="K82" s="7">
        <f t="shared" si="67"/>
        <v>0</v>
      </c>
      <c r="L82" s="7">
        <f t="shared" si="67"/>
        <v>0</v>
      </c>
      <c r="M82" s="238" t="s">
        <v>474</v>
      </c>
      <c r="N82" s="7">
        <f t="shared" si="48"/>
        <v>0</v>
      </c>
      <c r="O82" s="7">
        <f t="shared" si="49"/>
        <v>0</v>
      </c>
      <c r="P82" s="7">
        <f t="shared" si="55"/>
        <v>0</v>
      </c>
      <c r="Q82" s="7">
        <v>0</v>
      </c>
      <c r="R82" s="7">
        <f t="shared" si="58"/>
        <v>0</v>
      </c>
      <c r="S82" s="7"/>
      <c r="T82" s="7"/>
      <c r="U82" s="7">
        <v>0</v>
      </c>
      <c r="V82" s="7">
        <f t="shared" si="56"/>
        <v>0</v>
      </c>
      <c r="W82" s="7"/>
      <c r="X82" s="159">
        <f t="shared" si="59"/>
        <v>0</v>
      </c>
      <c r="Z82" s="182"/>
      <c r="AA82" s="182"/>
    </row>
    <row r="83" spans="1:27" x14ac:dyDescent="0.3">
      <c r="A83" s="7">
        <f t="shared" si="67"/>
        <v>0</v>
      </c>
      <c r="B83" s="7">
        <f t="shared" si="67"/>
        <v>0</v>
      </c>
      <c r="C83" s="7">
        <f t="shared" si="67"/>
        <v>0</v>
      </c>
      <c r="D83" s="7">
        <f t="shared" si="67"/>
        <v>0</v>
      </c>
      <c r="E83" s="7">
        <f t="shared" si="67"/>
        <v>0</v>
      </c>
      <c r="F83" s="7">
        <f t="shared" si="67"/>
        <v>0</v>
      </c>
      <c r="G83" s="7">
        <f t="shared" si="67"/>
        <v>0</v>
      </c>
      <c r="H83" s="7">
        <f t="shared" si="67"/>
        <v>0</v>
      </c>
      <c r="I83" s="7">
        <f t="shared" si="67"/>
        <v>0</v>
      </c>
      <c r="J83" s="7">
        <f t="shared" si="67"/>
        <v>0</v>
      </c>
      <c r="K83" s="7">
        <f t="shared" si="67"/>
        <v>0</v>
      </c>
      <c r="L83" s="7">
        <f t="shared" si="67"/>
        <v>0</v>
      </c>
      <c r="M83" s="238" t="s">
        <v>148</v>
      </c>
      <c r="N83" s="7">
        <f t="shared" si="48"/>
        <v>0</v>
      </c>
      <c r="O83" s="7">
        <f t="shared" si="49"/>
        <v>0</v>
      </c>
      <c r="P83" s="7">
        <f t="shared" si="55"/>
        <v>0</v>
      </c>
      <c r="Q83" s="7">
        <v>0</v>
      </c>
      <c r="R83" s="7">
        <f t="shared" si="58"/>
        <v>0</v>
      </c>
      <c r="S83" s="7"/>
      <c r="T83" s="7"/>
      <c r="U83" s="7">
        <v>0</v>
      </c>
      <c r="V83" s="7">
        <f t="shared" si="56"/>
        <v>0</v>
      </c>
      <c r="W83" s="7"/>
      <c r="X83" s="159">
        <f t="shared" si="59"/>
        <v>0</v>
      </c>
      <c r="Z83" s="182"/>
      <c r="AA83" s="182"/>
    </row>
    <row r="84" spans="1:27" x14ac:dyDescent="0.3">
      <c r="A84" s="7">
        <f t="shared" si="67"/>
        <v>0</v>
      </c>
      <c r="B84" s="7">
        <f t="shared" si="67"/>
        <v>0</v>
      </c>
      <c r="C84" s="7">
        <f t="shared" si="67"/>
        <v>0</v>
      </c>
      <c r="D84" s="7">
        <f t="shared" si="67"/>
        <v>0</v>
      </c>
      <c r="E84" s="7">
        <f t="shared" si="67"/>
        <v>0</v>
      </c>
      <c r="F84" s="7">
        <f t="shared" si="67"/>
        <v>0</v>
      </c>
      <c r="G84" s="7">
        <f t="shared" si="67"/>
        <v>0</v>
      </c>
      <c r="H84" s="7">
        <f t="shared" si="67"/>
        <v>0</v>
      </c>
      <c r="I84" s="7">
        <f t="shared" si="67"/>
        <v>0</v>
      </c>
      <c r="J84" s="7">
        <f t="shared" si="67"/>
        <v>0</v>
      </c>
      <c r="K84" s="7">
        <f t="shared" si="67"/>
        <v>0</v>
      </c>
      <c r="L84" s="7">
        <f>$Q84/12</f>
        <v>0</v>
      </c>
      <c r="M84" s="13" t="s">
        <v>475</v>
      </c>
      <c r="N84" s="7">
        <f t="shared" si="48"/>
        <v>0</v>
      </c>
      <c r="O84" s="7">
        <f t="shared" si="49"/>
        <v>0</v>
      </c>
      <c r="P84" s="7">
        <f t="shared" si="55"/>
        <v>0</v>
      </c>
      <c r="Q84" s="7">
        <v>0</v>
      </c>
      <c r="R84" s="7">
        <f t="shared" si="58"/>
        <v>0</v>
      </c>
      <c r="S84" s="7"/>
      <c r="T84" s="7"/>
      <c r="U84" s="7">
        <v>0</v>
      </c>
      <c r="V84" s="7">
        <f t="shared" si="56"/>
        <v>0</v>
      </c>
      <c r="W84" s="7"/>
      <c r="X84" s="159">
        <f t="shared" si="59"/>
        <v>0</v>
      </c>
      <c r="Z84" s="182"/>
      <c r="AA84" s="182"/>
    </row>
    <row r="85" spans="1:27" x14ac:dyDescent="0.3">
      <c r="A85" s="7">
        <f t="shared" si="67"/>
        <v>0</v>
      </c>
      <c r="B85" s="7">
        <f t="shared" si="67"/>
        <v>0</v>
      </c>
      <c r="C85" s="7">
        <f t="shared" si="67"/>
        <v>0</v>
      </c>
      <c r="D85" s="7">
        <f t="shared" si="67"/>
        <v>0</v>
      </c>
      <c r="E85" s="7">
        <f t="shared" si="67"/>
        <v>0</v>
      </c>
      <c r="F85" s="7">
        <f t="shared" si="67"/>
        <v>0</v>
      </c>
      <c r="G85" s="7">
        <f t="shared" si="67"/>
        <v>0</v>
      </c>
      <c r="H85" s="7">
        <f t="shared" si="67"/>
        <v>0</v>
      </c>
      <c r="I85" s="7">
        <f t="shared" si="67"/>
        <v>0</v>
      </c>
      <c r="J85" s="7">
        <f t="shared" si="67"/>
        <v>0</v>
      </c>
      <c r="K85" s="7">
        <f t="shared" si="67"/>
        <v>0</v>
      </c>
      <c r="L85" s="7">
        <f t="shared" si="67"/>
        <v>0</v>
      </c>
      <c r="M85" s="13" t="s">
        <v>476</v>
      </c>
      <c r="N85" s="7">
        <f t="shared" si="48"/>
        <v>0</v>
      </c>
      <c r="O85" s="7">
        <f t="shared" si="49"/>
        <v>0</v>
      </c>
      <c r="P85" s="7">
        <f t="shared" si="55"/>
        <v>0</v>
      </c>
      <c r="Q85" s="7">
        <v>0</v>
      </c>
      <c r="R85" s="7">
        <f t="shared" si="58"/>
        <v>0</v>
      </c>
      <c r="S85" s="7"/>
      <c r="T85" s="7"/>
      <c r="U85" s="7">
        <v>0</v>
      </c>
      <c r="V85" s="7">
        <f t="shared" si="56"/>
        <v>0</v>
      </c>
      <c r="W85" s="7"/>
      <c r="X85" s="159">
        <f t="shared" si="59"/>
        <v>0</v>
      </c>
      <c r="Z85" s="182"/>
      <c r="AA85" s="182"/>
    </row>
    <row r="86" spans="1:27" x14ac:dyDescent="0.3">
      <c r="A86" s="7">
        <f t="shared" si="67"/>
        <v>0</v>
      </c>
      <c r="B86" s="7">
        <f t="shared" si="67"/>
        <v>0</v>
      </c>
      <c r="C86" s="7">
        <f t="shared" si="67"/>
        <v>0</v>
      </c>
      <c r="D86" s="7">
        <f t="shared" si="67"/>
        <v>0</v>
      </c>
      <c r="E86" s="7">
        <f t="shared" si="67"/>
        <v>0</v>
      </c>
      <c r="F86" s="7">
        <f t="shared" si="67"/>
        <v>0</v>
      </c>
      <c r="G86" s="7">
        <f t="shared" si="67"/>
        <v>0</v>
      </c>
      <c r="H86" s="7">
        <f t="shared" si="67"/>
        <v>0</v>
      </c>
      <c r="I86" s="7">
        <f t="shared" si="67"/>
        <v>0</v>
      </c>
      <c r="J86" s="7">
        <f t="shared" si="67"/>
        <v>0</v>
      </c>
      <c r="K86" s="7">
        <f t="shared" si="67"/>
        <v>0</v>
      </c>
      <c r="L86" s="7">
        <f t="shared" si="67"/>
        <v>0</v>
      </c>
      <c r="M86" s="13" t="s">
        <v>151</v>
      </c>
      <c r="N86" s="7">
        <f t="shared" si="48"/>
        <v>0</v>
      </c>
      <c r="O86" s="7">
        <f t="shared" si="49"/>
        <v>0</v>
      </c>
      <c r="P86" s="7">
        <f t="shared" si="55"/>
        <v>0</v>
      </c>
      <c r="Q86" s="7">
        <v>0</v>
      </c>
      <c r="R86" s="7">
        <f t="shared" si="58"/>
        <v>0</v>
      </c>
      <c r="S86" s="7"/>
      <c r="T86" s="7"/>
      <c r="U86" s="7">
        <v>0</v>
      </c>
      <c r="V86" s="7">
        <f t="shared" si="56"/>
        <v>0</v>
      </c>
      <c r="W86" s="7"/>
      <c r="X86" s="159">
        <f t="shared" si="59"/>
        <v>0</v>
      </c>
      <c r="Z86" s="182"/>
      <c r="AA86" s="182"/>
    </row>
    <row r="87" spans="1:27" x14ac:dyDescent="0.3">
      <c r="A87" s="7">
        <f>4121*1.048</f>
        <v>4318.808</v>
      </c>
      <c r="B87" s="7">
        <f t="shared" ref="B87:L87" si="68">4121*1.048</f>
        <v>4318.808</v>
      </c>
      <c r="C87" s="7">
        <f t="shared" si="68"/>
        <v>4318.808</v>
      </c>
      <c r="D87" s="7">
        <f t="shared" si="68"/>
        <v>4318.808</v>
      </c>
      <c r="E87" s="7">
        <f t="shared" si="68"/>
        <v>4318.808</v>
      </c>
      <c r="F87" s="7">
        <f t="shared" si="68"/>
        <v>4318.808</v>
      </c>
      <c r="G87" s="7">
        <f t="shared" si="68"/>
        <v>4318.808</v>
      </c>
      <c r="H87" s="7">
        <f t="shared" si="68"/>
        <v>4318.808</v>
      </c>
      <c r="I87" s="7">
        <f t="shared" si="68"/>
        <v>4318.808</v>
      </c>
      <c r="J87" s="7">
        <f t="shared" si="68"/>
        <v>4318.808</v>
      </c>
      <c r="K87" s="7">
        <f t="shared" si="68"/>
        <v>4318.808</v>
      </c>
      <c r="L87" s="7">
        <f t="shared" si="68"/>
        <v>4318.808</v>
      </c>
      <c r="M87" s="13" t="s">
        <v>477</v>
      </c>
      <c r="N87" s="7">
        <f t="shared" si="48"/>
        <v>0</v>
      </c>
      <c r="O87" s="7">
        <f t="shared" si="49"/>
        <v>51825.695999999989</v>
      </c>
      <c r="P87" s="7">
        <f t="shared" si="55"/>
        <v>51825.695999999989</v>
      </c>
      <c r="Q87" s="7">
        <v>51825.695999999989</v>
      </c>
      <c r="R87" s="7">
        <f t="shared" si="58"/>
        <v>0</v>
      </c>
      <c r="S87" s="7"/>
      <c r="T87" s="7">
        <v>19393</v>
      </c>
      <c r="U87" s="7">
        <v>119393</v>
      </c>
      <c r="V87" s="7">
        <f t="shared" si="56"/>
        <v>67567.304000000004</v>
      </c>
      <c r="W87" s="7"/>
      <c r="X87" s="159">
        <f t="shared" si="59"/>
        <v>0</v>
      </c>
      <c r="Z87" s="182"/>
      <c r="AA87" s="182"/>
    </row>
    <row r="88" spans="1:27" x14ac:dyDescent="0.3">
      <c r="A88" s="7">
        <f t="shared" si="67"/>
        <v>0</v>
      </c>
      <c r="B88" s="7">
        <f t="shared" si="67"/>
        <v>0</v>
      </c>
      <c r="C88" s="7">
        <f t="shared" si="67"/>
        <v>0</v>
      </c>
      <c r="D88" s="7">
        <f t="shared" si="67"/>
        <v>0</v>
      </c>
      <c r="E88" s="7">
        <f t="shared" si="67"/>
        <v>0</v>
      </c>
      <c r="F88" s="7">
        <f t="shared" si="67"/>
        <v>0</v>
      </c>
      <c r="G88" s="7">
        <f t="shared" si="67"/>
        <v>0</v>
      </c>
      <c r="H88" s="7">
        <f t="shared" si="67"/>
        <v>0</v>
      </c>
      <c r="I88" s="7">
        <f t="shared" si="67"/>
        <v>0</v>
      </c>
      <c r="J88" s="7">
        <f t="shared" si="67"/>
        <v>0</v>
      </c>
      <c r="K88" s="7">
        <f t="shared" si="67"/>
        <v>0</v>
      </c>
      <c r="L88" s="7">
        <f t="shared" si="67"/>
        <v>0</v>
      </c>
      <c r="M88" s="13" t="s">
        <v>478</v>
      </c>
      <c r="N88" s="7">
        <f t="shared" si="48"/>
        <v>0</v>
      </c>
      <c r="O88" s="7">
        <f t="shared" si="49"/>
        <v>0</v>
      </c>
      <c r="P88" s="7">
        <f t="shared" si="55"/>
        <v>0</v>
      </c>
      <c r="Q88" s="7">
        <v>0</v>
      </c>
      <c r="R88" s="7">
        <f t="shared" si="58"/>
        <v>0</v>
      </c>
      <c r="S88" s="7"/>
      <c r="T88" s="7"/>
      <c r="U88" s="7">
        <v>0</v>
      </c>
      <c r="V88" s="7">
        <f t="shared" si="56"/>
        <v>0</v>
      </c>
      <c r="W88" s="7"/>
      <c r="X88" s="159">
        <f t="shared" si="59"/>
        <v>0</v>
      </c>
      <c r="Z88" s="182"/>
      <c r="AA88" s="182"/>
    </row>
    <row r="89" spans="1:27" x14ac:dyDescent="0.3">
      <c r="A89" s="11">
        <f t="shared" si="67"/>
        <v>0</v>
      </c>
      <c r="B89" s="11">
        <f t="shared" si="67"/>
        <v>0</v>
      </c>
      <c r="C89" s="11">
        <f t="shared" si="67"/>
        <v>0</v>
      </c>
      <c r="D89" s="11">
        <f t="shared" si="67"/>
        <v>0</v>
      </c>
      <c r="E89" s="11">
        <f t="shared" si="67"/>
        <v>0</v>
      </c>
      <c r="F89" s="11">
        <f t="shared" si="67"/>
        <v>0</v>
      </c>
      <c r="G89" s="11">
        <f t="shared" si="67"/>
        <v>0</v>
      </c>
      <c r="H89" s="11">
        <f t="shared" si="67"/>
        <v>0</v>
      </c>
      <c r="I89" s="11">
        <f t="shared" si="67"/>
        <v>0</v>
      </c>
      <c r="J89" s="11">
        <f t="shared" si="67"/>
        <v>0</v>
      </c>
      <c r="K89" s="11">
        <f t="shared" si="67"/>
        <v>0</v>
      </c>
      <c r="L89" s="11">
        <f t="shared" si="67"/>
        <v>0</v>
      </c>
      <c r="M89" s="238" t="s">
        <v>479</v>
      </c>
      <c r="N89" s="11">
        <f t="shared" si="48"/>
        <v>0</v>
      </c>
      <c r="O89" s="11">
        <f t="shared" si="49"/>
        <v>0</v>
      </c>
      <c r="P89" s="11">
        <f t="shared" si="55"/>
        <v>0</v>
      </c>
      <c r="Q89" s="11">
        <v>0</v>
      </c>
      <c r="R89" s="11">
        <f t="shared" si="58"/>
        <v>0</v>
      </c>
      <c r="S89" s="11"/>
      <c r="T89" s="11"/>
      <c r="U89" s="11">
        <v>0</v>
      </c>
      <c r="V89" s="11">
        <f t="shared" si="56"/>
        <v>0</v>
      </c>
      <c r="W89" s="11"/>
      <c r="X89" s="160">
        <f t="shared" si="59"/>
        <v>0</v>
      </c>
      <c r="Z89" s="182"/>
      <c r="AA89" s="182"/>
    </row>
    <row r="90" spans="1:27" ht="15" thickBot="1" x14ac:dyDescent="0.35">
      <c r="A90" s="93"/>
      <c r="B90" s="93"/>
      <c r="C90" s="93"/>
      <c r="D90" s="94"/>
      <c r="E90" s="91"/>
      <c r="F90" s="91"/>
      <c r="G90" s="91"/>
      <c r="H90" s="91"/>
      <c r="I90" s="91"/>
      <c r="J90" s="91"/>
      <c r="K90" s="92"/>
      <c r="L90" s="92"/>
      <c r="M90" s="13"/>
      <c r="N90" s="91">
        <f t="shared" ref="N90:N128" si="69">SUM(A90:J90)</f>
        <v>0</v>
      </c>
      <c r="O90" s="91">
        <f t="shared" ref="O90:O128" si="70">SUM(K90:L90)</f>
        <v>0</v>
      </c>
      <c r="P90" s="91">
        <f t="shared" si="55"/>
        <v>0</v>
      </c>
      <c r="Q90" s="93">
        <v>0</v>
      </c>
      <c r="R90" s="93">
        <f t="shared" si="58"/>
        <v>0</v>
      </c>
      <c r="S90" s="93"/>
      <c r="T90" s="93"/>
      <c r="U90" s="93">
        <v>0</v>
      </c>
      <c r="V90" s="93">
        <f t="shared" si="56"/>
        <v>0</v>
      </c>
      <c r="W90" s="93"/>
      <c r="X90" s="208">
        <f t="shared" si="59"/>
        <v>0</v>
      </c>
      <c r="Z90" s="182"/>
      <c r="AA90" s="182"/>
    </row>
    <row r="91" spans="1:27" x14ac:dyDescent="0.3">
      <c r="A91" s="4">
        <f>SUM(A67:A89)</f>
        <v>4318.808</v>
      </c>
      <c r="B91" s="4">
        <f t="shared" ref="B91:L91" si="71">SUM(B67:B89)</f>
        <v>4318.808</v>
      </c>
      <c r="C91" s="4">
        <f t="shared" si="71"/>
        <v>4318.808</v>
      </c>
      <c r="D91" s="4">
        <f t="shared" si="71"/>
        <v>4318.808</v>
      </c>
      <c r="E91" s="4">
        <f t="shared" si="71"/>
        <v>12063.528</v>
      </c>
      <c r="F91" s="4">
        <f t="shared" si="71"/>
        <v>4318.808</v>
      </c>
      <c r="G91" s="4">
        <f t="shared" si="71"/>
        <v>4318.808</v>
      </c>
      <c r="H91" s="4">
        <f t="shared" si="71"/>
        <v>4318.808</v>
      </c>
      <c r="I91" s="4">
        <f t="shared" si="71"/>
        <v>4318.808</v>
      </c>
      <c r="J91" s="4">
        <f t="shared" si="71"/>
        <v>4318.808</v>
      </c>
      <c r="K91" s="4">
        <f t="shared" si="71"/>
        <v>4318.808</v>
      </c>
      <c r="L91" s="4">
        <f t="shared" si="71"/>
        <v>4318.808</v>
      </c>
      <c r="M91" s="13" t="s">
        <v>155</v>
      </c>
      <c r="N91" s="4">
        <f t="shared" ref="N91:O91" si="72">SUM(N67:N89)</f>
        <v>0</v>
      </c>
      <c r="O91" s="4">
        <f t="shared" si="72"/>
        <v>59570.41599999999</v>
      </c>
      <c r="P91" s="4">
        <f>SUM(P67:P89)</f>
        <v>59570.41599999999</v>
      </c>
      <c r="Q91" s="4">
        <f>SUM(Q67:Q89)</f>
        <v>59570.41599999999</v>
      </c>
      <c r="R91" s="4">
        <f t="shared" si="58"/>
        <v>0</v>
      </c>
      <c r="S91" s="4">
        <v>0</v>
      </c>
      <c r="T91" s="4">
        <v>21783</v>
      </c>
      <c r="U91" s="4">
        <v>126783</v>
      </c>
      <c r="V91" s="4">
        <f t="shared" si="56"/>
        <v>67212.584000000003</v>
      </c>
      <c r="W91" s="4">
        <f t="shared" ref="W91" si="73">SUM(W67:W89)</f>
        <v>0</v>
      </c>
      <c r="X91" s="162">
        <f t="shared" si="59"/>
        <v>0</v>
      </c>
      <c r="Z91" s="182"/>
      <c r="AA91" s="182"/>
    </row>
    <row r="92" spans="1:27" x14ac:dyDescent="0.3">
      <c r="A92" s="81"/>
      <c r="B92" s="81"/>
      <c r="C92" s="81"/>
      <c r="D92" s="82"/>
      <c r="E92" s="86"/>
      <c r="F92" s="86"/>
      <c r="G92" s="86"/>
      <c r="H92" s="87"/>
      <c r="I92" s="87"/>
      <c r="J92" s="87"/>
      <c r="K92" s="84"/>
      <c r="L92" s="84"/>
      <c r="M92" s="80"/>
      <c r="N92" s="86">
        <f t="shared" si="69"/>
        <v>0</v>
      </c>
      <c r="O92" s="86">
        <f t="shared" si="70"/>
        <v>0</v>
      </c>
      <c r="P92" s="86">
        <f t="shared" si="55"/>
        <v>0</v>
      </c>
      <c r="Q92" s="81">
        <v>0</v>
      </c>
      <c r="R92" s="81">
        <f t="shared" si="58"/>
        <v>0</v>
      </c>
      <c r="S92" s="81"/>
      <c r="T92" s="81"/>
      <c r="U92" s="81">
        <v>0</v>
      </c>
      <c r="V92" s="81">
        <f t="shared" si="56"/>
        <v>0</v>
      </c>
      <c r="W92" s="81"/>
      <c r="X92" s="204">
        <f t="shared" si="59"/>
        <v>0</v>
      </c>
      <c r="Z92" s="182"/>
      <c r="AA92" s="182"/>
    </row>
    <row r="93" spans="1:27" x14ac:dyDescent="0.3">
      <c r="A93" s="8">
        <f>2747*1.048</f>
        <v>2878.8560000000002</v>
      </c>
      <c r="B93" s="8">
        <f t="shared" ref="B93:L93" si="74">2747*1.048</f>
        <v>2878.8560000000002</v>
      </c>
      <c r="C93" s="8">
        <f t="shared" si="74"/>
        <v>2878.8560000000002</v>
      </c>
      <c r="D93" s="8">
        <f t="shared" si="74"/>
        <v>2878.8560000000002</v>
      </c>
      <c r="E93" s="8">
        <f t="shared" si="74"/>
        <v>2878.8560000000002</v>
      </c>
      <c r="F93" s="8">
        <f t="shared" si="74"/>
        <v>2878.8560000000002</v>
      </c>
      <c r="G93" s="8">
        <f t="shared" si="74"/>
        <v>2878.8560000000002</v>
      </c>
      <c r="H93" s="8">
        <f t="shared" si="74"/>
        <v>2878.8560000000002</v>
      </c>
      <c r="I93" s="8">
        <f t="shared" si="74"/>
        <v>2878.8560000000002</v>
      </c>
      <c r="J93" s="8">
        <f t="shared" si="74"/>
        <v>2878.8560000000002</v>
      </c>
      <c r="K93" s="8">
        <f t="shared" si="74"/>
        <v>2878.8560000000002</v>
      </c>
      <c r="L93" s="8">
        <f t="shared" si="74"/>
        <v>2878.8560000000002</v>
      </c>
      <c r="M93" s="238" t="s">
        <v>480</v>
      </c>
      <c r="N93" s="8">
        <f t="shared" ref="N93:N100" si="75">SUM(0)</f>
        <v>0</v>
      </c>
      <c r="O93" s="8">
        <f t="shared" ref="O93:O100" si="76">SUM(A93:L93)</f>
        <v>34546.272000000004</v>
      </c>
      <c r="P93" s="8">
        <f t="shared" si="55"/>
        <v>34546.272000000004</v>
      </c>
      <c r="Q93" s="8">
        <v>34546.272000000004</v>
      </c>
      <c r="R93" s="8">
        <f t="shared" ref="R93:R100" si="77">Q93-P93</f>
        <v>0</v>
      </c>
      <c r="S93" s="8"/>
      <c r="T93" s="8"/>
      <c r="U93" s="8">
        <v>32958.9</v>
      </c>
      <c r="V93" s="8">
        <f t="shared" si="56"/>
        <v>-1587.372000000003</v>
      </c>
      <c r="W93" s="8"/>
      <c r="X93" s="158">
        <f t="shared" si="59"/>
        <v>0</v>
      </c>
      <c r="Z93" s="182"/>
      <c r="AA93" s="182"/>
    </row>
    <row r="94" spans="1:27" x14ac:dyDescent="0.3">
      <c r="A94" s="7">
        <f>1501*1.048</f>
        <v>1573.048</v>
      </c>
      <c r="B94" s="7">
        <f t="shared" ref="B94:L94" si="78">1501*1.048</f>
        <v>1573.048</v>
      </c>
      <c r="C94" s="7">
        <f t="shared" si="78"/>
        <v>1573.048</v>
      </c>
      <c r="D94" s="7">
        <f t="shared" si="78"/>
        <v>1573.048</v>
      </c>
      <c r="E94" s="7">
        <f t="shared" si="78"/>
        <v>1573.048</v>
      </c>
      <c r="F94" s="7">
        <f t="shared" si="78"/>
        <v>1573.048</v>
      </c>
      <c r="G94" s="7">
        <f t="shared" si="78"/>
        <v>1573.048</v>
      </c>
      <c r="H94" s="7">
        <f t="shared" si="78"/>
        <v>1573.048</v>
      </c>
      <c r="I94" s="7">
        <f t="shared" si="78"/>
        <v>1573.048</v>
      </c>
      <c r="J94" s="7">
        <f t="shared" si="78"/>
        <v>1573.048</v>
      </c>
      <c r="K94" s="7">
        <f t="shared" si="78"/>
        <v>1573.048</v>
      </c>
      <c r="L94" s="7">
        <f t="shared" si="78"/>
        <v>1573.048</v>
      </c>
      <c r="M94" s="13" t="s">
        <v>481</v>
      </c>
      <c r="N94" s="7">
        <f t="shared" si="75"/>
        <v>0</v>
      </c>
      <c r="O94" s="7">
        <f t="shared" si="76"/>
        <v>18876.576000000001</v>
      </c>
      <c r="P94" s="7">
        <f t="shared" si="55"/>
        <v>18876.576000000001</v>
      </c>
      <c r="Q94" s="7">
        <v>18876.576000000001</v>
      </c>
      <c r="R94" s="7">
        <f t="shared" si="77"/>
        <v>0</v>
      </c>
      <c r="S94" s="7"/>
      <c r="T94" s="7"/>
      <c r="U94" s="7">
        <v>18009.501120000001</v>
      </c>
      <c r="V94" s="7">
        <f t="shared" si="56"/>
        <v>-867.07488000000012</v>
      </c>
      <c r="W94" s="7"/>
      <c r="X94" s="159">
        <f t="shared" si="59"/>
        <v>0</v>
      </c>
      <c r="Z94" s="182"/>
      <c r="AA94" s="182"/>
    </row>
    <row r="95" spans="1:27" x14ac:dyDescent="0.3">
      <c r="A95" s="7">
        <f t="shared" ref="A95:L100" si="79">$Q95/12</f>
        <v>0</v>
      </c>
      <c r="B95" s="7">
        <f t="shared" si="79"/>
        <v>0</v>
      </c>
      <c r="C95" s="7">
        <f t="shared" si="79"/>
        <v>0</v>
      </c>
      <c r="D95" s="7">
        <f t="shared" si="79"/>
        <v>0</v>
      </c>
      <c r="E95" s="7">
        <f t="shared" si="79"/>
        <v>0</v>
      </c>
      <c r="F95" s="7">
        <f t="shared" si="79"/>
        <v>0</v>
      </c>
      <c r="G95" s="7">
        <f t="shared" si="79"/>
        <v>0</v>
      </c>
      <c r="H95" s="7">
        <f t="shared" si="79"/>
        <v>0</v>
      </c>
      <c r="I95" s="7">
        <f t="shared" si="79"/>
        <v>0</v>
      </c>
      <c r="J95" s="7">
        <f t="shared" si="79"/>
        <v>0</v>
      </c>
      <c r="K95" s="7">
        <f t="shared" si="79"/>
        <v>0</v>
      </c>
      <c r="L95" s="7">
        <f t="shared" si="79"/>
        <v>0</v>
      </c>
      <c r="M95" s="13" t="s">
        <v>482</v>
      </c>
      <c r="N95" s="7">
        <f t="shared" si="75"/>
        <v>0</v>
      </c>
      <c r="O95" s="7">
        <f t="shared" si="76"/>
        <v>0</v>
      </c>
      <c r="P95" s="7">
        <f t="shared" si="55"/>
        <v>0</v>
      </c>
      <c r="Q95" s="7">
        <v>0</v>
      </c>
      <c r="R95" s="7">
        <f t="shared" si="77"/>
        <v>0</v>
      </c>
      <c r="S95" s="7"/>
      <c r="T95" s="7"/>
      <c r="U95" s="7">
        <v>0</v>
      </c>
      <c r="V95" s="7">
        <f t="shared" si="56"/>
        <v>0</v>
      </c>
      <c r="W95" s="7"/>
      <c r="X95" s="159">
        <f t="shared" si="59"/>
        <v>0</v>
      </c>
      <c r="Z95" s="182"/>
      <c r="AA95" s="182"/>
    </row>
    <row r="96" spans="1:27" x14ac:dyDescent="0.3">
      <c r="A96" s="7">
        <f>78*1.048</f>
        <v>81.744</v>
      </c>
      <c r="B96" s="7">
        <f t="shared" ref="B96:L96" si="80">78*1.048</f>
        <v>81.744</v>
      </c>
      <c r="C96" s="7">
        <f t="shared" si="80"/>
        <v>81.744</v>
      </c>
      <c r="D96" s="7">
        <f t="shared" si="80"/>
        <v>81.744</v>
      </c>
      <c r="E96" s="7">
        <f t="shared" si="80"/>
        <v>81.744</v>
      </c>
      <c r="F96" s="7">
        <f t="shared" si="80"/>
        <v>81.744</v>
      </c>
      <c r="G96" s="7">
        <f t="shared" si="80"/>
        <v>81.744</v>
      </c>
      <c r="H96" s="7">
        <f t="shared" si="80"/>
        <v>81.744</v>
      </c>
      <c r="I96" s="7">
        <f t="shared" si="80"/>
        <v>81.744</v>
      </c>
      <c r="J96" s="7">
        <f t="shared" si="80"/>
        <v>81.744</v>
      </c>
      <c r="K96" s="7">
        <f t="shared" si="80"/>
        <v>81.744</v>
      </c>
      <c r="L96" s="7">
        <f t="shared" si="80"/>
        <v>81.744</v>
      </c>
      <c r="M96" s="13" t="s">
        <v>483</v>
      </c>
      <c r="N96" s="7">
        <f t="shared" si="75"/>
        <v>0</v>
      </c>
      <c r="O96" s="7">
        <f t="shared" si="76"/>
        <v>980.92800000000022</v>
      </c>
      <c r="P96" s="7">
        <f t="shared" si="55"/>
        <v>980.92800000000022</v>
      </c>
      <c r="Q96" s="7">
        <v>980.92800000000022</v>
      </c>
      <c r="R96" s="7">
        <f t="shared" si="77"/>
        <v>0</v>
      </c>
      <c r="S96" s="7"/>
      <c r="T96" s="7"/>
      <c r="U96" s="7">
        <v>939.39182999999991</v>
      </c>
      <c r="V96" s="7">
        <f t="shared" si="56"/>
        <v>-41.536170000000311</v>
      </c>
      <c r="W96" s="7"/>
      <c r="X96" s="159">
        <f>IFERROR(N96/Q96,0)</f>
        <v>0</v>
      </c>
      <c r="Z96" s="182"/>
      <c r="AA96" s="182"/>
    </row>
    <row r="97" spans="1:27" x14ac:dyDescent="0.3">
      <c r="A97" s="7">
        <f t="shared" si="79"/>
        <v>0</v>
      </c>
      <c r="B97" s="7">
        <f t="shared" si="79"/>
        <v>0</v>
      </c>
      <c r="C97" s="7">
        <f t="shared" si="79"/>
        <v>0</v>
      </c>
      <c r="D97" s="7">
        <f t="shared" si="79"/>
        <v>0</v>
      </c>
      <c r="E97" s="7">
        <f t="shared" si="79"/>
        <v>0</v>
      </c>
      <c r="F97" s="7">
        <f t="shared" si="79"/>
        <v>0</v>
      </c>
      <c r="G97" s="7">
        <f t="shared" si="79"/>
        <v>0</v>
      </c>
      <c r="H97" s="7">
        <f t="shared" si="79"/>
        <v>0</v>
      </c>
      <c r="I97" s="7">
        <f t="shared" si="79"/>
        <v>0</v>
      </c>
      <c r="J97" s="7">
        <f t="shared" si="79"/>
        <v>0</v>
      </c>
      <c r="K97" s="7">
        <f t="shared" si="79"/>
        <v>0</v>
      </c>
      <c r="L97" s="7">
        <f t="shared" si="79"/>
        <v>0</v>
      </c>
      <c r="M97" s="13" t="s">
        <v>484</v>
      </c>
      <c r="N97" s="7">
        <f t="shared" si="75"/>
        <v>0</v>
      </c>
      <c r="O97" s="7">
        <f t="shared" si="76"/>
        <v>0</v>
      </c>
      <c r="P97" s="7">
        <f t="shared" si="55"/>
        <v>0</v>
      </c>
      <c r="Q97" s="7">
        <v>0</v>
      </c>
      <c r="R97" s="7">
        <f t="shared" si="77"/>
        <v>0</v>
      </c>
      <c r="S97" s="7"/>
      <c r="T97" s="7"/>
      <c r="U97" s="7">
        <v>0</v>
      </c>
      <c r="V97" s="7">
        <f t="shared" si="56"/>
        <v>0</v>
      </c>
      <c r="W97" s="7"/>
      <c r="X97" s="159">
        <f t="shared" si="59"/>
        <v>0</v>
      </c>
      <c r="Z97" s="182"/>
      <c r="AA97" s="182"/>
    </row>
    <row r="98" spans="1:27" x14ac:dyDescent="0.3">
      <c r="A98" s="7">
        <f t="shared" si="79"/>
        <v>0</v>
      </c>
      <c r="B98" s="7">
        <f t="shared" si="79"/>
        <v>0</v>
      </c>
      <c r="C98" s="7">
        <f t="shared" si="79"/>
        <v>0</v>
      </c>
      <c r="D98" s="7">
        <f t="shared" si="79"/>
        <v>0</v>
      </c>
      <c r="E98" s="7">
        <f t="shared" si="79"/>
        <v>0</v>
      </c>
      <c r="F98" s="7">
        <f t="shared" si="79"/>
        <v>0</v>
      </c>
      <c r="G98" s="7">
        <f t="shared" si="79"/>
        <v>0</v>
      </c>
      <c r="H98" s="7">
        <f t="shared" si="79"/>
        <v>0</v>
      </c>
      <c r="I98" s="7">
        <f t="shared" si="79"/>
        <v>0</v>
      </c>
      <c r="J98" s="7">
        <f t="shared" si="79"/>
        <v>0</v>
      </c>
      <c r="K98" s="7">
        <f t="shared" si="79"/>
        <v>0</v>
      </c>
      <c r="L98" s="7">
        <f t="shared" si="79"/>
        <v>0</v>
      </c>
      <c r="M98" s="13" t="s">
        <v>485</v>
      </c>
      <c r="N98" s="7">
        <f t="shared" si="75"/>
        <v>0</v>
      </c>
      <c r="O98" s="7">
        <f t="shared" si="76"/>
        <v>0</v>
      </c>
      <c r="P98" s="7">
        <f t="shared" si="55"/>
        <v>0</v>
      </c>
      <c r="Q98" s="7">
        <v>0</v>
      </c>
      <c r="R98" s="7">
        <f t="shared" si="77"/>
        <v>0</v>
      </c>
      <c r="S98" s="7"/>
      <c r="T98" s="7"/>
      <c r="U98" s="7">
        <v>0</v>
      </c>
      <c r="V98" s="7">
        <f t="shared" si="56"/>
        <v>0</v>
      </c>
      <c r="W98" s="7"/>
      <c r="X98" s="159">
        <f t="shared" si="59"/>
        <v>0</v>
      </c>
      <c r="Z98" s="182"/>
      <c r="AA98" s="182"/>
    </row>
    <row r="99" spans="1:27" x14ac:dyDescent="0.3">
      <c r="A99" s="7">
        <f t="shared" si="79"/>
        <v>0</v>
      </c>
      <c r="B99" s="7">
        <f t="shared" si="79"/>
        <v>0</v>
      </c>
      <c r="C99" s="7">
        <f t="shared" si="79"/>
        <v>0</v>
      </c>
      <c r="D99" s="7">
        <f t="shared" si="79"/>
        <v>0</v>
      </c>
      <c r="E99" s="7">
        <f t="shared" si="79"/>
        <v>0</v>
      </c>
      <c r="F99" s="7">
        <f t="shared" si="79"/>
        <v>0</v>
      </c>
      <c r="G99" s="7">
        <f t="shared" si="79"/>
        <v>0</v>
      </c>
      <c r="H99" s="7">
        <f t="shared" si="79"/>
        <v>0</v>
      </c>
      <c r="I99" s="7">
        <f t="shared" si="79"/>
        <v>0</v>
      </c>
      <c r="J99" s="7">
        <f t="shared" si="79"/>
        <v>0</v>
      </c>
      <c r="K99" s="7">
        <f t="shared" si="79"/>
        <v>0</v>
      </c>
      <c r="L99" s="7">
        <f t="shared" si="79"/>
        <v>0</v>
      </c>
      <c r="M99" s="13" t="s">
        <v>486</v>
      </c>
      <c r="N99" s="7">
        <f t="shared" si="75"/>
        <v>0</v>
      </c>
      <c r="O99" s="7">
        <f t="shared" si="76"/>
        <v>0</v>
      </c>
      <c r="P99" s="7">
        <f t="shared" si="55"/>
        <v>0</v>
      </c>
      <c r="Q99" s="7">
        <v>0</v>
      </c>
      <c r="R99" s="7">
        <f t="shared" si="77"/>
        <v>0</v>
      </c>
      <c r="S99" s="7"/>
      <c r="T99" s="7"/>
      <c r="U99" s="7">
        <v>0</v>
      </c>
      <c r="V99" s="7">
        <f t="shared" si="56"/>
        <v>0</v>
      </c>
      <c r="W99" s="7"/>
      <c r="X99" s="159">
        <f t="shared" si="59"/>
        <v>0</v>
      </c>
      <c r="Z99" s="182"/>
      <c r="AA99" s="182"/>
    </row>
    <row r="100" spans="1:27" x14ac:dyDescent="0.3">
      <c r="A100" s="11">
        <f t="shared" si="79"/>
        <v>0</v>
      </c>
      <c r="B100" s="11">
        <f t="shared" si="79"/>
        <v>0</v>
      </c>
      <c r="C100" s="11">
        <f t="shared" si="79"/>
        <v>0</v>
      </c>
      <c r="D100" s="11">
        <f t="shared" si="79"/>
        <v>0</v>
      </c>
      <c r="E100" s="11">
        <f t="shared" si="79"/>
        <v>0</v>
      </c>
      <c r="F100" s="11">
        <f t="shared" si="79"/>
        <v>0</v>
      </c>
      <c r="G100" s="11">
        <f t="shared" si="79"/>
        <v>0</v>
      </c>
      <c r="H100" s="11">
        <f t="shared" si="79"/>
        <v>0</v>
      </c>
      <c r="I100" s="11">
        <f t="shared" si="79"/>
        <v>0</v>
      </c>
      <c r="J100" s="11">
        <f t="shared" si="79"/>
        <v>0</v>
      </c>
      <c r="K100" s="11">
        <f t="shared" si="79"/>
        <v>0</v>
      </c>
      <c r="L100" s="11">
        <f t="shared" si="79"/>
        <v>0</v>
      </c>
      <c r="M100" s="238" t="s">
        <v>487</v>
      </c>
      <c r="N100" s="11">
        <f t="shared" si="75"/>
        <v>0</v>
      </c>
      <c r="O100" s="11">
        <f t="shared" si="76"/>
        <v>0</v>
      </c>
      <c r="P100" s="11">
        <f t="shared" si="55"/>
        <v>0</v>
      </c>
      <c r="Q100" s="11">
        <v>0</v>
      </c>
      <c r="R100" s="11">
        <f t="shared" si="77"/>
        <v>0</v>
      </c>
      <c r="S100" s="11"/>
      <c r="T100" s="11"/>
      <c r="U100" s="11">
        <v>0</v>
      </c>
      <c r="V100" s="11">
        <f t="shared" si="56"/>
        <v>0</v>
      </c>
      <c r="W100" s="11"/>
      <c r="X100" s="160">
        <f t="shared" si="59"/>
        <v>0</v>
      </c>
      <c r="Z100" s="182"/>
      <c r="AA100" s="182"/>
    </row>
    <row r="101" spans="1:27" ht="15" thickBot="1" x14ac:dyDescent="0.35">
      <c r="A101" s="89"/>
      <c r="B101" s="89"/>
      <c r="C101" s="89"/>
      <c r="D101" s="90"/>
      <c r="E101" s="91"/>
      <c r="F101" s="91"/>
      <c r="G101" s="91"/>
      <c r="H101" s="91"/>
      <c r="I101" s="91"/>
      <c r="J101" s="91"/>
      <c r="K101" s="92"/>
      <c r="L101" s="92"/>
      <c r="M101" s="13"/>
      <c r="N101" s="91">
        <f t="shared" si="69"/>
        <v>0</v>
      </c>
      <c r="O101" s="91">
        <f t="shared" si="70"/>
        <v>0</v>
      </c>
      <c r="P101" s="91">
        <f t="shared" si="55"/>
        <v>0</v>
      </c>
      <c r="Q101" s="89">
        <v>0</v>
      </c>
      <c r="R101" s="89">
        <f t="shared" si="58"/>
        <v>0</v>
      </c>
      <c r="S101" s="89"/>
      <c r="T101" s="89"/>
      <c r="U101" s="89">
        <v>0</v>
      </c>
      <c r="V101" s="89">
        <f t="shared" si="56"/>
        <v>0</v>
      </c>
      <c r="W101" s="89"/>
      <c r="X101" s="207"/>
      <c r="Z101" s="182"/>
      <c r="AA101" s="182"/>
    </row>
    <row r="102" spans="1:27" x14ac:dyDescent="0.3">
      <c r="A102" s="4">
        <f>SUM(A93:A100)</f>
        <v>4533.6480000000001</v>
      </c>
      <c r="B102" s="4">
        <f t="shared" ref="B102:L102" si="81">SUM(B93:B100)</f>
        <v>4533.6480000000001</v>
      </c>
      <c r="C102" s="4">
        <f t="shared" si="81"/>
        <v>4533.6480000000001</v>
      </c>
      <c r="D102" s="4">
        <f t="shared" si="81"/>
        <v>4533.6480000000001</v>
      </c>
      <c r="E102" s="4">
        <f t="shared" si="81"/>
        <v>4533.6480000000001</v>
      </c>
      <c r="F102" s="4">
        <f t="shared" si="81"/>
        <v>4533.6480000000001</v>
      </c>
      <c r="G102" s="4">
        <f t="shared" si="81"/>
        <v>4533.6480000000001</v>
      </c>
      <c r="H102" s="4">
        <f t="shared" si="81"/>
        <v>4533.6480000000001</v>
      </c>
      <c r="I102" s="4">
        <f t="shared" si="81"/>
        <v>4533.6480000000001</v>
      </c>
      <c r="J102" s="4">
        <f t="shared" si="81"/>
        <v>4533.6480000000001</v>
      </c>
      <c r="K102" s="4">
        <f t="shared" si="81"/>
        <v>4533.6480000000001</v>
      </c>
      <c r="L102" s="4">
        <f t="shared" si="81"/>
        <v>4533.6480000000001</v>
      </c>
      <c r="M102" s="13" t="s">
        <v>166</v>
      </c>
      <c r="N102" s="4">
        <f t="shared" ref="N102:O102" si="82">SUM(N93:N100)</f>
        <v>0</v>
      </c>
      <c r="O102" s="4">
        <f t="shared" si="82"/>
        <v>54403.776000000005</v>
      </c>
      <c r="P102" s="4">
        <f t="shared" ref="P102:Q102" si="83">SUM(P93:P100)</f>
        <v>54403.776000000005</v>
      </c>
      <c r="Q102" s="4">
        <f t="shared" si="83"/>
        <v>54403.776000000005</v>
      </c>
      <c r="R102" s="4">
        <f t="shared" si="58"/>
        <v>0</v>
      </c>
      <c r="S102" s="4">
        <v>0</v>
      </c>
      <c r="T102" s="4">
        <v>0</v>
      </c>
      <c r="U102" s="4">
        <v>51907.792950000003</v>
      </c>
      <c r="V102" s="4">
        <f t="shared" si="56"/>
        <v>-2495.9830500000025</v>
      </c>
      <c r="W102" s="4">
        <f t="shared" ref="W102" si="84">SUM(W93:W100)</f>
        <v>0</v>
      </c>
      <c r="X102" s="162">
        <f t="shared" si="59"/>
        <v>0</v>
      </c>
      <c r="Z102" s="182"/>
      <c r="AA102" s="182"/>
    </row>
    <row r="103" spans="1:27" x14ac:dyDescent="0.3">
      <c r="A103" s="81"/>
      <c r="B103" s="81"/>
      <c r="C103" s="81"/>
      <c r="D103" s="82"/>
      <c r="E103" s="86"/>
      <c r="F103" s="86"/>
      <c r="G103" s="86"/>
      <c r="H103" s="87"/>
      <c r="I103" s="87"/>
      <c r="J103" s="87"/>
      <c r="K103" s="84"/>
      <c r="L103" s="84"/>
      <c r="M103" s="80"/>
      <c r="N103" s="86">
        <f t="shared" si="69"/>
        <v>0</v>
      </c>
      <c r="O103" s="86">
        <f t="shared" si="70"/>
        <v>0</v>
      </c>
      <c r="P103" s="86">
        <f t="shared" si="55"/>
        <v>0</v>
      </c>
      <c r="Q103" s="81"/>
      <c r="R103" s="81">
        <f t="shared" si="58"/>
        <v>0</v>
      </c>
      <c r="S103" s="81"/>
      <c r="T103" s="81"/>
      <c r="U103" s="81">
        <v>0</v>
      </c>
      <c r="V103" s="81">
        <f t="shared" si="56"/>
        <v>0</v>
      </c>
      <c r="W103" s="81"/>
      <c r="X103" s="204"/>
      <c r="Z103" s="182"/>
      <c r="AA103" s="182"/>
    </row>
    <row r="104" spans="1:27" x14ac:dyDescent="0.3">
      <c r="A104" s="8">
        <v>0</v>
      </c>
      <c r="B104" s="8">
        <v>0</v>
      </c>
      <c r="C104" s="183">
        <v>0</v>
      </c>
      <c r="D104" s="8">
        <v>0</v>
      </c>
      <c r="E104" s="8">
        <f>2000*1.048</f>
        <v>2096</v>
      </c>
      <c r="F104" s="8">
        <v>0</v>
      </c>
      <c r="G104" s="8">
        <v>0</v>
      </c>
      <c r="H104" s="8"/>
      <c r="I104" s="8"/>
      <c r="J104" s="8"/>
      <c r="K104" s="8"/>
      <c r="L104" s="8">
        <v>0</v>
      </c>
      <c r="M104" s="238" t="s">
        <v>488</v>
      </c>
      <c r="N104" s="8">
        <f t="shared" ref="N104:N106" si="85">SUM(0)</f>
        <v>0</v>
      </c>
      <c r="O104" s="8">
        <f t="shared" ref="O104:O106" si="86">SUM(A104:L104)</f>
        <v>2096</v>
      </c>
      <c r="P104" s="8">
        <f t="shared" si="55"/>
        <v>2096</v>
      </c>
      <c r="Q104" s="8">
        <v>2096</v>
      </c>
      <c r="R104" s="8">
        <f t="shared" ref="R104:R106" si="87">Q104-P104</f>
        <v>0</v>
      </c>
      <c r="S104" s="8"/>
      <c r="T104" s="8"/>
      <c r="U104" s="8">
        <v>2000</v>
      </c>
      <c r="V104" s="8">
        <f t="shared" si="56"/>
        <v>-96</v>
      </c>
      <c r="W104" s="8"/>
      <c r="X104" s="158">
        <f t="shared" si="59"/>
        <v>0</v>
      </c>
      <c r="Z104" s="182"/>
      <c r="AA104" s="182"/>
    </row>
    <row r="105" spans="1:27" x14ac:dyDescent="0.3">
      <c r="A105" s="7">
        <f>$Q$105/12</f>
        <v>0</v>
      </c>
      <c r="B105" s="7">
        <f t="shared" ref="B105:L105" si="88">$Q$105/12</f>
        <v>0</v>
      </c>
      <c r="C105" s="7">
        <f t="shared" si="88"/>
        <v>0</v>
      </c>
      <c r="D105" s="7">
        <f t="shared" si="88"/>
        <v>0</v>
      </c>
      <c r="E105" s="7">
        <f t="shared" si="88"/>
        <v>0</v>
      </c>
      <c r="F105" s="7">
        <f t="shared" si="88"/>
        <v>0</v>
      </c>
      <c r="G105" s="7">
        <f t="shared" si="88"/>
        <v>0</v>
      </c>
      <c r="H105" s="7"/>
      <c r="I105" s="7">
        <f t="shared" si="88"/>
        <v>0</v>
      </c>
      <c r="J105" s="7">
        <f t="shared" si="88"/>
        <v>0</v>
      </c>
      <c r="K105" s="7">
        <f t="shared" si="88"/>
        <v>0</v>
      </c>
      <c r="L105" s="7">
        <f t="shared" si="88"/>
        <v>0</v>
      </c>
      <c r="M105" s="13" t="s">
        <v>489</v>
      </c>
      <c r="N105" s="7">
        <f t="shared" si="85"/>
        <v>0</v>
      </c>
      <c r="O105" s="7">
        <f t="shared" si="86"/>
        <v>0</v>
      </c>
      <c r="P105" s="7">
        <f t="shared" si="55"/>
        <v>0</v>
      </c>
      <c r="Q105" s="7">
        <v>0</v>
      </c>
      <c r="R105" s="7">
        <f t="shared" si="87"/>
        <v>0</v>
      </c>
      <c r="S105" s="7"/>
      <c r="T105" s="7"/>
      <c r="U105" s="7">
        <v>0</v>
      </c>
      <c r="V105" s="7">
        <f t="shared" si="56"/>
        <v>0</v>
      </c>
      <c r="W105" s="7"/>
      <c r="X105" s="159">
        <f t="shared" si="59"/>
        <v>0</v>
      </c>
      <c r="Z105" s="182"/>
      <c r="AA105" s="182"/>
    </row>
    <row r="106" spans="1:27" x14ac:dyDescent="0.3">
      <c r="A106" s="11">
        <f>$Q$106/12</f>
        <v>0</v>
      </c>
      <c r="B106" s="11">
        <f t="shared" ref="B106:L106" si="89">$Q$106/12</f>
        <v>0</v>
      </c>
      <c r="C106" s="11">
        <f t="shared" si="89"/>
        <v>0</v>
      </c>
      <c r="D106" s="11">
        <f t="shared" si="89"/>
        <v>0</v>
      </c>
      <c r="E106" s="11">
        <f t="shared" si="89"/>
        <v>0</v>
      </c>
      <c r="F106" s="11">
        <f t="shared" si="89"/>
        <v>0</v>
      </c>
      <c r="G106" s="11">
        <f t="shared" si="89"/>
        <v>0</v>
      </c>
      <c r="H106" s="11"/>
      <c r="I106" s="11">
        <f t="shared" si="89"/>
        <v>0</v>
      </c>
      <c r="J106" s="11">
        <f t="shared" si="89"/>
        <v>0</v>
      </c>
      <c r="K106" s="11">
        <f t="shared" si="89"/>
        <v>0</v>
      </c>
      <c r="L106" s="11">
        <f t="shared" si="89"/>
        <v>0</v>
      </c>
      <c r="M106" s="13" t="s">
        <v>490</v>
      </c>
      <c r="N106" s="11">
        <f t="shared" si="85"/>
        <v>0</v>
      </c>
      <c r="O106" s="11">
        <f t="shared" si="86"/>
        <v>0</v>
      </c>
      <c r="P106" s="11">
        <f t="shared" si="55"/>
        <v>0</v>
      </c>
      <c r="Q106" s="11">
        <v>0</v>
      </c>
      <c r="R106" s="11">
        <f t="shared" si="87"/>
        <v>0</v>
      </c>
      <c r="S106" s="11"/>
      <c r="T106" s="11"/>
      <c r="U106" s="11">
        <v>0</v>
      </c>
      <c r="V106" s="11">
        <f t="shared" si="56"/>
        <v>0</v>
      </c>
      <c r="W106" s="11"/>
      <c r="X106" s="160">
        <f t="shared" si="59"/>
        <v>0</v>
      </c>
      <c r="Z106" s="182"/>
      <c r="AA106" s="182"/>
    </row>
    <row r="107" spans="1:27" ht="15" thickBot="1" x14ac:dyDescent="0.35">
      <c r="A107" s="89"/>
      <c r="B107" s="89"/>
      <c r="C107" s="89"/>
      <c r="D107" s="90"/>
      <c r="E107" s="91"/>
      <c r="F107" s="91"/>
      <c r="G107" s="91"/>
      <c r="H107" s="91"/>
      <c r="I107" s="91"/>
      <c r="J107" s="91"/>
      <c r="K107" s="92"/>
      <c r="L107" s="92"/>
      <c r="M107" s="13"/>
      <c r="N107" s="91">
        <f t="shared" si="69"/>
        <v>0</v>
      </c>
      <c r="O107" s="91">
        <f t="shared" si="70"/>
        <v>0</v>
      </c>
      <c r="P107" s="91">
        <f t="shared" si="55"/>
        <v>0</v>
      </c>
      <c r="Q107" s="89">
        <v>0</v>
      </c>
      <c r="R107" s="89">
        <f t="shared" si="58"/>
        <v>0</v>
      </c>
      <c r="S107" s="89"/>
      <c r="T107" s="89"/>
      <c r="U107" s="89">
        <v>0</v>
      </c>
      <c r="V107" s="89">
        <f t="shared" si="56"/>
        <v>0</v>
      </c>
      <c r="W107" s="89"/>
      <c r="X107" s="207">
        <f t="shared" si="59"/>
        <v>0</v>
      </c>
      <c r="Z107" s="182"/>
      <c r="AA107" s="182"/>
    </row>
    <row r="108" spans="1:27" x14ac:dyDescent="0.3">
      <c r="A108" s="4">
        <f>SUM(A104:A106)</f>
        <v>0</v>
      </c>
      <c r="B108" s="4">
        <f t="shared" ref="B108:L108" si="90">SUM(B104:B106)</f>
        <v>0</v>
      </c>
      <c r="C108" s="4">
        <f t="shared" si="90"/>
        <v>0</v>
      </c>
      <c r="D108" s="4">
        <f t="shared" si="90"/>
        <v>0</v>
      </c>
      <c r="E108" s="4">
        <f t="shared" si="90"/>
        <v>2096</v>
      </c>
      <c r="F108" s="4">
        <f t="shared" si="90"/>
        <v>0</v>
      </c>
      <c r="G108" s="4">
        <f t="shared" si="90"/>
        <v>0</v>
      </c>
      <c r="H108" s="4">
        <f t="shared" si="90"/>
        <v>0</v>
      </c>
      <c r="I108" s="4">
        <f t="shared" si="90"/>
        <v>0</v>
      </c>
      <c r="J108" s="4">
        <f t="shared" si="90"/>
        <v>0</v>
      </c>
      <c r="K108" s="4">
        <f t="shared" si="90"/>
        <v>0</v>
      </c>
      <c r="L108" s="4">
        <f t="shared" si="90"/>
        <v>0</v>
      </c>
      <c r="M108" s="13" t="s">
        <v>170</v>
      </c>
      <c r="N108" s="4">
        <f t="shared" ref="N108:O108" si="91">SUM(N104:N106)</f>
        <v>0</v>
      </c>
      <c r="O108" s="4">
        <f t="shared" si="91"/>
        <v>2096</v>
      </c>
      <c r="P108" s="4">
        <f t="shared" ref="P108:Q108" si="92">SUM(P104:P106)</f>
        <v>2096</v>
      </c>
      <c r="Q108" s="4">
        <f t="shared" si="92"/>
        <v>2096</v>
      </c>
      <c r="R108" s="4">
        <f t="shared" si="58"/>
        <v>0</v>
      </c>
      <c r="S108" s="4">
        <v>0</v>
      </c>
      <c r="T108" s="4">
        <v>0</v>
      </c>
      <c r="U108" s="4">
        <v>2000</v>
      </c>
      <c r="V108" s="4">
        <f t="shared" si="56"/>
        <v>-96</v>
      </c>
      <c r="W108" s="4">
        <f t="shared" ref="W108" si="93">SUM(W104:W106)</f>
        <v>0</v>
      </c>
      <c r="X108" s="162">
        <f t="shared" si="59"/>
        <v>0</v>
      </c>
      <c r="Z108" s="182"/>
      <c r="AA108" s="182"/>
    </row>
    <row r="109" spans="1:27" x14ac:dyDescent="0.3">
      <c r="A109" s="81"/>
      <c r="B109" s="81"/>
      <c r="C109" s="81"/>
      <c r="D109" s="82"/>
      <c r="E109" s="81"/>
      <c r="F109" s="81"/>
      <c r="G109" s="81"/>
      <c r="H109" s="87"/>
      <c r="I109" s="87"/>
      <c r="J109" s="87"/>
      <c r="K109" s="88"/>
      <c r="L109" s="88"/>
      <c r="M109" s="80"/>
      <c r="N109" s="81">
        <f t="shared" si="69"/>
        <v>0</v>
      </c>
      <c r="O109" s="81">
        <f t="shared" si="70"/>
        <v>0</v>
      </c>
      <c r="P109" s="81">
        <f t="shared" si="55"/>
        <v>0</v>
      </c>
      <c r="Q109" s="81">
        <v>0</v>
      </c>
      <c r="R109" s="81">
        <f t="shared" si="58"/>
        <v>0</v>
      </c>
      <c r="S109" s="81"/>
      <c r="T109" s="81"/>
      <c r="U109" s="81">
        <v>0</v>
      </c>
      <c r="V109" s="81">
        <f t="shared" si="56"/>
        <v>0</v>
      </c>
      <c r="W109" s="81"/>
      <c r="X109" s="204"/>
      <c r="Z109" s="182"/>
      <c r="AA109" s="182"/>
    </row>
    <row r="110" spans="1:27" x14ac:dyDescent="0.3">
      <c r="A110" s="4">
        <f>A28+A46+A65+A91+A102+A108</f>
        <v>83524.551999999996</v>
      </c>
      <c r="B110" s="4">
        <f t="shared" ref="B110:L110" si="94">B28+B46+B65+B91+B102+B108</f>
        <v>83524.551999999996</v>
      </c>
      <c r="C110" s="4">
        <f t="shared" si="94"/>
        <v>83524.551999999996</v>
      </c>
      <c r="D110" s="4">
        <f t="shared" si="94"/>
        <v>83524.551999999996</v>
      </c>
      <c r="E110" s="4">
        <f t="shared" si="94"/>
        <v>97544.695999999996</v>
      </c>
      <c r="F110" s="4">
        <f t="shared" si="94"/>
        <v>83636.687999999995</v>
      </c>
      <c r="G110" s="4">
        <f t="shared" si="94"/>
        <v>83524.551999999996</v>
      </c>
      <c r="H110" s="4">
        <f t="shared" si="94"/>
        <v>85814.432000000001</v>
      </c>
      <c r="I110" s="4">
        <f t="shared" si="94"/>
        <v>83524.551999999996</v>
      </c>
      <c r="J110" s="4">
        <f t="shared" si="94"/>
        <v>83524.551999999996</v>
      </c>
      <c r="K110" s="4">
        <f t="shared" si="94"/>
        <v>83524.551999999996</v>
      </c>
      <c r="L110" s="4">
        <f t="shared" si="94"/>
        <v>83537.551999999996</v>
      </c>
      <c r="M110" s="238" t="s">
        <v>171</v>
      </c>
      <c r="N110" s="4">
        <f t="shared" ref="N110:O110" si="95">N28+N46+N65+N91+N102+N108</f>
        <v>0</v>
      </c>
      <c r="O110" s="4">
        <f t="shared" si="95"/>
        <v>1018729.784</v>
      </c>
      <c r="P110" s="4">
        <f t="shared" ref="P110:Q110" si="96">P28+P46+P65+P91+P102+P108</f>
        <v>1018729.784</v>
      </c>
      <c r="Q110" s="4">
        <f t="shared" si="96"/>
        <v>1018729.784</v>
      </c>
      <c r="R110" s="4">
        <f t="shared" si="58"/>
        <v>0</v>
      </c>
      <c r="S110" s="4">
        <v>400000</v>
      </c>
      <c r="T110" s="4">
        <v>-289441</v>
      </c>
      <c r="U110" s="4">
        <v>1620409.7314807915</v>
      </c>
      <c r="V110" s="4">
        <f t="shared" si="56"/>
        <v>601679.94748079148</v>
      </c>
      <c r="W110" s="4">
        <f t="shared" ref="W110" si="97">W28+W46+W65+W91+W102+W108</f>
        <v>0</v>
      </c>
      <c r="X110" s="162">
        <f t="shared" si="59"/>
        <v>0</v>
      </c>
      <c r="Z110" s="182"/>
      <c r="AA110" s="182"/>
    </row>
    <row r="111" spans="1:27" x14ac:dyDescent="0.3">
      <c r="A111" s="81"/>
      <c r="B111" s="81"/>
      <c r="C111" s="81"/>
      <c r="D111" s="82"/>
      <c r="E111" s="81"/>
      <c r="F111" s="81"/>
      <c r="G111" s="81"/>
      <c r="H111" s="87"/>
      <c r="I111" s="87"/>
      <c r="J111" s="87"/>
      <c r="K111" s="88"/>
      <c r="L111" s="88"/>
      <c r="M111" s="122"/>
      <c r="N111" s="81">
        <f t="shared" si="69"/>
        <v>0</v>
      </c>
      <c r="O111" s="81">
        <f t="shared" si="70"/>
        <v>0</v>
      </c>
      <c r="P111" s="81">
        <f t="shared" si="55"/>
        <v>0</v>
      </c>
      <c r="Q111" s="81">
        <v>0</v>
      </c>
      <c r="R111" s="81">
        <f t="shared" si="58"/>
        <v>0</v>
      </c>
      <c r="S111" s="81"/>
      <c r="T111" s="81"/>
      <c r="U111" s="81">
        <v>0</v>
      </c>
      <c r="V111" s="81">
        <f t="shared" si="56"/>
        <v>0</v>
      </c>
      <c r="W111" s="81"/>
      <c r="X111" s="204">
        <f t="shared" si="59"/>
        <v>0</v>
      </c>
      <c r="Z111" s="182"/>
      <c r="AA111" s="182"/>
    </row>
    <row r="112" spans="1:27" x14ac:dyDescent="0.3">
      <c r="A112" s="4">
        <f>A18+A110</f>
        <v>368894.49656016007</v>
      </c>
      <c r="B112" s="4">
        <f t="shared" ref="B112:L112" si="98">B18+B110</f>
        <v>368877.31969739997</v>
      </c>
      <c r="C112" s="4">
        <f t="shared" si="98"/>
        <v>368877.31969739997</v>
      </c>
      <c r="D112" s="4">
        <f t="shared" si="98"/>
        <v>372021.31969739997</v>
      </c>
      <c r="E112" s="4">
        <f t="shared" si="98"/>
        <v>382897.4636974</v>
      </c>
      <c r="F112" s="4">
        <f t="shared" si="98"/>
        <v>368989.45569740003</v>
      </c>
      <c r="G112" s="4">
        <f t="shared" si="98"/>
        <v>368877.31969739997</v>
      </c>
      <c r="H112" s="4">
        <f t="shared" si="98"/>
        <v>557256.86969740002</v>
      </c>
      <c r="I112" s="4">
        <f t="shared" si="98"/>
        <v>368877.31969739997</v>
      </c>
      <c r="J112" s="4">
        <f t="shared" si="98"/>
        <v>368877.31969739997</v>
      </c>
      <c r="K112" s="4">
        <f t="shared" si="98"/>
        <v>368877.31969739997</v>
      </c>
      <c r="L112" s="4">
        <f t="shared" si="98"/>
        <v>379947.46289740002</v>
      </c>
      <c r="M112" s="13" t="s">
        <v>240</v>
      </c>
      <c r="N112" s="4">
        <f t="shared" ref="N112:O112" si="99">N18+N110</f>
        <v>0</v>
      </c>
      <c r="O112" s="4">
        <f t="shared" si="99"/>
        <v>4643270.9864315614</v>
      </c>
      <c r="P112" s="4">
        <f t="shared" ref="P112:Q112" si="100">P18+P110</f>
        <v>4643270.9864315614</v>
      </c>
      <c r="Q112" s="4">
        <f t="shared" si="100"/>
        <v>4643270.9864315614</v>
      </c>
      <c r="R112" s="4">
        <f>P112-Q112</f>
        <v>0</v>
      </c>
      <c r="S112" s="4">
        <v>400000</v>
      </c>
      <c r="T112" s="224">
        <v>-325172.99887704337</v>
      </c>
      <c r="U112" s="224">
        <v>4496468.8864807915</v>
      </c>
      <c r="V112" s="224">
        <f t="shared" si="56"/>
        <v>-146802.09995076992</v>
      </c>
      <c r="W112" s="4">
        <f t="shared" ref="W112" si="101">W18+W110</f>
        <v>0</v>
      </c>
      <c r="X112" s="162">
        <f t="shared" si="59"/>
        <v>0</v>
      </c>
      <c r="Z112" s="182"/>
      <c r="AA112" s="182"/>
    </row>
    <row r="113" spans="1:27" x14ac:dyDescent="0.3">
      <c r="A113" s="81"/>
      <c r="B113" s="81"/>
      <c r="C113" s="81"/>
      <c r="D113" s="82"/>
      <c r="E113" s="81"/>
      <c r="F113" s="81"/>
      <c r="G113" s="81"/>
      <c r="H113" s="87"/>
      <c r="I113" s="87"/>
      <c r="J113" s="87"/>
      <c r="K113" s="88"/>
      <c r="L113" s="88"/>
      <c r="M113" s="122"/>
      <c r="N113" s="81">
        <f t="shared" si="69"/>
        <v>0</v>
      </c>
      <c r="O113" s="81">
        <f t="shared" si="70"/>
        <v>0</v>
      </c>
      <c r="P113" s="81">
        <f t="shared" si="55"/>
        <v>0</v>
      </c>
      <c r="Q113" s="81">
        <v>0</v>
      </c>
      <c r="R113" s="81">
        <f t="shared" si="58"/>
        <v>0</v>
      </c>
      <c r="S113" s="81"/>
      <c r="T113" s="81"/>
      <c r="U113" s="81">
        <v>0</v>
      </c>
      <c r="V113" s="81">
        <f t="shared" si="56"/>
        <v>0</v>
      </c>
      <c r="W113" s="81"/>
      <c r="X113" s="204">
        <f t="shared" si="59"/>
        <v>0</v>
      </c>
      <c r="Z113" s="182"/>
      <c r="AA113" s="182"/>
    </row>
    <row r="114" spans="1:27" x14ac:dyDescent="0.3">
      <c r="A114" s="8">
        <f>$Q$114/12</f>
        <v>0</v>
      </c>
      <c r="B114" s="8">
        <f t="shared" ref="B114:L114" si="102">$Q$114/12</f>
        <v>0</v>
      </c>
      <c r="C114" s="8">
        <f t="shared" si="102"/>
        <v>0</v>
      </c>
      <c r="D114" s="8">
        <f t="shared" si="102"/>
        <v>0</v>
      </c>
      <c r="E114" s="8">
        <f t="shared" si="102"/>
        <v>0</v>
      </c>
      <c r="F114" s="8">
        <f t="shared" si="102"/>
        <v>0</v>
      </c>
      <c r="G114" s="8">
        <f t="shared" si="102"/>
        <v>0</v>
      </c>
      <c r="H114" s="8"/>
      <c r="I114" s="8">
        <f t="shared" si="102"/>
        <v>0</v>
      </c>
      <c r="J114" s="8"/>
      <c r="K114" s="8">
        <f t="shared" si="102"/>
        <v>0</v>
      </c>
      <c r="L114" s="8">
        <f t="shared" si="102"/>
        <v>0</v>
      </c>
      <c r="M114" s="238" t="s">
        <v>491</v>
      </c>
      <c r="N114" s="8">
        <f t="shared" ref="N114:N125" si="103">SUM(0)</f>
        <v>0</v>
      </c>
      <c r="O114" s="8">
        <f t="shared" ref="O114:O125" si="104">SUM(A114:L114)</f>
        <v>0</v>
      </c>
      <c r="P114" s="8">
        <f t="shared" si="55"/>
        <v>0</v>
      </c>
      <c r="Q114" s="8">
        <v>0</v>
      </c>
      <c r="R114" s="8">
        <f t="shared" ref="R114:R125" si="105">Q114-P114</f>
        <v>0</v>
      </c>
      <c r="S114" s="8"/>
      <c r="T114" s="8"/>
      <c r="U114" s="8">
        <v>0</v>
      </c>
      <c r="V114" s="8">
        <f t="shared" si="56"/>
        <v>0</v>
      </c>
      <c r="W114" s="8"/>
      <c r="X114" s="158">
        <f t="shared" si="59"/>
        <v>0</v>
      </c>
      <c r="Z114" s="182"/>
      <c r="AA114" s="182"/>
    </row>
    <row r="115" spans="1:27" x14ac:dyDescent="0.3">
      <c r="A115" s="7">
        <f>$Q$115/12</f>
        <v>0</v>
      </c>
      <c r="B115" s="7">
        <f t="shared" ref="B115:L115" si="106">$Q$115/12</f>
        <v>0</v>
      </c>
      <c r="C115" s="7">
        <f t="shared" si="106"/>
        <v>0</v>
      </c>
      <c r="D115" s="7">
        <f t="shared" si="106"/>
        <v>0</v>
      </c>
      <c r="E115" s="7">
        <f t="shared" si="106"/>
        <v>0</v>
      </c>
      <c r="F115" s="7">
        <f t="shared" si="106"/>
        <v>0</v>
      </c>
      <c r="G115" s="7">
        <f t="shared" si="106"/>
        <v>0</v>
      </c>
      <c r="H115" s="7"/>
      <c r="I115" s="7">
        <f t="shared" si="106"/>
        <v>0</v>
      </c>
      <c r="J115" s="7"/>
      <c r="K115" s="7">
        <f t="shared" si="106"/>
        <v>0</v>
      </c>
      <c r="L115" s="7">
        <f t="shared" si="106"/>
        <v>0</v>
      </c>
      <c r="M115" s="13" t="s">
        <v>492</v>
      </c>
      <c r="N115" s="7">
        <f t="shared" si="103"/>
        <v>0</v>
      </c>
      <c r="O115" s="7">
        <f t="shared" si="104"/>
        <v>0</v>
      </c>
      <c r="P115" s="7">
        <f t="shared" si="55"/>
        <v>0</v>
      </c>
      <c r="Q115" s="7">
        <v>0</v>
      </c>
      <c r="R115" s="7">
        <f t="shared" si="105"/>
        <v>0</v>
      </c>
      <c r="S115" s="7"/>
      <c r="T115" s="7"/>
      <c r="U115" s="7">
        <v>0</v>
      </c>
      <c r="V115" s="7">
        <f t="shared" si="56"/>
        <v>0</v>
      </c>
      <c r="W115" s="7"/>
      <c r="X115" s="159">
        <f t="shared" si="59"/>
        <v>0</v>
      </c>
      <c r="Z115" s="182"/>
      <c r="AA115" s="182"/>
    </row>
    <row r="116" spans="1:27" x14ac:dyDescent="0.3">
      <c r="A116" s="7">
        <f>$Q$116/12</f>
        <v>0</v>
      </c>
      <c r="B116" s="7">
        <f t="shared" ref="B116:L116" si="107">$Q$116/12</f>
        <v>0</v>
      </c>
      <c r="C116" s="7">
        <f t="shared" si="107"/>
        <v>0</v>
      </c>
      <c r="D116" s="7">
        <f t="shared" si="107"/>
        <v>0</v>
      </c>
      <c r="E116" s="7">
        <f t="shared" si="107"/>
        <v>0</v>
      </c>
      <c r="F116" s="7">
        <f t="shared" si="107"/>
        <v>0</v>
      </c>
      <c r="G116" s="7">
        <f t="shared" si="107"/>
        <v>0</v>
      </c>
      <c r="H116" s="7"/>
      <c r="I116" s="7">
        <f t="shared" si="107"/>
        <v>0</v>
      </c>
      <c r="J116" s="7"/>
      <c r="K116" s="7">
        <f t="shared" si="107"/>
        <v>0</v>
      </c>
      <c r="L116" s="7">
        <f t="shared" si="107"/>
        <v>0</v>
      </c>
      <c r="M116" s="13" t="s">
        <v>493</v>
      </c>
      <c r="N116" s="7">
        <f t="shared" si="103"/>
        <v>0</v>
      </c>
      <c r="O116" s="7">
        <f t="shared" si="104"/>
        <v>0</v>
      </c>
      <c r="P116" s="7">
        <f t="shared" si="55"/>
        <v>0</v>
      </c>
      <c r="Q116" s="7">
        <v>0</v>
      </c>
      <c r="R116" s="7">
        <f t="shared" si="105"/>
        <v>0</v>
      </c>
      <c r="S116" s="7"/>
      <c r="T116" s="7"/>
      <c r="U116" s="7">
        <v>0</v>
      </c>
      <c r="V116" s="7">
        <f t="shared" si="56"/>
        <v>0</v>
      </c>
      <c r="W116" s="7"/>
      <c r="X116" s="159">
        <f t="shared" si="59"/>
        <v>0</v>
      </c>
      <c r="Z116" s="182"/>
      <c r="AA116" s="182"/>
    </row>
    <row r="117" spans="1:27" x14ac:dyDescent="0.3">
      <c r="A117" s="7">
        <f>$Q$117/12</f>
        <v>0</v>
      </c>
      <c r="B117" s="7">
        <f t="shared" ref="B117:L117" si="108">$Q$117/12</f>
        <v>0</v>
      </c>
      <c r="C117" s="7">
        <f t="shared" si="108"/>
        <v>0</v>
      </c>
      <c r="D117" s="7">
        <f t="shared" si="108"/>
        <v>0</v>
      </c>
      <c r="E117" s="7">
        <f t="shared" si="108"/>
        <v>0</v>
      </c>
      <c r="F117" s="7">
        <f t="shared" si="108"/>
        <v>0</v>
      </c>
      <c r="G117" s="7">
        <f t="shared" si="108"/>
        <v>0</v>
      </c>
      <c r="H117" s="7"/>
      <c r="I117" s="7">
        <f t="shared" si="108"/>
        <v>0</v>
      </c>
      <c r="J117" s="7"/>
      <c r="K117" s="7">
        <f t="shared" si="108"/>
        <v>0</v>
      </c>
      <c r="L117" s="7">
        <f t="shared" si="108"/>
        <v>0</v>
      </c>
      <c r="M117" s="238" t="s">
        <v>494</v>
      </c>
      <c r="N117" s="7">
        <f t="shared" si="103"/>
        <v>0</v>
      </c>
      <c r="O117" s="7">
        <f t="shared" si="104"/>
        <v>0</v>
      </c>
      <c r="P117" s="7">
        <f t="shared" si="55"/>
        <v>0</v>
      </c>
      <c r="Q117" s="7">
        <v>0</v>
      </c>
      <c r="R117" s="7">
        <f t="shared" si="105"/>
        <v>0</v>
      </c>
      <c r="S117" s="7"/>
      <c r="T117" s="7"/>
      <c r="U117" s="7">
        <v>0</v>
      </c>
      <c r="V117" s="7">
        <f t="shared" si="56"/>
        <v>0</v>
      </c>
      <c r="W117" s="7"/>
      <c r="X117" s="159">
        <f t="shared" si="59"/>
        <v>0</v>
      </c>
      <c r="Z117" s="182"/>
      <c r="AA117" s="182"/>
    </row>
    <row r="118" spans="1:27" x14ac:dyDescent="0.3">
      <c r="A118" s="7">
        <f>$Q$118/12</f>
        <v>0</v>
      </c>
      <c r="B118" s="7">
        <f t="shared" ref="B118:L118" si="109">$Q$118/12</f>
        <v>0</v>
      </c>
      <c r="C118" s="7">
        <f t="shared" si="109"/>
        <v>0</v>
      </c>
      <c r="D118" s="7">
        <f t="shared" si="109"/>
        <v>0</v>
      </c>
      <c r="E118" s="7">
        <f t="shared" si="109"/>
        <v>0</v>
      </c>
      <c r="F118" s="7">
        <f t="shared" si="109"/>
        <v>0</v>
      </c>
      <c r="G118" s="7">
        <f t="shared" si="109"/>
        <v>0</v>
      </c>
      <c r="H118" s="7"/>
      <c r="I118" s="7">
        <f t="shared" si="109"/>
        <v>0</v>
      </c>
      <c r="J118" s="7"/>
      <c r="K118" s="7">
        <f t="shared" si="109"/>
        <v>0</v>
      </c>
      <c r="L118" s="7">
        <f t="shared" si="109"/>
        <v>0</v>
      </c>
      <c r="M118" s="13" t="s">
        <v>495</v>
      </c>
      <c r="N118" s="7">
        <f t="shared" si="103"/>
        <v>0</v>
      </c>
      <c r="O118" s="7">
        <f t="shared" si="104"/>
        <v>0</v>
      </c>
      <c r="P118" s="7">
        <f t="shared" si="55"/>
        <v>0</v>
      </c>
      <c r="Q118" s="7">
        <v>0</v>
      </c>
      <c r="R118" s="7">
        <f t="shared" si="105"/>
        <v>0</v>
      </c>
      <c r="S118" s="7"/>
      <c r="T118" s="7"/>
      <c r="U118" s="7">
        <v>0</v>
      </c>
      <c r="V118" s="7">
        <f t="shared" si="56"/>
        <v>0</v>
      </c>
      <c r="W118" s="7"/>
      <c r="X118" s="159">
        <f t="shared" si="59"/>
        <v>0</v>
      </c>
      <c r="Z118" s="182"/>
      <c r="AA118" s="182"/>
    </row>
    <row r="119" spans="1:27" x14ac:dyDescent="0.3">
      <c r="A119" s="7">
        <f>$Q$119/12</f>
        <v>0</v>
      </c>
      <c r="B119" s="7">
        <f t="shared" ref="B119:L119" si="110">$Q$119/12</f>
        <v>0</v>
      </c>
      <c r="C119" s="7">
        <f t="shared" si="110"/>
        <v>0</v>
      </c>
      <c r="D119" s="7">
        <f t="shared" si="110"/>
        <v>0</v>
      </c>
      <c r="E119" s="7">
        <f t="shared" si="110"/>
        <v>0</v>
      </c>
      <c r="F119" s="7">
        <f t="shared" si="110"/>
        <v>0</v>
      </c>
      <c r="G119" s="7">
        <f t="shared" si="110"/>
        <v>0</v>
      </c>
      <c r="H119" s="7"/>
      <c r="I119" s="7">
        <f t="shared" si="110"/>
        <v>0</v>
      </c>
      <c r="J119" s="7"/>
      <c r="K119" s="7">
        <f t="shared" si="110"/>
        <v>0</v>
      </c>
      <c r="L119" s="7">
        <f t="shared" si="110"/>
        <v>0</v>
      </c>
      <c r="M119" s="13" t="s">
        <v>496</v>
      </c>
      <c r="N119" s="7">
        <f t="shared" si="103"/>
        <v>0</v>
      </c>
      <c r="O119" s="7">
        <f t="shared" si="104"/>
        <v>0</v>
      </c>
      <c r="P119" s="7">
        <f t="shared" si="55"/>
        <v>0</v>
      </c>
      <c r="Q119" s="7">
        <v>0</v>
      </c>
      <c r="R119" s="7">
        <f t="shared" si="105"/>
        <v>0</v>
      </c>
      <c r="S119" s="7"/>
      <c r="T119" s="7"/>
      <c r="U119" s="7">
        <v>0</v>
      </c>
      <c r="V119" s="7">
        <f t="shared" si="56"/>
        <v>0</v>
      </c>
      <c r="W119" s="7"/>
      <c r="X119" s="159">
        <f t="shared" si="59"/>
        <v>0</v>
      </c>
      <c r="Z119" s="182"/>
      <c r="AA119" s="182"/>
    </row>
    <row r="120" spans="1:27" x14ac:dyDescent="0.3">
      <c r="A120" s="7">
        <f>$Q$120/12</f>
        <v>0</v>
      </c>
      <c r="B120" s="7">
        <f t="shared" ref="B120:L120" si="111">$Q$120/12</f>
        <v>0</v>
      </c>
      <c r="C120" s="7">
        <f t="shared" si="111"/>
        <v>0</v>
      </c>
      <c r="D120" s="7">
        <f t="shared" si="111"/>
        <v>0</v>
      </c>
      <c r="E120" s="7">
        <f t="shared" si="111"/>
        <v>0</v>
      </c>
      <c r="F120" s="7">
        <f t="shared" si="111"/>
        <v>0</v>
      </c>
      <c r="G120" s="7">
        <f t="shared" si="111"/>
        <v>0</v>
      </c>
      <c r="H120" s="7"/>
      <c r="I120" s="7">
        <f t="shared" si="111"/>
        <v>0</v>
      </c>
      <c r="J120" s="7"/>
      <c r="K120" s="7">
        <f t="shared" si="111"/>
        <v>0</v>
      </c>
      <c r="L120" s="7">
        <f t="shared" si="111"/>
        <v>0</v>
      </c>
      <c r="M120" s="238" t="s">
        <v>497</v>
      </c>
      <c r="N120" s="7">
        <f t="shared" si="103"/>
        <v>0</v>
      </c>
      <c r="O120" s="7">
        <f t="shared" si="104"/>
        <v>0</v>
      </c>
      <c r="P120" s="7">
        <f t="shared" si="55"/>
        <v>0</v>
      </c>
      <c r="Q120" s="7">
        <v>0</v>
      </c>
      <c r="R120" s="7">
        <f t="shared" si="105"/>
        <v>0</v>
      </c>
      <c r="S120" s="7"/>
      <c r="T120" s="7"/>
      <c r="U120" s="7">
        <v>0</v>
      </c>
      <c r="V120" s="7">
        <f t="shared" si="56"/>
        <v>0</v>
      </c>
      <c r="W120" s="7"/>
      <c r="X120" s="159">
        <f t="shared" si="59"/>
        <v>0</v>
      </c>
      <c r="Z120" s="182"/>
      <c r="AA120" s="182"/>
    </row>
    <row r="121" spans="1:27" x14ac:dyDescent="0.3">
      <c r="A121" s="7">
        <f>$Q$121/12</f>
        <v>0</v>
      </c>
      <c r="B121" s="7">
        <f t="shared" ref="B121:L121" si="112">$Q$121/12</f>
        <v>0</v>
      </c>
      <c r="C121" s="7">
        <f t="shared" si="112"/>
        <v>0</v>
      </c>
      <c r="D121" s="7">
        <f t="shared" si="112"/>
        <v>0</v>
      </c>
      <c r="E121" s="7">
        <f t="shared" si="112"/>
        <v>0</v>
      </c>
      <c r="F121" s="7">
        <f t="shared" si="112"/>
        <v>0</v>
      </c>
      <c r="G121" s="7">
        <f t="shared" si="112"/>
        <v>0</v>
      </c>
      <c r="H121" s="7"/>
      <c r="I121" s="7">
        <f t="shared" si="112"/>
        <v>0</v>
      </c>
      <c r="J121" s="7"/>
      <c r="K121" s="7">
        <f t="shared" si="112"/>
        <v>0</v>
      </c>
      <c r="L121" s="7">
        <f t="shared" si="112"/>
        <v>0</v>
      </c>
      <c r="M121" s="13" t="s">
        <v>498</v>
      </c>
      <c r="N121" s="7">
        <f t="shared" si="103"/>
        <v>0</v>
      </c>
      <c r="O121" s="7">
        <f t="shared" si="104"/>
        <v>0</v>
      </c>
      <c r="P121" s="7">
        <f t="shared" si="55"/>
        <v>0</v>
      </c>
      <c r="Q121" s="7">
        <v>0</v>
      </c>
      <c r="R121" s="7">
        <f t="shared" si="105"/>
        <v>0</v>
      </c>
      <c r="S121" s="7"/>
      <c r="T121" s="7"/>
      <c r="U121" s="7">
        <v>0</v>
      </c>
      <c r="V121" s="7">
        <f t="shared" si="56"/>
        <v>0</v>
      </c>
      <c r="W121" s="7"/>
      <c r="X121" s="159">
        <f t="shared" si="59"/>
        <v>0</v>
      </c>
      <c r="Z121" s="182"/>
      <c r="AA121" s="182"/>
    </row>
    <row r="122" spans="1:27" x14ac:dyDescent="0.3">
      <c r="A122" s="7">
        <f>$Q$122/12</f>
        <v>0</v>
      </c>
      <c r="B122" s="7">
        <f t="shared" ref="B122:L122" si="113">$Q$122/12</f>
        <v>0</v>
      </c>
      <c r="C122" s="7">
        <f t="shared" si="113"/>
        <v>0</v>
      </c>
      <c r="D122" s="7">
        <f t="shared" si="113"/>
        <v>0</v>
      </c>
      <c r="E122" s="7">
        <f t="shared" si="113"/>
        <v>0</v>
      </c>
      <c r="F122" s="7">
        <f t="shared" si="113"/>
        <v>0</v>
      </c>
      <c r="G122" s="7">
        <f t="shared" si="113"/>
        <v>0</v>
      </c>
      <c r="H122" s="7"/>
      <c r="I122" s="7">
        <f t="shared" si="113"/>
        <v>0</v>
      </c>
      <c r="J122" s="7"/>
      <c r="K122" s="7">
        <f t="shared" si="113"/>
        <v>0</v>
      </c>
      <c r="L122" s="7">
        <f t="shared" si="113"/>
        <v>0</v>
      </c>
      <c r="M122" s="13" t="s">
        <v>499</v>
      </c>
      <c r="N122" s="7">
        <f t="shared" si="103"/>
        <v>0</v>
      </c>
      <c r="O122" s="7">
        <f t="shared" si="104"/>
        <v>0</v>
      </c>
      <c r="P122" s="7">
        <f t="shared" si="55"/>
        <v>0</v>
      </c>
      <c r="Q122" s="7">
        <v>0</v>
      </c>
      <c r="R122" s="7">
        <f t="shared" si="105"/>
        <v>0</v>
      </c>
      <c r="S122" s="7"/>
      <c r="T122" s="7"/>
      <c r="U122" s="7">
        <v>0</v>
      </c>
      <c r="V122" s="7">
        <f t="shared" si="56"/>
        <v>0</v>
      </c>
      <c r="W122" s="7"/>
      <c r="X122" s="159">
        <f t="shared" si="59"/>
        <v>0</v>
      </c>
      <c r="Z122" s="182"/>
      <c r="AA122" s="182"/>
    </row>
    <row r="123" spans="1:27" x14ac:dyDescent="0.3">
      <c r="A123" s="7">
        <f>$Q$123/12</f>
        <v>0</v>
      </c>
      <c r="B123" s="7">
        <f t="shared" ref="B123:L123" si="114">$Q$123/12</f>
        <v>0</v>
      </c>
      <c r="C123" s="7">
        <f t="shared" si="114"/>
        <v>0</v>
      </c>
      <c r="D123" s="7">
        <f t="shared" si="114"/>
        <v>0</v>
      </c>
      <c r="E123" s="7">
        <f t="shared" si="114"/>
        <v>0</v>
      </c>
      <c r="F123" s="7">
        <f t="shared" si="114"/>
        <v>0</v>
      </c>
      <c r="G123" s="7">
        <f t="shared" si="114"/>
        <v>0</v>
      </c>
      <c r="H123" s="7"/>
      <c r="I123" s="7">
        <f t="shared" si="114"/>
        <v>0</v>
      </c>
      <c r="J123" s="7"/>
      <c r="K123" s="7">
        <f t="shared" si="114"/>
        <v>0</v>
      </c>
      <c r="L123" s="7">
        <f t="shared" si="114"/>
        <v>0</v>
      </c>
      <c r="M123" s="238" t="s">
        <v>500</v>
      </c>
      <c r="N123" s="7">
        <f t="shared" si="103"/>
        <v>0</v>
      </c>
      <c r="O123" s="7">
        <f t="shared" si="104"/>
        <v>0</v>
      </c>
      <c r="P123" s="7">
        <f t="shared" si="55"/>
        <v>0</v>
      </c>
      <c r="Q123" s="7">
        <v>0</v>
      </c>
      <c r="R123" s="7">
        <f t="shared" si="105"/>
        <v>0</v>
      </c>
      <c r="S123" s="7"/>
      <c r="T123" s="7"/>
      <c r="U123" s="7">
        <v>0</v>
      </c>
      <c r="V123" s="7">
        <f t="shared" si="56"/>
        <v>0</v>
      </c>
      <c r="W123" s="7"/>
      <c r="X123" s="159">
        <f t="shared" si="59"/>
        <v>0</v>
      </c>
      <c r="Z123" s="182"/>
      <c r="AA123" s="182"/>
    </row>
    <row r="124" spans="1:27" x14ac:dyDescent="0.3">
      <c r="A124" s="7">
        <f>$Q$124/12</f>
        <v>0</v>
      </c>
      <c r="B124" s="7">
        <f t="shared" ref="B124:L124" si="115">$Q$124/12</f>
        <v>0</v>
      </c>
      <c r="C124" s="7">
        <f t="shared" si="115"/>
        <v>0</v>
      </c>
      <c r="D124" s="7">
        <f t="shared" si="115"/>
        <v>0</v>
      </c>
      <c r="E124" s="7">
        <f t="shared" si="115"/>
        <v>0</v>
      </c>
      <c r="F124" s="7">
        <f t="shared" si="115"/>
        <v>0</v>
      </c>
      <c r="G124" s="7">
        <f t="shared" si="115"/>
        <v>0</v>
      </c>
      <c r="H124" s="7"/>
      <c r="I124" s="7">
        <f t="shared" si="115"/>
        <v>0</v>
      </c>
      <c r="J124" s="7"/>
      <c r="K124" s="7">
        <f t="shared" si="115"/>
        <v>0</v>
      </c>
      <c r="L124" s="7">
        <f t="shared" si="115"/>
        <v>0</v>
      </c>
      <c r="M124" s="13" t="s">
        <v>501</v>
      </c>
      <c r="N124" s="7">
        <f t="shared" si="103"/>
        <v>0</v>
      </c>
      <c r="O124" s="7">
        <f t="shared" si="104"/>
        <v>0</v>
      </c>
      <c r="P124" s="7">
        <f t="shared" si="55"/>
        <v>0</v>
      </c>
      <c r="Q124" s="7">
        <v>0</v>
      </c>
      <c r="R124" s="7">
        <f t="shared" si="105"/>
        <v>0</v>
      </c>
      <c r="S124" s="7"/>
      <c r="T124" s="7"/>
      <c r="U124" s="7">
        <v>0</v>
      </c>
      <c r="V124" s="7">
        <f t="shared" si="56"/>
        <v>0</v>
      </c>
      <c r="W124" s="7"/>
      <c r="X124" s="159">
        <f t="shared" si="59"/>
        <v>0</v>
      </c>
      <c r="Z124" s="182"/>
      <c r="AA124" s="182"/>
    </row>
    <row r="125" spans="1:27" x14ac:dyDescent="0.3">
      <c r="A125" s="11">
        <f>$Q$125/12</f>
        <v>0</v>
      </c>
      <c r="B125" s="11">
        <f t="shared" ref="B125:L125" si="116">$Q$125/12</f>
        <v>0</v>
      </c>
      <c r="C125" s="11">
        <f t="shared" si="116"/>
        <v>0</v>
      </c>
      <c r="D125" s="11">
        <f t="shared" si="116"/>
        <v>0</v>
      </c>
      <c r="E125" s="11">
        <f t="shared" si="116"/>
        <v>0</v>
      </c>
      <c r="F125" s="11">
        <f t="shared" si="116"/>
        <v>0</v>
      </c>
      <c r="G125" s="11">
        <f t="shared" si="116"/>
        <v>0</v>
      </c>
      <c r="H125" s="11"/>
      <c r="I125" s="11">
        <f t="shared" si="116"/>
        <v>0</v>
      </c>
      <c r="J125" s="11"/>
      <c r="K125" s="11">
        <f t="shared" si="116"/>
        <v>0</v>
      </c>
      <c r="L125" s="11">
        <f t="shared" si="116"/>
        <v>0</v>
      </c>
      <c r="M125" s="13" t="s">
        <v>184</v>
      </c>
      <c r="N125" s="11">
        <f t="shared" si="103"/>
        <v>0</v>
      </c>
      <c r="O125" s="11">
        <f t="shared" si="104"/>
        <v>0</v>
      </c>
      <c r="P125" s="11">
        <f t="shared" si="55"/>
        <v>0</v>
      </c>
      <c r="Q125" s="11">
        <v>0</v>
      </c>
      <c r="R125" s="11">
        <f t="shared" si="105"/>
        <v>0</v>
      </c>
      <c r="S125" s="11"/>
      <c r="T125" s="11"/>
      <c r="U125" s="11">
        <v>0</v>
      </c>
      <c r="V125" s="11">
        <f t="shared" si="56"/>
        <v>0</v>
      </c>
      <c r="W125" s="11"/>
      <c r="X125" s="160">
        <f t="shared" si="59"/>
        <v>0</v>
      </c>
      <c r="Z125" s="182"/>
      <c r="AA125" s="182"/>
    </row>
    <row r="126" spans="1:27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13"/>
      <c r="N126" s="7">
        <f t="shared" si="69"/>
        <v>0</v>
      </c>
      <c r="O126" s="7">
        <f t="shared" si="70"/>
        <v>0</v>
      </c>
      <c r="P126" s="7">
        <f t="shared" si="55"/>
        <v>0</v>
      </c>
      <c r="Q126" s="7">
        <v>0</v>
      </c>
      <c r="R126" s="7">
        <f t="shared" si="58"/>
        <v>0</v>
      </c>
      <c r="S126" s="7"/>
      <c r="T126" s="7"/>
      <c r="U126" s="7">
        <v>0</v>
      </c>
      <c r="V126" s="7">
        <f t="shared" si="56"/>
        <v>0</v>
      </c>
      <c r="W126" s="7"/>
      <c r="X126" s="159">
        <f t="shared" si="59"/>
        <v>0</v>
      </c>
      <c r="Z126" s="182"/>
      <c r="AA126" s="182"/>
    </row>
    <row r="127" spans="1:27" x14ac:dyDescent="0.3">
      <c r="A127" s="4">
        <f>SUM(A114:A125)</f>
        <v>0</v>
      </c>
      <c r="B127" s="4">
        <f t="shared" ref="B127:L127" si="117">SUM(B114:B125)</f>
        <v>0</v>
      </c>
      <c r="C127" s="4">
        <f t="shared" si="117"/>
        <v>0</v>
      </c>
      <c r="D127" s="4">
        <f t="shared" si="117"/>
        <v>0</v>
      </c>
      <c r="E127" s="4">
        <f t="shared" si="117"/>
        <v>0</v>
      </c>
      <c r="F127" s="4">
        <f t="shared" si="117"/>
        <v>0</v>
      </c>
      <c r="G127" s="4">
        <f t="shared" si="117"/>
        <v>0</v>
      </c>
      <c r="H127" s="4">
        <f t="shared" si="117"/>
        <v>0</v>
      </c>
      <c r="I127" s="4">
        <f t="shared" si="117"/>
        <v>0</v>
      </c>
      <c r="J127" s="4">
        <f t="shared" si="117"/>
        <v>0</v>
      </c>
      <c r="K127" s="4">
        <f t="shared" si="117"/>
        <v>0</v>
      </c>
      <c r="L127" s="4">
        <f t="shared" si="117"/>
        <v>0</v>
      </c>
      <c r="M127" s="13" t="s">
        <v>185</v>
      </c>
      <c r="N127" s="4">
        <f t="shared" ref="N127:O127" si="118">SUM(N114:N125)</f>
        <v>0</v>
      </c>
      <c r="O127" s="4">
        <f t="shared" si="118"/>
        <v>0</v>
      </c>
      <c r="P127" s="4">
        <f t="shared" ref="P127:Q127" si="119">SUM(P114:P125)</f>
        <v>0</v>
      </c>
      <c r="Q127" s="4">
        <f t="shared" si="119"/>
        <v>0</v>
      </c>
      <c r="R127" s="4">
        <f t="shared" si="58"/>
        <v>0</v>
      </c>
      <c r="S127" s="4">
        <v>0</v>
      </c>
      <c r="T127" s="4">
        <v>0</v>
      </c>
      <c r="U127" s="4">
        <v>0</v>
      </c>
      <c r="V127" s="4">
        <f t="shared" si="56"/>
        <v>0</v>
      </c>
      <c r="W127" s="4">
        <f t="shared" ref="W127" si="120">SUM(W114:W125)</f>
        <v>0</v>
      </c>
      <c r="X127" s="162">
        <f t="shared" si="59"/>
        <v>0</v>
      </c>
      <c r="Z127" s="182"/>
      <c r="AA127" s="182"/>
    </row>
    <row r="128" spans="1:27" x14ac:dyDescent="0.3">
      <c r="A128" s="82"/>
      <c r="B128" s="81"/>
      <c r="C128" s="81"/>
      <c r="D128" s="82"/>
      <c r="E128" s="86"/>
      <c r="F128" s="86"/>
      <c r="G128" s="86"/>
      <c r="H128" s="86"/>
      <c r="I128" s="87"/>
      <c r="J128" s="87"/>
      <c r="K128" s="88"/>
      <c r="L128" s="88"/>
      <c r="M128" s="122"/>
      <c r="N128" s="86">
        <f t="shared" si="69"/>
        <v>0</v>
      </c>
      <c r="O128" s="86">
        <f t="shared" si="70"/>
        <v>0</v>
      </c>
      <c r="P128" s="86">
        <f t="shared" si="55"/>
        <v>0</v>
      </c>
      <c r="Q128" s="81">
        <v>0</v>
      </c>
      <c r="R128" s="81">
        <f t="shared" si="58"/>
        <v>0</v>
      </c>
      <c r="S128" s="81"/>
      <c r="T128" s="81"/>
      <c r="U128" s="81">
        <v>0</v>
      </c>
      <c r="V128" s="81">
        <f t="shared" si="56"/>
        <v>0</v>
      </c>
      <c r="W128" s="81"/>
      <c r="X128" s="204">
        <f t="shared" si="59"/>
        <v>0</v>
      </c>
      <c r="Z128" s="182"/>
      <c r="AA128" s="182"/>
    </row>
    <row r="129" spans="1:27" x14ac:dyDescent="0.3">
      <c r="A129" s="4">
        <f>A112+A127</f>
        <v>368894.49656016007</v>
      </c>
      <c r="B129" s="4">
        <f t="shared" ref="B129:L129" si="121">B112+B127</f>
        <v>368877.31969739997</v>
      </c>
      <c r="C129" s="4">
        <f t="shared" si="121"/>
        <v>368877.31969739997</v>
      </c>
      <c r="D129" s="4">
        <f t="shared" si="121"/>
        <v>372021.31969739997</v>
      </c>
      <c r="E129" s="4">
        <f t="shared" si="121"/>
        <v>382897.4636974</v>
      </c>
      <c r="F129" s="4">
        <f t="shared" si="121"/>
        <v>368989.45569740003</v>
      </c>
      <c r="G129" s="4">
        <f t="shared" si="121"/>
        <v>368877.31969739997</v>
      </c>
      <c r="H129" s="4">
        <f t="shared" si="121"/>
        <v>557256.86969740002</v>
      </c>
      <c r="I129" s="4">
        <f t="shared" si="121"/>
        <v>368877.31969739997</v>
      </c>
      <c r="J129" s="4">
        <f t="shared" si="121"/>
        <v>368877.31969739997</v>
      </c>
      <c r="K129" s="4">
        <f t="shared" si="121"/>
        <v>368877.31969739997</v>
      </c>
      <c r="L129" s="4">
        <f t="shared" si="121"/>
        <v>379947.46289740002</v>
      </c>
      <c r="M129" s="13" t="s">
        <v>186</v>
      </c>
      <c r="N129" s="4">
        <f t="shared" ref="N129:O129" si="122">N112+N127</f>
        <v>0</v>
      </c>
      <c r="O129" s="4">
        <f t="shared" si="122"/>
        <v>4643270.9864315614</v>
      </c>
      <c r="P129" s="4">
        <f>P112+P127</f>
        <v>4643270.9864315614</v>
      </c>
      <c r="Q129" s="4">
        <f>Q112+Q127</f>
        <v>4643270.9864315614</v>
      </c>
      <c r="R129" s="4">
        <f>P129-Q129</f>
        <v>0</v>
      </c>
      <c r="S129" s="4">
        <v>400000</v>
      </c>
      <c r="T129" s="4">
        <v>-325172.99887704337</v>
      </c>
      <c r="U129" s="4">
        <v>4496468.8864807915</v>
      </c>
      <c r="V129" s="4">
        <f t="shared" si="56"/>
        <v>-146802.09995076992</v>
      </c>
      <c r="W129" s="4">
        <f>W112+W127</f>
        <v>0</v>
      </c>
      <c r="X129" s="162">
        <f t="shared" si="59"/>
        <v>0</v>
      </c>
      <c r="Z129" s="182"/>
      <c r="AA129" s="182"/>
    </row>
    <row r="131" spans="1:27" x14ac:dyDescent="0.3">
      <c r="Q131" s="167"/>
    </row>
    <row r="132" spans="1:27" x14ac:dyDescent="0.3">
      <c r="Q132" s="167"/>
      <c r="S132" s="353"/>
    </row>
    <row r="133" spans="1:27" hidden="1" x14ac:dyDescent="0.3">
      <c r="A133" s="408" t="s">
        <v>3</v>
      </c>
      <c r="B133" s="408"/>
      <c r="C133" s="408"/>
      <c r="D133" s="408"/>
      <c r="E133" s="408"/>
      <c r="F133" s="408"/>
      <c r="G133" s="408"/>
      <c r="H133" s="408"/>
      <c r="I133" s="408"/>
      <c r="J133" s="408"/>
      <c r="K133" s="408"/>
      <c r="L133" s="408"/>
      <c r="M133" s="14" t="s">
        <v>69</v>
      </c>
      <c r="N133" s="424"/>
      <c r="O133" s="425"/>
      <c r="P133" s="425"/>
      <c r="Q133" s="425"/>
      <c r="R133" s="425"/>
      <c r="S133" s="425"/>
      <c r="T133" s="425"/>
      <c r="U133" s="425"/>
      <c r="V133" s="425"/>
      <c r="W133" s="425"/>
      <c r="X133" s="125"/>
    </row>
    <row r="134" spans="1:27" hidden="1" x14ac:dyDescent="0.3">
      <c r="A134" s="125">
        <v>43556</v>
      </c>
      <c r="B134" s="125">
        <v>43586</v>
      </c>
      <c r="C134" s="125">
        <v>43617</v>
      </c>
      <c r="D134" s="125">
        <v>43647</v>
      </c>
      <c r="E134" s="125">
        <v>43678</v>
      </c>
      <c r="F134" s="125">
        <v>43709</v>
      </c>
      <c r="G134" s="125">
        <v>43739</v>
      </c>
      <c r="H134" s="125">
        <v>43770</v>
      </c>
      <c r="I134" s="125">
        <v>43800</v>
      </c>
      <c r="J134" s="125">
        <v>43831</v>
      </c>
      <c r="K134" s="125">
        <v>43862</v>
      </c>
      <c r="L134" s="125">
        <v>43891</v>
      </c>
      <c r="M134" s="431" t="str">
        <f>M4</f>
        <v>CES</v>
      </c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 t="s">
        <v>271</v>
      </c>
    </row>
    <row r="135" spans="1:27" hidden="1" x14ac:dyDescent="0.3">
      <c r="A135" s="201" t="s">
        <v>2</v>
      </c>
      <c r="B135" s="201" t="s">
        <v>2</v>
      </c>
      <c r="C135" s="201" t="s">
        <v>2</v>
      </c>
      <c r="D135" s="201" t="s">
        <v>2</v>
      </c>
      <c r="E135" s="201" t="s">
        <v>2</v>
      </c>
      <c r="F135" s="201" t="s">
        <v>2</v>
      </c>
      <c r="G135" s="201" t="s">
        <v>2</v>
      </c>
      <c r="H135" s="10" t="s">
        <v>1</v>
      </c>
      <c r="I135" s="10" t="s">
        <v>1</v>
      </c>
      <c r="J135" s="10" t="s">
        <v>1</v>
      </c>
      <c r="K135" s="10" t="s">
        <v>1</v>
      </c>
      <c r="L135" s="10" t="s">
        <v>1</v>
      </c>
      <c r="M135" s="432"/>
      <c r="N135" s="201"/>
      <c r="O135" s="10"/>
      <c r="P135" s="10"/>
      <c r="Q135" s="10"/>
      <c r="R135" s="10"/>
      <c r="S135" s="10"/>
      <c r="T135" s="10"/>
      <c r="U135" s="10"/>
      <c r="V135" s="10"/>
      <c r="W135" s="10"/>
      <c r="X135" s="10" t="s">
        <v>13</v>
      </c>
    </row>
    <row r="136" spans="1:27" hidden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24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7" hidden="1" x14ac:dyDescent="0.3">
      <c r="A137" s="8">
        <v>0</v>
      </c>
      <c r="B137" s="8">
        <f>A7+B7</f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187" t="s">
        <v>77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158"/>
    </row>
    <row r="138" spans="1:27" hidden="1" x14ac:dyDescent="0.3">
      <c r="A138" s="202">
        <v>208695.85</v>
      </c>
      <c r="B138" s="202">
        <f>A138+B8</f>
        <v>490641.05835724005</v>
      </c>
      <c r="C138" s="202">
        <f t="shared" ref="C138:L138" si="123">B138+C8</f>
        <v>772586.26671448001</v>
      </c>
      <c r="D138" s="202">
        <f t="shared" si="123"/>
        <v>1054531.4750717201</v>
      </c>
      <c r="E138" s="202">
        <f t="shared" si="123"/>
        <v>1336476.6834289602</v>
      </c>
      <c r="F138" s="202">
        <f t="shared" si="123"/>
        <v>1618421.8917862002</v>
      </c>
      <c r="G138" s="202">
        <f t="shared" si="123"/>
        <v>1900367.1001434403</v>
      </c>
      <c r="H138" s="202">
        <f>G138+H8</f>
        <v>2182312.3085006801</v>
      </c>
      <c r="I138" s="202">
        <f t="shared" si="123"/>
        <v>2464257.5168579202</v>
      </c>
      <c r="J138" s="202">
        <f t="shared" si="123"/>
        <v>2746202.7252151603</v>
      </c>
      <c r="K138" s="202">
        <f t="shared" si="123"/>
        <v>3028147.9335724004</v>
      </c>
      <c r="L138" s="202">
        <f t="shared" si="123"/>
        <v>3310483.3219296401</v>
      </c>
      <c r="M138" s="13" t="s">
        <v>78</v>
      </c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159">
        <v>0.58295040452707192</v>
      </c>
    </row>
    <row r="139" spans="1:27" hidden="1" x14ac:dyDescent="0.3">
      <c r="A139" s="7"/>
      <c r="B139" s="7">
        <f t="shared" ref="B139:L154" si="124">A139+B9</f>
        <v>0</v>
      </c>
      <c r="C139" s="7">
        <f t="shared" si="124"/>
        <v>0</v>
      </c>
      <c r="D139" s="7">
        <f t="shared" si="124"/>
        <v>0</v>
      </c>
      <c r="E139" s="7">
        <f t="shared" si="124"/>
        <v>0</v>
      </c>
      <c r="F139" s="7">
        <f t="shared" si="124"/>
        <v>0</v>
      </c>
      <c r="G139" s="7">
        <f t="shared" si="124"/>
        <v>0</v>
      </c>
      <c r="H139" s="7">
        <f t="shared" si="124"/>
        <v>0</v>
      </c>
      <c r="I139" s="7">
        <f t="shared" si="124"/>
        <v>0</v>
      </c>
      <c r="J139" s="7">
        <f t="shared" si="124"/>
        <v>0</v>
      </c>
      <c r="K139" s="7">
        <f t="shared" si="124"/>
        <v>0</v>
      </c>
      <c r="L139" s="7">
        <f t="shared" si="124"/>
        <v>4378.9632000000001</v>
      </c>
      <c r="M139" s="13" t="s">
        <v>80</v>
      </c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159">
        <v>0</v>
      </c>
    </row>
    <row r="140" spans="1:27" hidden="1" x14ac:dyDescent="0.3">
      <c r="A140" s="7">
        <v>0</v>
      </c>
      <c r="B140" s="7">
        <f t="shared" si="124"/>
        <v>0</v>
      </c>
      <c r="C140" s="7">
        <f t="shared" si="124"/>
        <v>0</v>
      </c>
      <c r="D140" s="7">
        <f t="shared" si="124"/>
        <v>0</v>
      </c>
      <c r="E140" s="7">
        <f t="shared" si="124"/>
        <v>0</v>
      </c>
      <c r="F140" s="7">
        <f t="shared" si="124"/>
        <v>0</v>
      </c>
      <c r="G140" s="7">
        <f t="shared" si="124"/>
        <v>0</v>
      </c>
      <c r="H140" s="7">
        <f t="shared" si="124"/>
        <v>0</v>
      </c>
      <c r="I140" s="7">
        <f t="shared" si="124"/>
        <v>0</v>
      </c>
      <c r="J140" s="7">
        <f t="shared" si="124"/>
        <v>0</v>
      </c>
      <c r="K140" s="7">
        <f t="shared" si="124"/>
        <v>0</v>
      </c>
      <c r="L140" s="7">
        <f t="shared" si="124"/>
        <v>0</v>
      </c>
      <c r="M140" s="13" t="s">
        <v>81</v>
      </c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159">
        <v>0</v>
      </c>
    </row>
    <row r="141" spans="1:27" hidden="1" x14ac:dyDescent="0.3">
      <c r="A141" s="7">
        <v>0</v>
      </c>
      <c r="B141" s="7">
        <f t="shared" si="124"/>
        <v>0</v>
      </c>
      <c r="C141" s="7">
        <f t="shared" si="124"/>
        <v>0</v>
      </c>
      <c r="D141" s="7">
        <f t="shared" si="124"/>
        <v>0</v>
      </c>
      <c r="E141" s="7">
        <f t="shared" si="124"/>
        <v>0</v>
      </c>
      <c r="F141" s="7">
        <f t="shared" si="124"/>
        <v>0</v>
      </c>
      <c r="G141" s="7">
        <f t="shared" si="124"/>
        <v>0</v>
      </c>
      <c r="H141" s="7">
        <f t="shared" si="124"/>
        <v>0</v>
      </c>
      <c r="I141" s="7">
        <f t="shared" si="124"/>
        <v>0</v>
      </c>
      <c r="J141" s="7">
        <f t="shared" si="124"/>
        <v>0</v>
      </c>
      <c r="K141" s="7">
        <f t="shared" si="124"/>
        <v>0</v>
      </c>
      <c r="L141" s="7">
        <f t="shared" si="124"/>
        <v>0</v>
      </c>
      <c r="M141" s="13" t="s">
        <v>82</v>
      </c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159">
        <v>0</v>
      </c>
    </row>
    <row r="142" spans="1:27" hidden="1" x14ac:dyDescent="0.3">
      <c r="A142" s="202">
        <v>2943.71</v>
      </c>
      <c r="B142" s="202">
        <f t="shared" si="124"/>
        <v>6351.2693401600009</v>
      </c>
      <c r="C142" s="202">
        <f t="shared" si="124"/>
        <v>9758.8286803200008</v>
      </c>
      <c r="D142" s="202">
        <f t="shared" si="124"/>
        <v>13166.388020480001</v>
      </c>
      <c r="E142" s="202">
        <f t="shared" si="124"/>
        <v>16573.947360640002</v>
      </c>
      <c r="F142" s="202">
        <f t="shared" si="124"/>
        <v>19981.506700800004</v>
      </c>
      <c r="G142" s="202">
        <f t="shared" si="124"/>
        <v>23389.066040960006</v>
      </c>
      <c r="H142" s="202">
        <f t="shared" si="124"/>
        <v>26796.625381120008</v>
      </c>
      <c r="I142" s="202">
        <f t="shared" si="124"/>
        <v>30204.184721280009</v>
      </c>
      <c r="J142" s="202">
        <f t="shared" si="124"/>
        <v>33611.744061440011</v>
      </c>
      <c r="K142" s="202">
        <f t="shared" si="124"/>
        <v>37019.303401600009</v>
      </c>
      <c r="L142" s="202">
        <f t="shared" si="124"/>
        <v>40426.862741760007</v>
      </c>
      <c r="M142" s="13" t="s">
        <v>83</v>
      </c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159">
        <v>0.58556458528596578</v>
      </c>
    </row>
    <row r="143" spans="1:27" hidden="1" x14ac:dyDescent="0.3">
      <c r="A143" s="202">
        <v>0</v>
      </c>
      <c r="B143" s="202">
        <f t="shared" si="124"/>
        <v>0</v>
      </c>
      <c r="C143" s="202">
        <f t="shared" si="124"/>
        <v>0</v>
      </c>
      <c r="D143" s="202">
        <f t="shared" si="124"/>
        <v>0</v>
      </c>
      <c r="E143" s="202">
        <f t="shared" si="124"/>
        <v>0</v>
      </c>
      <c r="F143" s="202">
        <f t="shared" si="124"/>
        <v>0</v>
      </c>
      <c r="G143" s="202">
        <f t="shared" si="124"/>
        <v>0</v>
      </c>
      <c r="H143" s="202">
        <f t="shared" si="124"/>
        <v>0</v>
      </c>
      <c r="I143" s="202">
        <f t="shared" si="124"/>
        <v>0</v>
      </c>
      <c r="J143" s="202">
        <f t="shared" si="124"/>
        <v>0</v>
      </c>
      <c r="K143" s="202">
        <f t="shared" si="124"/>
        <v>0</v>
      </c>
      <c r="L143" s="202">
        <f t="shared" si="124"/>
        <v>0</v>
      </c>
      <c r="M143" s="13" t="s">
        <v>84</v>
      </c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159">
        <v>0.42815555555555557</v>
      </c>
    </row>
    <row r="144" spans="1:27" hidden="1" x14ac:dyDescent="0.3">
      <c r="A144" s="7"/>
      <c r="B144" s="7">
        <f t="shared" si="124"/>
        <v>0</v>
      </c>
      <c r="C144" s="7">
        <f t="shared" si="124"/>
        <v>0</v>
      </c>
      <c r="D144" s="7">
        <f t="shared" si="124"/>
        <v>0</v>
      </c>
      <c r="E144" s="7">
        <f t="shared" si="124"/>
        <v>0</v>
      </c>
      <c r="F144" s="7">
        <f t="shared" si="124"/>
        <v>0</v>
      </c>
      <c r="G144" s="7">
        <f t="shared" si="124"/>
        <v>0</v>
      </c>
      <c r="H144" s="7">
        <f t="shared" si="124"/>
        <v>186089.67</v>
      </c>
      <c r="I144" s="7">
        <f t="shared" si="124"/>
        <v>186089.67</v>
      </c>
      <c r="J144" s="7">
        <f t="shared" si="124"/>
        <v>186089.67</v>
      </c>
      <c r="K144" s="7">
        <f t="shared" si="124"/>
        <v>186089.67</v>
      </c>
      <c r="L144" s="7">
        <f t="shared" si="124"/>
        <v>186089.67</v>
      </c>
      <c r="M144" s="13" t="s">
        <v>86</v>
      </c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159">
        <v>0</v>
      </c>
    </row>
    <row r="145" spans="1:24" hidden="1" x14ac:dyDescent="0.3">
      <c r="A145" s="7">
        <v>0</v>
      </c>
      <c r="B145" s="7">
        <f t="shared" si="124"/>
        <v>0</v>
      </c>
      <c r="C145" s="7">
        <f t="shared" si="124"/>
        <v>0</v>
      </c>
      <c r="D145" s="7">
        <f t="shared" si="124"/>
        <v>3144</v>
      </c>
      <c r="E145" s="7">
        <f t="shared" si="124"/>
        <v>3144</v>
      </c>
      <c r="F145" s="7">
        <f t="shared" si="124"/>
        <v>3144</v>
      </c>
      <c r="G145" s="7">
        <f t="shared" si="124"/>
        <v>3144</v>
      </c>
      <c r="H145" s="7">
        <f t="shared" si="124"/>
        <v>3144</v>
      </c>
      <c r="I145" s="7">
        <f t="shared" si="124"/>
        <v>3144</v>
      </c>
      <c r="J145" s="7">
        <f t="shared" si="124"/>
        <v>3144</v>
      </c>
      <c r="K145" s="7">
        <f t="shared" si="124"/>
        <v>3144</v>
      </c>
      <c r="L145" s="7">
        <f t="shared" si="124"/>
        <v>9432</v>
      </c>
      <c r="M145" s="13" t="s">
        <v>87</v>
      </c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159">
        <v>0</v>
      </c>
    </row>
    <row r="146" spans="1:24" hidden="1" x14ac:dyDescent="0.3">
      <c r="A146" s="11">
        <v>0</v>
      </c>
      <c r="B146" s="11">
        <f t="shared" si="124"/>
        <v>0</v>
      </c>
      <c r="C146" s="11">
        <f t="shared" si="124"/>
        <v>0</v>
      </c>
      <c r="D146" s="11">
        <f t="shared" si="124"/>
        <v>0</v>
      </c>
      <c r="E146" s="11">
        <f t="shared" si="124"/>
        <v>0</v>
      </c>
      <c r="F146" s="11">
        <f t="shared" si="124"/>
        <v>0</v>
      </c>
      <c r="G146" s="11">
        <f t="shared" si="124"/>
        <v>0</v>
      </c>
      <c r="H146" s="11">
        <f t="shared" si="124"/>
        <v>0</v>
      </c>
      <c r="I146" s="11">
        <f t="shared" si="124"/>
        <v>0</v>
      </c>
      <c r="J146" s="11">
        <f t="shared" si="124"/>
        <v>0</v>
      </c>
      <c r="K146" s="11">
        <f t="shared" si="124"/>
        <v>0</v>
      </c>
      <c r="L146" s="11">
        <f t="shared" si="124"/>
        <v>0</v>
      </c>
      <c r="M146" s="13" t="s">
        <v>88</v>
      </c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60">
        <v>0</v>
      </c>
    </row>
    <row r="147" spans="1:24" hidden="1" x14ac:dyDescent="0.3">
      <c r="A147" s="81"/>
      <c r="B147" s="81">
        <f t="shared" si="124"/>
        <v>0</v>
      </c>
      <c r="C147" s="81">
        <f t="shared" si="124"/>
        <v>0</v>
      </c>
      <c r="D147" s="81">
        <f t="shared" si="124"/>
        <v>0</v>
      </c>
      <c r="E147" s="81">
        <f t="shared" si="124"/>
        <v>0</v>
      </c>
      <c r="F147" s="81">
        <f t="shared" si="124"/>
        <v>0</v>
      </c>
      <c r="G147" s="81">
        <f t="shared" si="124"/>
        <v>0</v>
      </c>
      <c r="H147" s="81">
        <f t="shared" si="124"/>
        <v>0</v>
      </c>
      <c r="I147" s="81">
        <f t="shared" si="124"/>
        <v>0</v>
      </c>
      <c r="J147" s="81">
        <f t="shared" si="124"/>
        <v>0</v>
      </c>
      <c r="K147" s="81">
        <f t="shared" si="124"/>
        <v>0</v>
      </c>
      <c r="L147" s="81">
        <f t="shared" si="124"/>
        <v>0</v>
      </c>
      <c r="M147" s="13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204">
        <v>0</v>
      </c>
    </row>
    <row r="148" spans="1:24" hidden="1" x14ac:dyDescent="0.3">
      <c r="A148" s="4">
        <v>211639.56</v>
      </c>
      <c r="B148" s="4">
        <f t="shared" si="124"/>
        <v>496992.3276974</v>
      </c>
      <c r="C148" s="4">
        <f t="shared" si="124"/>
        <v>782345.09539479995</v>
      </c>
      <c r="D148" s="4">
        <f t="shared" si="124"/>
        <v>1070841.8630921999</v>
      </c>
      <c r="E148" s="4">
        <f t="shared" si="124"/>
        <v>1356194.6307895998</v>
      </c>
      <c r="F148" s="4">
        <f t="shared" si="124"/>
        <v>1641547.3984869998</v>
      </c>
      <c r="G148" s="4">
        <f t="shared" si="124"/>
        <v>1926900.1661843997</v>
      </c>
      <c r="H148" s="4">
        <f t="shared" si="124"/>
        <v>2398342.6038817996</v>
      </c>
      <c r="I148" s="4">
        <f t="shared" si="124"/>
        <v>2683695.3715791996</v>
      </c>
      <c r="J148" s="4">
        <f t="shared" si="124"/>
        <v>2969048.1392765995</v>
      </c>
      <c r="K148" s="4">
        <f t="shared" si="124"/>
        <v>3254400.9069739995</v>
      </c>
      <c r="L148" s="4">
        <f t="shared" si="124"/>
        <v>3550810.8178713992</v>
      </c>
      <c r="M148" s="13" t="s">
        <v>89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>
        <v>1.5966705453685934</v>
      </c>
    </row>
    <row r="149" spans="1:24" hidden="1" x14ac:dyDescent="0.3">
      <c r="A149" s="81"/>
      <c r="B149" s="81">
        <f t="shared" si="124"/>
        <v>0</v>
      </c>
      <c r="C149" s="81">
        <f t="shared" si="124"/>
        <v>0</v>
      </c>
      <c r="D149" s="81">
        <f t="shared" si="124"/>
        <v>0</v>
      </c>
      <c r="E149" s="81">
        <f t="shared" si="124"/>
        <v>0</v>
      </c>
      <c r="F149" s="81">
        <f t="shared" si="124"/>
        <v>0</v>
      </c>
      <c r="G149" s="81">
        <f t="shared" si="124"/>
        <v>0</v>
      </c>
      <c r="H149" s="81">
        <f t="shared" si="124"/>
        <v>0</v>
      </c>
      <c r="I149" s="81">
        <f t="shared" si="124"/>
        <v>0</v>
      </c>
      <c r="J149" s="81">
        <f t="shared" si="124"/>
        <v>0</v>
      </c>
      <c r="K149" s="81">
        <f t="shared" si="124"/>
        <v>0</v>
      </c>
      <c r="L149" s="81">
        <f t="shared" si="124"/>
        <v>0</v>
      </c>
      <c r="M149" s="122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204">
        <v>0</v>
      </c>
    </row>
    <row r="150" spans="1:24" hidden="1" x14ac:dyDescent="0.3">
      <c r="A150" s="183">
        <v>0</v>
      </c>
      <c r="B150" s="183">
        <f t="shared" si="124"/>
        <v>0</v>
      </c>
      <c r="C150" s="183">
        <f t="shared" si="124"/>
        <v>0</v>
      </c>
      <c r="D150" s="183">
        <f t="shared" si="124"/>
        <v>0</v>
      </c>
      <c r="E150" s="183">
        <f t="shared" si="124"/>
        <v>0</v>
      </c>
      <c r="F150" s="183">
        <f t="shared" si="124"/>
        <v>0</v>
      </c>
      <c r="G150" s="183">
        <f t="shared" si="124"/>
        <v>0</v>
      </c>
      <c r="H150" s="183">
        <f t="shared" si="124"/>
        <v>0</v>
      </c>
      <c r="I150" s="183">
        <f t="shared" si="124"/>
        <v>0</v>
      </c>
      <c r="J150" s="183">
        <f t="shared" si="124"/>
        <v>0</v>
      </c>
      <c r="K150" s="183">
        <f t="shared" si="124"/>
        <v>0</v>
      </c>
      <c r="L150" s="183">
        <f t="shared" si="124"/>
        <v>0</v>
      </c>
      <c r="M150" s="187" t="s">
        <v>90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158">
        <v>0</v>
      </c>
    </row>
    <row r="151" spans="1:24" hidden="1" x14ac:dyDescent="0.3">
      <c r="A151" s="7">
        <v>0</v>
      </c>
      <c r="B151" s="7">
        <f t="shared" si="124"/>
        <v>0</v>
      </c>
      <c r="C151" s="7">
        <f t="shared" si="124"/>
        <v>0</v>
      </c>
      <c r="D151" s="7">
        <f t="shared" si="124"/>
        <v>0</v>
      </c>
      <c r="E151" s="7">
        <f t="shared" si="124"/>
        <v>0</v>
      </c>
      <c r="F151" s="7">
        <f t="shared" si="124"/>
        <v>0</v>
      </c>
      <c r="G151" s="7">
        <f t="shared" si="124"/>
        <v>0</v>
      </c>
      <c r="H151" s="7">
        <f t="shared" si="124"/>
        <v>0</v>
      </c>
      <c r="I151" s="7">
        <f t="shared" si="124"/>
        <v>0</v>
      </c>
      <c r="J151" s="7">
        <f t="shared" si="124"/>
        <v>0</v>
      </c>
      <c r="K151" s="7">
        <f t="shared" si="124"/>
        <v>0</v>
      </c>
      <c r="L151" s="7">
        <f t="shared" si="124"/>
        <v>0</v>
      </c>
      <c r="M151" s="13" t="s">
        <v>91</v>
      </c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159">
        <v>0</v>
      </c>
    </row>
    <row r="152" spans="1:24" hidden="1" x14ac:dyDescent="0.3">
      <c r="A152" s="7">
        <v>10800</v>
      </c>
      <c r="B152" s="7">
        <f t="shared" si="124"/>
        <v>24568.624</v>
      </c>
      <c r="C152" s="7">
        <f t="shared" si="124"/>
        <v>38337.248</v>
      </c>
      <c r="D152" s="7">
        <f t="shared" si="124"/>
        <v>52105.872000000003</v>
      </c>
      <c r="E152" s="7">
        <f t="shared" si="124"/>
        <v>65874.495999999999</v>
      </c>
      <c r="F152" s="7">
        <f t="shared" si="124"/>
        <v>79643.12</v>
      </c>
      <c r="G152" s="7">
        <f t="shared" si="124"/>
        <v>93411.743999999992</v>
      </c>
      <c r="H152" s="7">
        <f t="shared" si="124"/>
        <v>107180.36799999999</v>
      </c>
      <c r="I152" s="7">
        <f t="shared" si="124"/>
        <v>120948.99199999998</v>
      </c>
      <c r="J152" s="7">
        <f t="shared" si="124"/>
        <v>134717.61599999998</v>
      </c>
      <c r="K152" s="7">
        <f t="shared" si="124"/>
        <v>148486.24</v>
      </c>
      <c r="L152" s="7">
        <f t="shared" si="124"/>
        <v>162248.864</v>
      </c>
      <c r="M152" s="13" t="s">
        <v>92</v>
      </c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159">
        <v>0</v>
      </c>
    </row>
    <row r="153" spans="1:24" hidden="1" x14ac:dyDescent="0.3">
      <c r="A153" s="7">
        <v>0</v>
      </c>
      <c r="B153" s="7">
        <f t="shared" si="124"/>
        <v>0</v>
      </c>
      <c r="C153" s="7">
        <f t="shared" si="124"/>
        <v>0</v>
      </c>
      <c r="D153" s="7">
        <f t="shared" si="124"/>
        <v>0</v>
      </c>
      <c r="E153" s="7">
        <f t="shared" si="124"/>
        <v>0</v>
      </c>
      <c r="F153" s="7">
        <f t="shared" si="124"/>
        <v>0</v>
      </c>
      <c r="G153" s="7">
        <f t="shared" si="124"/>
        <v>0</v>
      </c>
      <c r="H153" s="7">
        <f t="shared" si="124"/>
        <v>0</v>
      </c>
      <c r="I153" s="7">
        <f t="shared" si="124"/>
        <v>0</v>
      </c>
      <c r="J153" s="7">
        <f t="shared" si="124"/>
        <v>0</v>
      </c>
      <c r="K153" s="7">
        <f t="shared" si="124"/>
        <v>0</v>
      </c>
      <c r="L153" s="7">
        <f t="shared" si="124"/>
        <v>0</v>
      </c>
      <c r="M153" s="125" t="s">
        <v>93</v>
      </c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159">
        <v>0</v>
      </c>
    </row>
    <row r="154" spans="1:24" hidden="1" x14ac:dyDescent="0.3">
      <c r="A154" s="7"/>
      <c r="B154" s="7">
        <f t="shared" si="124"/>
        <v>23328.48</v>
      </c>
      <c r="C154" s="7">
        <f t="shared" si="124"/>
        <v>46656.959999999999</v>
      </c>
      <c r="D154" s="7">
        <f t="shared" si="124"/>
        <v>69985.440000000002</v>
      </c>
      <c r="E154" s="7">
        <f t="shared" si="124"/>
        <v>93313.919999999998</v>
      </c>
      <c r="F154" s="7">
        <f t="shared" si="124"/>
        <v>116642.4</v>
      </c>
      <c r="G154" s="7">
        <f t="shared" si="124"/>
        <v>139970.88</v>
      </c>
      <c r="H154" s="7">
        <f t="shared" si="124"/>
        <v>163299.36000000002</v>
      </c>
      <c r="I154" s="7">
        <f t="shared" si="124"/>
        <v>186627.84000000003</v>
      </c>
      <c r="J154" s="7">
        <f t="shared" si="124"/>
        <v>209956.32000000004</v>
      </c>
      <c r="K154" s="7">
        <f t="shared" si="124"/>
        <v>233284.80000000005</v>
      </c>
      <c r="L154" s="7">
        <f t="shared" si="124"/>
        <v>256618.28000000006</v>
      </c>
      <c r="M154" s="125" t="s">
        <v>94</v>
      </c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159">
        <v>0</v>
      </c>
    </row>
    <row r="155" spans="1:24" hidden="1" x14ac:dyDescent="0.3">
      <c r="A155" s="7">
        <v>9040</v>
      </c>
      <c r="B155" s="7">
        <f t="shared" ref="B155:L170" si="125">A155+B25</f>
        <v>9912.9840000000004</v>
      </c>
      <c r="C155" s="7">
        <f t="shared" si="125"/>
        <v>10785.968000000001</v>
      </c>
      <c r="D155" s="7">
        <f t="shared" si="125"/>
        <v>11658.952000000001</v>
      </c>
      <c r="E155" s="7">
        <f t="shared" si="125"/>
        <v>12531.936000000002</v>
      </c>
      <c r="F155" s="7">
        <f t="shared" si="125"/>
        <v>13404.920000000002</v>
      </c>
      <c r="G155" s="7">
        <f t="shared" si="125"/>
        <v>14277.904000000002</v>
      </c>
      <c r="H155" s="7">
        <f t="shared" si="125"/>
        <v>15150.888000000003</v>
      </c>
      <c r="I155" s="7">
        <f t="shared" si="125"/>
        <v>16023.872000000003</v>
      </c>
      <c r="J155" s="7">
        <f t="shared" si="125"/>
        <v>16896.856000000003</v>
      </c>
      <c r="K155" s="7">
        <f t="shared" si="125"/>
        <v>17769.840000000004</v>
      </c>
      <c r="L155" s="7">
        <f t="shared" si="125"/>
        <v>18650.824000000004</v>
      </c>
      <c r="M155" s="13" t="s">
        <v>95</v>
      </c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159">
        <v>0</v>
      </c>
    </row>
    <row r="156" spans="1:24" hidden="1" x14ac:dyDescent="0.3">
      <c r="A156" s="11">
        <v>0</v>
      </c>
      <c r="B156" s="11">
        <f t="shared" si="125"/>
        <v>0</v>
      </c>
      <c r="C156" s="11">
        <f t="shared" si="125"/>
        <v>0</v>
      </c>
      <c r="D156" s="11">
        <f t="shared" si="125"/>
        <v>0</v>
      </c>
      <c r="E156" s="11">
        <f t="shared" si="125"/>
        <v>0</v>
      </c>
      <c r="F156" s="11">
        <f t="shared" si="125"/>
        <v>0</v>
      </c>
      <c r="G156" s="11">
        <f t="shared" si="125"/>
        <v>0</v>
      </c>
      <c r="H156" s="11">
        <f t="shared" si="125"/>
        <v>0</v>
      </c>
      <c r="I156" s="11">
        <f t="shared" si="125"/>
        <v>0</v>
      </c>
      <c r="J156" s="11">
        <f t="shared" si="125"/>
        <v>0</v>
      </c>
      <c r="K156" s="11">
        <f t="shared" si="125"/>
        <v>0</v>
      </c>
      <c r="L156" s="11">
        <f t="shared" si="125"/>
        <v>0</v>
      </c>
      <c r="M156" s="13" t="s">
        <v>96</v>
      </c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60">
        <v>0</v>
      </c>
    </row>
    <row r="157" spans="1:24" hidden="1" x14ac:dyDescent="0.3">
      <c r="A157" s="81"/>
      <c r="B157" s="81">
        <f t="shared" si="125"/>
        <v>0</v>
      </c>
      <c r="C157" s="81">
        <f t="shared" si="125"/>
        <v>0</v>
      </c>
      <c r="D157" s="81">
        <f t="shared" si="125"/>
        <v>0</v>
      </c>
      <c r="E157" s="81">
        <f t="shared" si="125"/>
        <v>0</v>
      </c>
      <c r="F157" s="81">
        <f t="shared" si="125"/>
        <v>0</v>
      </c>
      <c r="G157" s="81">
        <f t="shared" si="125"/>
        <v>0</v>
      </c>
      <c r="H157" s="81">
        <f t="shared" si="125"/>
        <v>0</v>
      </c>
      <c r="I157" s="81">
        <f t="shared" si="125"/>
        <v>0</v>
      </c>
      <c r="J157" s="81">
        <f t="shared" si="125"/>
        <v>0</v>
      </c>
      <c r="K157" s="81">
        <f t="shared" si="125"/>
        <v>0</v>
      </c>
      <c r="L157" s="81">
        <f t="shared" si="125"/>
        <v>0</v>
      </c>
      <c r="M157" s="13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204">
        <v>0</v>
      </c>
    </row>
    <row r="158" spans="1:24" hidden="1" x14ac:dyDescent="0.3">
      <c r="A158" s="4">
        <v>19840</v>
      </c>
      <c r="B158" s="4">
        <f t="shared" si="125"/>
        <v>57810.087999999996</v>
      </c>
      <c r="C158" s="4">
        <f t="shared" si="125"/>
        <v>95780.175999999992</v>
      </c>
      <c r="D158" s="4">
        <f t="shared" si="125"/>
        <v>133750.264</v>
      </c>
      <c r="E158" s="4">
        <f t="shared" si="125"/>
        <v>171720.35199999998</v>
      </c>
      <c r="F158" s="4">
        <f t="shared" si="125"/>
        <v>209690.43999999997</v>
      </c>
      <c r="G158" s="4">
        <f t="shared" si="125"/>
        <v>247660.52799999996</v>
      </c>
      <c r="H158" s="4">
        <f t="shared" si="125"/>
        <v>285630.61599999998</v>
      </c>
      <c r="I158" s="4">
        <f t="shared" si="125"/>
        <v>323600.70399999997</v>
      </c>
      <c r="J158" s="4">
        <f t="shared" si="125"/>
        <v>361570.79199999996</v>
      </c>
      <c r="K158" s="4">
        <f t="shared" si="125"/>
        <v>399540.87999999995</v>
      </c>
      <c r="L158" s="4">
        <f t="shared" si="125"/>
        <v>437517.96799999994</v>
      </c>
      <c r="M158" s="13" t="s">
        <v>97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162">
        <v>0</v>
      </c>
    </row>
    <row r="159" spans="1:24" hidden="1" x14ac:dyDescent="0.3">
      <c r="A159" s="81"/>
      <c r="B159" s="81">
        <f t="shared" si="125"/>
        <v>0</v>
      </c>
      <c r="C159" s="81">
        <f t="shared" si="125"/>
        <v>0</v>
      </c>
      <c r="D159" s="81">
        <f t="shared" si="125"/>
        <v>0</v>
      </c>
      <c r="E159" s="81">
        <f t="shared" si="125"/>
        <v>0</v>
      </c>
      <c r="F159" s="81">
        <f t="shared" si="125"/>
        <v>0</v>
      </c>
      <c r="G159" s="81">
        <f t="shared" si="125"/>
        <v>0</v>
      </c>
      <c r="H159" s="81">
        <f t="shared" si="125"/>
        <v>0</v>
      </c>
      <c r="I159" s="81">
        <f t="shared" si="125"/>
        <v>0</v>
      </c>
      <c r="J159" s="81">
        <f t="shared" si="125"/>
        <v>0</v>
      </c>
      <c r="K159" s="81">
        <f t="shared" si="125"/>
        <v>0</v>
      </c>
      <c r="L159" s="81">
        <f t="shared" si="125"/>
        <v>0</v>
      </c>
      <c r="M159" s="80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204">
        <v>0</v>
      </c>
    </row>
    <row r="160" spans="1:24" hidden="1" x14ac:dyDescent="0.3">
      <c r="A160" s="8">
        <v>0</v>
      </c>
      <c r="B160" s="8">
        <f t="shared" si="125"/>
        <v>0</v>
      </c>
      <c r="C160" s="8">
        <f t="shared" si="125"/>
        <v>0</v>
      </c>
      <c r="D160" s="8">
        <f t="shared" si="125"/>
        <v>0</v>
      </c>
      <c r="E160" s="8">
        <f t="shared" si="125"/>
        <v>0</v>
      </c>
      <c r="F160" s="8">
        <f t="shared" si="125"/>
        <v>0</v>
      </c>
      <c r="G160" s="8">
        <f t="shared" si="125"/>
        <v>0</v>
      </c>
      <c r="H160" s="8">
        <f t="shared" si="125"/>
        <v>0</v>
      </c>
      <c r="I160" s="8">
        <f t="shared" si="125"/>
        <v>0</v>
      </c>
      <c r="J160" s="8">
        <f t="shared" si="125"/>
        <v>0</v>
      </c>
      <c r="K160" s="8">
        <f t="shared" si="125"/>
        <v>0</v>
      </c>
      <c r="L160" s="8">
        <f t="shared" si="125"/>
        <v>0</v>
      </c>
      <c r="M160" s="187" t="s">
        <v>98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158">
        <v>0</v>
      </c>
    </row>
    <row r="161" spans="1:24" hidden="1" x14ac:dyDescent="0.3">
      <c r="A161" s="7">
        <v>0</v>
      </c>
      <c r="B161" s="7">
        <f t="shared" si="125"/>
        <v>0</v>
      </c>
      <c r="C161" s="7">
        <f t="shared" si="125"/>
        <v>0</v>
      </c>
      <c r="D161" s="7">
        <f t="shared" si="125"/>
        <v>0</v>
      </c>
      <c r="E161" s="7">
        <f t="shared" si="125"/>
        <v>0</v>
      </c>
      <c r="F161" s="7">
        <f t="shared" si="125"/>
        <v>0</v>
      </c>
      <c r="G161" s="7">
        <f t="shared" si="125"/>
        <v>0</v>
      </c>
      <c r="H161" s="7">
        <f t="shared" si="125"/>
        <v>0</v>
      </c>
      <c r="I161" s="7">
        <f t="shared" si="125"/>
        <v>0</v>
      </c>
      <c r="J161" s="7">
        <f t="shared" si="125"/>
        <v>0</v>
      </c>
      <c r="K161" s="7">
        <f t="shared" si="125"/>
        <v>0</v>
      </c>
      <c r="L161" s="7">
        <f t="shared" si="125"/>
        <v>0</v>
      </c>
      <c r="M161" s="13" t="s">
        <v>99</v>
      </c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159">
        <v>0</v>
      </c>
    </row>
    <row r="162" spans="1:24" hidden="1" x14ac:dyDescent="0.3">
      <c r="A162" s="7">
        <v>0</v>
      </c>
      <c r="B162" s="7">
        <f t="shared" si="125"/>
        <v>0</v>
      </c>
      <c r="C162" s="7">
        <f t="shared" si="125"/>
        <v>0</v>
      </c>
      <c r="D162" s="7">
        <f t="shared" si="125"/>
        <v>0</v>
      </c>
      <c r="E162" s="7">
        <f t="shared" si="125"/>
        <v>0</v>
      </c>
      <c r="F162" s="7">
        <f t="shared" si="125"/>
        <v>0</v>
      </c>
      <c r="G162" s="7">
        <f t="shared" si="125"/>
        <v>0</v>
      </c>
      <c r="H162" s="7">
        <f t="shared" si="125"/>
        <v>0</v>
      </c>
      <c r="I162" s="7">
        <f t="shared" si="125"/>
        <v>0</v>
      </c>
      <c r="J162" s="7">
        <f t="shared" si="125"/>
        <v>0</v>
      </c>
      <c r="K162" s="7">
        <f t="shared" si="125"/>
        <v>0</v>
      </c>
      <c r="L162" s="7">
        <f t="shared" si="125"/>
        <v>0</v>
      </c>
      <c r="M162" s="13" t="s">
        <v>100</v>
      </c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159">
        <v>0</v>
      </c>
    </row>
    <row r="163" spans="1:24" hidden="1" x14ac:dyDescent="0.3">
      <c r="A163" s="7">
        <v>0</v>
      </c>
      <c r="B163" s="7">
        <f t="shared" si="125"/>
        <v>0</v>
      </c>
      <c r="C163" s="7">
        <f t="shared" si="125"/>
        <v>0</v>
      </c>
      <c r="D163" s="7">
        <f t="shared" si="125"/>
        <v>0</v>
      </c>
      <c r="E163" s="7">
        <f t="shared" si="125"/>
        <v>0</v>
      </c>
      <c r="F163" s="7">
        <f t="shared" si="125"/>
        <v>0</v>
      </c>
      <c r="G163" s="7">
        <f t="shared" si="125"/>
        <v>0</v>
      </c>
      <c r="H163" s="7">
        <f t="shared" si="125"/>
        <v>0</v>
      </c>
      <c r="I163" s="7">
        <f t="shared" si="125"/>
        <v>0</v>
      </c>
      <c r="J163" s="7">
        <f t="shared" si="125"/>
        <v>0</v>
      </c>
      <c r="K163" s="7">
        <f t="shared" si="125"/>
        <v>0</v>
      </c>
      <c r="L163" s="7">
        <f t="shared" si="125"/>
        <v>0</v>
      </c>
      <c r="M163" s="13" t="s">
        <v>101</v>
      </c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159">
        <v>0</v>
      </c>
    </row>
    <row r="164" spans="1:24" hidden="1" x14ac:dyDescent="0.3">
      <c r="A164" s="7">
        <v>0</v>
      </c>
      <c r="B164" s="7">
        <f t="shared" si="125"/>
        <v>11037.536</v>
      </c>
      <c r="C164" s="7">
        <f t="shared" si="125"/>
        <v>22075.072</v>
      </c>
      <c r="D164" s="7">
        <f t="shared" si="125"/>
        <v>33112.608</v>
      </c>
      <c r="E164" s="7">
        <f t="shared" si="125"/>
        <v>44150.144</v>
      </c>
      <c r="F164" s="7">
        <f t="shared" si="125"/>
        <v>55187.68</v>
      </c>
      <c r="G164" s="7">
        <f t="shared" si="125"/>
        <v>66225.216</v>
      </c>
      <c r="H164" s="7">
        <f t="shared" si="125"/>
        <v>77262.752000000008</v>
      </c>
      <c r="I164" s="7">
        <f t="shared" si="125"/>
        <v>88300.288</v>
      </c>
      <c r="J164" s="7">
        <f t="shared" si="125"/>
        <v>99337.823999999993</v>
      </c>
      <c r="K164" s="7">
        <f t="shared" si="125"/>
        <v>110375.35999999999</v>
      </c>
      <c r="L164" s="7">
        <f t="shared" si="125"/>
        <v>121412.89599999998</v>
      </c>
      <c r="M164" s="13" t="s">
        <v>102</v>
      </c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159">
        <v>0</v>
      </c>
    </row>
    <row r="165" spans="1:24" hidden="1" x14ac:dyDescent="0.3">
      <c r="A165" s="7">
        <v>0</v>
      </c>
      <c r="B165" s="7">
        <f t="shared" si="125"/>
        <v>0</v>
      </c>
      <c r="C165" s="7">
        <f t="shared" si="125"/>
        <v>0</v>
      </c>
      <c r="D165" s="7">
        <f t="shared" si="125"/>
        <v>0</v>
      </c>
      <c r="E165" s="7">
        <f t="shared" si="125"/>
        <v>0</v>
      </c>
      <c r="F165" s="7">
        <f t="shared" si="125"/>
        <v>0</v>
      </c>
      <c r="G165" s="7">
        <f t="shared" si="125"/>
        <v>0</v>
      </c>
      <c r="H165" s="7">
        <f t="shared" si="125"/>
        <v>0</v>
      </c>
      <c r="I165" s="7">
        <f t="shared" si="125"/>
        <v>0</v>
      </c>
      <c r="J165" s="7">
        <f t="shared" si="125"/>
        <v>0</v>
      </c>
      <c r="K165" s="7">
        <f t="shared" si="125"/>
        <v>0</v>
      </c>
      <c r="L165" s="7">
        <f t="shared" si="125"/>
        <v>0</v>
      </c>
      <c r="M165" s="13" t="s">
        <v>104</v>
      </c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159">
        <v>0</v>
      </c>
    </row>
    <row r="166" spans="1:24" hidden="1" x14ac:dyDescent="0.3">
      <c r="A166" s="7">
        <v>0</v>
      </c>
      <c r="B166" s="7">
        <f t="shared" si="125"/>
        <v>0</v>
      </c>
      <c r="C166" s="7">
        <f t="shared" si="125"/>
        <v>0</v>
      </c>
      <c r="D166" s="7">
        <f t="shared" si="125"/>
        <v>0</v>
      </c>
      <c r="E166" s="7">
        <f t="shared" si="125"/>
        <v>0</v>
      </c>
      <c r="F166" s="7">
        <f t="shared" si="125"/>
        <v>0</v>
      </c>
      <c r="G166" s="7">
        <f t="shared" si="125"/>
        <v>0</v>
      </c>
      <c r="H166" s="7">
        <f t="shared" si="125"/>
        <v>0</v>
      </c>
      <c r="I166" s="7">
        <f t="shared" si="125"/>
        <v>0</v>
      </c>
      <c r="J166" s="7">
        <f t="shared" si="125"/>
        <v>0</v>
      </c>
      <c r="K166" s="7">
        <f t="shared" si="125"/>
        <v>0</v>
      </c>
      <c r="L166" s="7">
        <f t="shared" si="125"/>
        <v>0</v>
      </c>
      <c r="M166" s="13" t="s">
        <v>105</v>
      </c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159">
        <v>0</v>
      </c>
    </row>
    <row r="167" spans="1:24" hidden="1" x14ac:dyDescent="0.3">
      <c r="A167" s="7">
        <v>0</v>
      </c>
      <c r="B167" s="7">
        <f t="shared" si="125"/>
        <v>0</v>
      </c>
      <c r="C167" s="7">
        <f t="shared" si="125"/>
        <v>0</v>
      </c>
      <c r="D167" s="7">
        <f t="shared" si="125"/>
        <v>0</v>
      </c>
      <c r="E167" s="7">
        <f t="shared" si="125"/>
        <v>0</v>
      </c>
      <c r="F167" s="7">
        <f t="shared" si="125"/>
        <v>0</v>
      </c>
      <c r="G167" s="7">
        <f t="shared" si="125"/>
        <v>0</v>
      </c>
      <c r="H167" s="7">
        <f t="shared" si="125"/>
        <v>0</v>
      </c>
      <c r="I167" s="7">
        <f t="shared" si="125"/>
        <v>0</v>
      </c>
      <c r="J167" s="7">
        <f t="shared" si="125"/>
        <v>0</v>
      </c>
      <c r="K167" s="7">
        <f t="shared" si="125"/>
        <v>0</v>
      </c>
      <c r="L167" s="7">
        <f t="shared" si="125"/>
        <v>0</v>
      </c>
      <c r="M167" s="187" t="s">
        <v>106</v>
      </c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159">
        <v>0</v>
      </c>
    </row>
    <row r="168" spans="1:24" hidden="1" x14ac:dyDescent="0.3">
      <c r="A168" s="7">
        <v>0</v>
      </c>
      <c r="B168" s="7">
        <f t="shared" si="125"/>
        <v>0</v>
      </c>
      <c r="C168" s="7">
        <f t="shared" si="125"/>
        <v>0</v>
      </c>
      <c r="D168" s="7">
        <f t="shared" si="125"/>
        <v>0</v>
      </c>
      <c r="E168" s="7">
        <f t="shared" si="125"/>
        <v>0</v>
      </c>
      <c r="F168" s="7">
        <f t="shared" si="125"/>
        <v>0</v>
      </c>
      <c r="G168" s="7">
        <f t="shared" si="125"/>
        <v>0</v>
      </c>
      <c r="H168" s="7">
        <f t="shared" si="125"/>
        <v>0</v>
      </c>
      <c r="I168" s="7">
        <f t="shared" si="125"/>
        <v>0</v>
      </c>
      <c r="J168" s="7">
        <f t="shared" si="125"/>
        <v>0</v>
      </c>
      <c r="K168" s="7">
        <f t="shared" si="125"/>
        <v>0</v>
      </c>
      <c r="L168" s="7">
        <f t="shared" si="125"/>
        <v>0</v>
      </c>
      <c r="M168" s="13" t="s">
        <v>107</v>
      </c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159">
        <v>0</v>
      </c>
    </row>
    <row r="169" spans="1:24" hidden="1" x14ac:dyDescent="0.3">
      <c r="A169" s="7">
        <v>0</v>
      </c>
      <c r="B169" s="7">
        <f t="shared" si="125"/>
        <v>0</v>
      </c>
      <c r="C169" s="7">
        <f t="shared" si="125"/>
        <v>0</v>
      </c>
      <c r="D169" s="7">
        <f t="shared" si="125"/>
        <v>0</v>
      </c>
      <c r="E169" s="7">
        <f t="shared" si="125"/>
        <v>0</v>
      </c>
      <c r="F169" s="7">
        <f t="shared" si="125"/>
        <v>0</v>
      </c>
      <c r="G169" s="7">
        <f t="shared" si="125"/>
        <v>0</v>
      </c>
      <c r="H169" s="7">
        <f t="shared" si="125"/>
        <v>0</v>
      </c>
      <c r="I169" s="7">
        <f t="shared" si="125"/>
        <v>0</v>
      </c>
      <c r="J169" s="7">
        <f t="shared" si="125"/>
        <v>0</v>
      </c>
      <c r="K169" s="7">
        <f t="shared" si="125"/>
        <v>0</v>
      </c>
      <c r="L169" s="7">
        <f t="shared" si="125"/>
        <v>0</v>
      </c>
      <c r="M169" s="13" t="s">
        <v>108</v>
      </c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159">
        <v>0</v>
      </c>
    </row>
    <row r="170" spans="1:24" hidden="1" x14ac:dyDescent="0.3">
      <c r="A170" s="7">
        <v>0</v>
      </c>
      <c r="B170" s="7">
        <f t="shared" si="125"/>
        <v>0</v>
      </c>
      <c r="C170" s="7">
        <f t="shared" si="125"/>
        <v>0</v>
      </c>
      <c r="D170" s="7">
        <f t="shared" si="125"/>
        <v>0</v>
      </c>
      <c r="E170" s="7">
        <f t="shared" si="125"/>
        <v>0</v>
      </c>
      <c r="F170" s="7">
        <f t="shared" si="125"/>
        <v>0</v>
      </c>
      <c r="G170" s="7">
        <f t="shared" si="125"/>
        <v>0</v>
      </c>
      <c r="H170" s="7">
        <f t="shared" si="125"/>
        <v>0</v>
      </c>
      <c r="I170" s="7">
        <f t="shared" si="125"/>
        <v>0</v>
      </c>
      <c r="J170" s="7">
        <f t="shared" si="125"/>
        <v>0</v>
      </c>
      <c r="K170" s="7">
        <f t="shared" si="125"/>
        <v>0</v>
      </c>
      <c r="L170" s="7">
        <f t="shared" si="125"/>
        <v>0</v>
      </c>
      <c r="M170" s="13" t="s">
        <v>109</v>
      </c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159">
        <v>0</v>
      </c>
    </row>
    <row r="171" spans="1:24" hidden="1" x14ac:dyDescent="0.3">
      <c r="A171" s="7">
        <v>0</v>
      </c>
      <c r="B171" s="7">
        <f t="shared" ref="B171:L186" si="126">A171+B41</f>
        <v>0</v>
      </c>
      <c r="C171" s="7">
        <f t="shared" si="126"/>
        <v>0</v>
      </c>
      <c r="D171" s="7">
        <f t="shared" si="126"/>
        <v>0</v>
      </c>
      <c r="E171" s="7">
        <f t="shared" si="126"/>
        <v>0</v>
      </c>
      <c r="F171" s="7">
        <f t="shared" si="126"/>
        <v>0</v>
      </c>
      <c r="G171" s="7">
        <f t="shared" si="126"/>
        <v>0</v>
      </c>
      <c r="H171" s="7">
        <f t="shared" si="126"/>
        <v>0</v>
      </c>
      <c r="I171" s="7">
        <f t="shared" si="126"/>
        <v>0</v>
      </c>
      <c r="J171" s="7">
        <f t="shared" si="126"/>
        <v>0</v>
      </c>
      <c r="K171" s="7">
        <f t="shared" si="126"/>
        <v>0</v>
      </c>
      <c r="L171" s="7">
        <f t="shared" si="126"/>
        <v>0</v>
      </c>
      <c r="M171" s="13" t="s">
        <v>110</v>
      </c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159">
        <v>0</v>
      </c>
    </row>
    <row r="172" spans="1:24" hidden="1" x14ac:dyDescent="0.3">
      <c r="A172" s="7">
        <v>0</v>
      </c>
      <c r="B172" s="7">
        <f t="shared" si="126"/>
        <v>0</v>
      </c>
      <c r="C172" s="7">
        <f t="shared" si="126"/>
        <v>0</v>
      </c>
      <c r="D172" s="7">
        <f t="shared" si="126"/>
        <v>0</v>
      </c>
      <c r="E172" s="7">
        <f t="shared" si="126"/>
        <v>0</v>
      </c>
      <c r="F172" s="7">
        <f t="shared" si="126"/>
        <v>0</v>
      </c>
      <c r="G172" s="7">
        <f t="shared" si="126"/>
        <v>0</v>
      </c>
      <c r="H172" s="7">
        <f t="shared" si="126"/>
        <v>0</v>
      </c>
      <c r="I172" s="7">
        <f t="shared" si="126"/>
        <v>0</v>
      </c>
      <c r="J172" s="7">
        <f t="shared" si="126"/>
        <v>0</v>
      </c>
      <c r="K172" s="7">
        <f t="shared" si="126"/>
        <v>0</v>
      </c>
      <c r="L172" s="7">
        <f t="shared" si="126"/>
        <v>0</v>
      </c>
      <c r="M172" s="13" t="s">
        <v>111</v>
      </c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159">
        <v>0</v>
      </c>
    </row>
    <row r="173" spans="1:24" hidden="1" x14ac:dyDescent="0.3">
      <c r="A173" s="7">
        <v>0</v>
      </c>
      <c r="B173" s="7">
        <f t="shared" si="126"/>
        <v>0</v>
      </c>
      <c r="C173" s="7">
        <f t="shared" si="126"/>
        <v>0</v>
      </c>
      <c r="D173" s="7">
        <f t="shared" si="126"/>
        <v>0</v>
      </c>
      <c r="E173" s="7">
        <f t="shared" si="126"/>
        <v>0</v>
      </c>
      <c r="F173" s="7">
        <f t="shared" si="126"/>
        <v>0</v>
      </c>
      <c r="G173" s="7">
        <f t="shared" si="126"/>
        <v>0</v>
      </c>
      <c r="H173" s="7">
        <f t="shared" si="126"/>
        <v>0</v>
      </c>
      <c r="I173" s="7">
        <f t="shared" si="126"/>
        <v>0</v>
      </c>
      <c r="J173" s="7">
        <f t="shared" si="126"/>
        <v>0</v>
      </c>
      <c r="K173" s="7">
        <f t="shared" si="126"/>
        <v>0</v>
      </c>
      <c r="L173" s="7">
        <f t="shared" si="126"/>
        <v>0</v>
      </c>
      <c r="M173" s="13" t="s">
        <v>112</v>
      </c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159">
        <v>0</v>
      </c>
    </row>
    <row r="174" spans="1:24" hidden="1" x14ac:dyDescent="0.3">
      <c r="A174" s="11">
        <v>0</v>
      </c>
      <c r="B174" s="11">
        <f t="shared" si="126"/>
        <v>0</v>
      </c>
      <c r="C174" s="11">
        <f t="shared" si="126"/>
        <v>0</v>
      </c>
      <c r="D174" s="11">
        <f t="shared" si="126"/>
        <v>0</v>
      </c>
      <c r="E174" s="11">
        <f t="shared" si="126"/>
        <v>0</v>
      </c>
      <c r="F174" s="11">
        <f t="shared" si="126"/>
        <v>0</v>
      </c>
      <c r="G174" s="11">
        <f t="shared" si="126"/>
        <v>0</v>
      </c>
      <c r="H174" s="11">
        <f t="shared" si="126"/>
        <v>0</v>
      </c>
      <c r="I174" s="11">
        <f t="shared" si="126"/>
        <v>0</v>
      </c>
      <c r="J174" s="11">
        <f t="shared" si="126"/>
        <v>0</v>
      </c>
      <c r="K174" s="11">
        <f t="shared" si="126"/>
        <v>0</v>
      </c>
      <c r="L174" s="11">
        <f t="shared" si="126"/>
        <v>0</v>
      </c>
      <c r="M174" s="187" t="s">
        <v>113</v>
      </c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60">
        <v>0</v>
      </c>
    </row>
    <row r="175" spans="1:24" hidden="1" x14ac:dyDescent="0.3">
      <c r="A175" s="8"/>
      <c r="B175" s="8">
        <f t="shared" si="126"/>
        <v>0</v>
      </c>
      <c r="C175" s="8">
        <f t="shared" si="126"/>
        <v>0</v>
      </c>
      <c r="D175" s="8">
        <f t="shared" si="126"/>
        <v>0</v>
      </c>
      <c r="E175" s="8">
        <f t="shared" si="126"/>
        <v>0</v>
      </c>
      <c r="F175" s="8">
        <f t="shared" si="126"/>
        <v>0</v>
      </c>
      <c r="G175" s="8">
        <f t="shared" si="126"/>
        <v>0</v>
      </c>
      <c r="H175" s="8">
        <f t="shared" si="126"/>
        <v>0</v>
      </c>
      <c r="I175" s="8">
        <f t="shared" si="126"/>
        <v>0</v>
      </c>
      <c r="J175" s="8">
        <f t="shared" si="126"/>
        <v>0</v>
      </c>
      <c r="K175" s="8">
        <f t="shared" si="126"/>
        <v>0</v>
      </c>
      <c r="L175" s="8">
        <f t="shared" si="126"/>
        <v>0</v>
      </c>
      <c r="M175" s="13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205">
        <v>0</v>
      </c>
    </row>
    <row r="176" spans="1:24" hidden="1" x14ac:dyDescent="0.3">
      <c r="A176" s="4">
        <v>0</v>
      </c>
      <c r="B176" s="4">
        <f t="shared" si="126"/>
        <v>11037.536</v>
      </c>
      <c r="C176" s="4">
        <f t="shared" si="126"/>
        <v>22075.072</v>
      </c>
      <c r="D176" s="4">
        <f t="shared" si="126"/>
        <v>33112.608</v>
      </c>
      <c r="E176" s="4">
        <f t="shared" si="126"/>
        <v>44150.144</v>
      </c>
      <c r="F176" s="4">
        <f t="shared" si="126"/>
        <v>55187.68</v>
      </c>
      <c r="G176" s="4">
        <f t="shared" si="126"/>
        <v>66225.216</v>
      </c>
      <c r="H176" s="4">
        <f t="shared" si="126"/>
        <v>77262.752000000008</v>
      </c>
      <c r="I176" s="4">
        <f t="shared" si="126"/>
        <v>88300.288</v>
      </c>
      <c r="J176" s="4">
        <f t="shared" si="126"/>
        <v>99337.823999999993</v>
      </c>
      <c r="K176" s="4">
        <f t="shared" si="126"/>
        <v>110375.35999999999</v>
      </c>
      <c r="L176" s="4">
        <f t="shared" si="126"/>
        <v>121412.89599999998</v>
      </c>
      <c r="M176" s="13" t="s">
        <v>114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162">
        <v>0</v>
      </c>
    </row>
    <row r="177" spans="1:24" hidden="1" x14ac:dyDescent="0.3">
      <c r="A177" s="81"/>
      <c r="B177" s="81">
        <f t="shared" si="126"/>
        <v>0</v>
      </c>
      <c r="C177" s="81">
        <f t="shared" si="126"/>
        <v>0</v>
      </c>
      <c r="D177" s="81">
        <f t="shared" si="126"/>
        <v>0</v>
      </c>
      <c r="E177" s="81">
        <f t="shared" si="126"/>
        <v>0</v>
      </c>
      <c r="F177" s="81">
        <f t="shared" si="126"/>
        <v>0</v>
      </c>
      <c r="G177" s="81">
        <f t="shared" si="126"/>
        <v>0</v>
      </c>
      <c r="H177" s="81">
        <f t="shared" si="126"/>
        <v>0</v>
      </c>
      <c r="I177" s="81">
        <f t="shared" si="126"/>
        <v>0</v>
      </c>
      <c r="J177" s="81">
        <f t="shared" si="126"/>
        <v>0</v>
      </c>
      <c r="K177" s="81">
        <f t="shared" si="126"/>
        <v>0</v>
      </c>
      <c r="L177" s="81">
        <f t="shared" si="126"/>
        <v>0</v>
      </c>
      <c r="M177" s="80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204">
        <v>0</v>
      </c>
    </row>
    <row r="178" spans="1:24" hidden="1" x14ac:dyDescent="0.3">
      <c r="A178" s="8">
        <v>0</v>
      </c>
      <c r="B178" s="8">
        <f t="shared" si="126"/>
        <v>0</v>
      </c>
      <c r="C178" s="8">
        <f t="shared" si="126"/>
        <v>0</v>
      </c>
      <c r="D178" s="8">
        <f t="shared" si="126"/>
        <v>0</v>
      </c>
      <c r="E178" s="8">
        <f t="shared" si="126"/>
        <v>0</v>
      </c>
      <c r="F178" s="8">
        <f t="shared" si="126"/>
        <v>0</v>
      </c>
      <c r="G178" s="8">
        <f t="shared" si="126"/>
        <v>0</v>
      </c>
      <c r="H178" s="8">
        <f t="shared" si="126"/>
        <v>0</v>
      </c>
      <c r="I178" s="8">
        <f t="shared" si="126"/>
        <v>0</v>
      </c>
      <c r="J178" s="8">
        <f t="shared" si="126"/>
        <v>0</v>
      </c>
      <c r="K178" s="8">
        <f t="shared" si="126"/>
        <v>0</v>
      </c>
      <c r="L178" s="8">
        <f t="shared" si="126"/>
        <v>0</v>
      </c>
      <c r="M178" s="187" t="s">
        <v>115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158">
        <v>0</v>
      </c>
    </row>
    <row r="179" spans="1:24" hidden="1" x14ac:dyDescent="0.3">
      <c r="A179" s="7">
        <v>0</v>
      </c>
      <c r="B179" s="7">
        <f t="shared" si="126"/>
        <v>0</v>
      </c>
      <c r="C179" s="7">
        <f t="shared" si="126"/>
        <v>0</v>
      </c>
      <c r="D179" s="7">
        <f t="shared" si="126"/>
        <v>0</v>
      </c>
      <c r="E179" s="7">
        <f t="shared" si="126"/>
        <v>1858.104</v>
      </c>
      <c r="F179" s="7">
        <f t="shared" si="126"/>
        <v>1858.104</v>
      </c>
      <c r="G179" s="7">
        <f t="shared" si="126"/>
        <v>1858.104</v>
      </c>
      <c r="H179" s="7">
        <f t="shared" si="126"/>
        <v>1858.104</v>
      </c>
      <c r="I179" s="7">
        <f t="shared" si="126"/>
        <v>1858.104</v>
      </c>
      <c r="J179" s="7">
        <f t="shared" si="126"/>
        <v>1858.104</v>
      </c>
      <c r="K179" s="7">
        <f t="shared" si="126"/>
        <v>1858.104</v>
      </c>
      <c r="L179" s="7">
        <f t="shared" si="126"/>
        <v>1858.104</v>
      </c>
      <c r="M179" s="13" t="s">
        <v>116</v>
      </c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159">
        <v>0</v>
      </c>
    </row>
    <row r="180" spans="1:24" hidden="1" x14ac:dyDescent="0.3">
      <c r="A180" s="7">
        <v>0</v>
      </c>
      <c r="B180" s="7">
        <f t="shared" si="126"/>
        <v>0</v>
      </c>
      <c r="C180" s="7">
        <f t="shared" si="126"/>
        <v>0</v>
      </c>
      <c r="D180" s="7">
        <f t="shared" si="126"/>
        <v>0</v>
      </c>
      <c r="E180" s="7">
        <f t="shared" si="126"/>
        <v>0</v>
      </c>
      <c r="F180" s="7">
        <f t="shared" si="126"/>
        <v>112.13600000000001</v>
      </c>
      <c r="G180" s="7">
        <f t="shared" si="126"/>
        <v>112.13600000000001</v>
      </c>
      <c r="H180" s="7">
        <f t="shared" si="126"/>
        <v>112.13600000000001</v>
      </c>
      <c r="I180" s="7">
        <f t="shared" si="126"/>
        <v>112.13600000000001</v>
      </c>
      <c r="J180" s="7">
        <f t="shared" si="126"/>
        <v>112.13600000000001</v>
      </c>
      <c r="K180" s="7">
        <f t="shared" si="126"/>
        <v>112.13600000000001</v>
      </c>
      <c r="L180" s="7">
        <f t="shared" si="126"/>
        <v>112.13600000000001</v>
      </c>
      <c r="M180" s="13" t="s">
        <v>117</v>
      </c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159">
        <v>0</v>
      </c>
    </row>
    <row r="181" spans="1:24" hidden="1" x14ac:dyDescent="0.3">
      <c r="A181" s="7">
        <v>0</v>
      </c>
      <c r="B181" s="7">
        <f t="shared" si="126"/>
        <v>0</v>
      </c>
      <c r="C181" s="7">
        <f t="shared" si="126"/>
        <v>0</v>
      </c>
      <c r="D181" s="7">
        <f t="shared" si="126"/>
        <v>0</v>
      </c>
      <c r="E181" s="7">
        <f t="shared" si="126"/>
        <v>0</v>
      </c>
      <c r="F181" s="7">
        <f t="shared" si="126"/>
        <v>0</v>
      </c>
      <c r="G181" s="7">
        <f t="shared" si="126"/>
        <v>0</v>
      </c>
      <c r="H181" s="7">
        <f t="shared" si="126"/>
        <v>0</v>
      </c>
      <c r="I181" s="7">
        <f t="shared" si="126"/>
        <v>0</v>
      </c>
      <c r="J181" s="7">
        <f t="shared" si="126"/>
        <v>0</v>
      </c>
      <c r="K181" s="7">
        <f t="shared" si="126"/>
        <v>0</v>
      </c>
      <c r="L181" s="7">
        <f t="shared" si="126"/>
        <v>0</v>
      </c>
      <c r="M181" s="13" t="s">
        <v>118</v>
      </c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159">
        <v>0</v>
      </c>
    </row>
    <row r="182" spans="1:24" hidden="1" x14ac:dyDescent="0.3">
      <c r="A182" s="7">
        <v>0</v>
      </c>
      <c r="B182" s="7">
        <f t="shared" si="126"/>
        <v>0</v>
      </c>
      <c r="C182" s="7">
        <f t="shared" si="126"/>
        <v>0</v>
      </c>
      <c r="D182" s="7">
        <f t="shared" si="126"/>
        <v>0</v>
      </c>
      <c r="E182" s="7">
        <f t="shared" si="126"/>
        <v>225.32000000000002</v>
      </c>
      <c r="F182" s="7">
        <f t="shared" si="126"/>
        <v>225.32000000000002</v>
      </c>
      <c r="G182" s="7">
        <f t="shared" si="126"/>
        <v>225.32000000000002</v>
      </c>
      <c r="H182" s="7">
        <f t="shared" si="126"/>
        <v>225.32000000000002</v>
      </c>
      <c r="I182" s="7">
        <f t="shared" si="126"/>
        <v>225.32000000000002</v>
      </c>
      <c r="J182" s="7">
        <f t="shared" si="126"/>
        <v>225.32000000000002</v>
      </c>
      <c r="K182" s="7">
        <f t="shared" si="126"/>
        <v>225.32000000000002</v>
      </c>
      <c r="L182" s="7">
        <f t="shared" si="126"/>
        <v>225.32000000000002</v>
      </c>
      <c r="M182" s="13" t="s">
        <v>119</v>
      </c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159">
        <v>0</v>
      </c>
    </row>
    <row r="183" spans="1:24" hidden="1" x14ac:dyDescent="0.3">
      <c r="A183" s="7">
        <v>0</v>
      </c>
      <c r="B183" s="7">
        <f t="shared" si="126"/>
        <v>614.12800000000004</v>
      </c>
      <c r="C183" s="7">
        <f t="shared" si="126"/>
        <v>1228.2560000000001</v>
      </c>
      <c r="D183" s="7">
        <f t="shared" si="126"/>
        <v>1842.384</v>
      </c>
      <c r="E183" s="7">
        <f t="shared" si="126"/>
        <v>2456.5120000000002</v>
      </c>
      <c r="F183" s="7">
        <f t="shared" si="126"/>
        <v>3070.6400000000003</v>
      </c>
      <c r="G183" s="7">
        <f t="shared" si="126"/>
        <v>3684.7680000000005</v>
      </c>
      <c r="H183" s="7">
        <f t="shared" si="126"/>
        <v>4298.8960000000006</v>
      </c>
      <c r="I183" s="7">
        <f t="shared" si="126"/>
        <v>4913.0240000000003</v>
      </c>
      <c r="J183" s="7">
        <f t="shared" si="126"/>
        <v>5527.152</v>
      </c>
      <c r="K183" s="7">
        <f t="shared" si="126"/>
        <v>6141.28</v>
      </c>
      <c r="L183" s="7">
        <f t="shared" si="126"/>
        <v>6755.4079999999994</v>
      </c>
      <c r="M183" s="13" t="s">
        <v>120</v>
      </c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159">
        <v>1.0000135006596913</v>
      </c>
    </row>
    <row r="184" spans="1:24" hidden="1" x14ac:dyDescent="0.3">
      <c r="A184" s="7">
        <v>0</v>
      </c>
      <c r="B184" s="7">
        <f t="shared" si="126"/>
        <v>0</v>
      </c>
      <c r="C184" s="7">
        <f t="shared" si="126"/>
        <v>0</v>
      </c>
      <c r="D184" s="7">
        <f t="shared" si="126"/>
        <v>0</v>
      </c>
      <c r="E184" s="7">
        <f t="shared" si="126"/>
        <v>0</v>
      </c>
      <c r="F184" s="7">
        <f t="shared" si="126"/>
        <v>0</v>
      </c>
      <c r="G184" s="7">
        <f t="shared" si="126"/>
        <v>0</v>
      </c>
      <c r="H184" s="7">
        <f t="shared" si="126"/>
        <v>0</v>
      </c>
      <c r="I184" s="7">
        <f t="shared" si="126"/>
        <v>0</v>
      </c>
      <c r="J184" s="7">
        <f t="shared" si="126"/>
        <v>0</v>
      </c>
      <c r="K184" s="7">
        <f t="shared" si="126"/>
        <v>0</v>
      </c>
      <c r="L184" s="7">
        <f t="shared" si="126"/>
        <v>0</v>
      </c>
      <c r="M184" s="13" t="s">
        <v>121</v>
      </c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159">
        <v>0</v>
      </c>
    </row>
    <row r="185" spans="1:24" hidden="1" x14ac:dyDescent="0.3">
      <c r="A185" s="7">
        <v>0</v>
      </c>
      <c r="B185" s="7">
        <f t="shared" si="126"/>
        <v>0</v>
      </c>
      <c r="C185" s="7">
        <f t="shared" si="126"/>
        <v>0</v>
      </c>
      <c r="D185" s="7">
        <f t="shared" si="126"/>
        <v>0</v>
      </c>
      <c r="E185" s="7">
        <f t="shared" si="126"/>
        <v>2096</v>
      </c>
      <c r="F185" s="7">
        <f t="shared" si="126"/>
        <v>2096</v>
      </c>
      <c r="G185" s="7">
        <f t="shared" si="126"/>
        <v>2096</v>
      </c>
      <c r="H185" s="7">
        <f t="shared" si="126"/>
        <v>4385.88</v>
      </c>
      <c r="I185" s="7">
        <f t="shared" si="126"/>
        <v>4385.88</v>
      </c>
      <c r="J185" s="7">
        <f t="shared" si="126"/>
        <v>4385.88</v>
      </c>
      <c r="K185" s="7">
        <f t="shared" si="126"/>
        <v>4385.88</v>
      </c>
      <c r="L185" s="7">
        <f t="shared" si="126"/>
        <v>4385.88</v>
      </c>
      <c r="M185" s="187" t="s">
        <v>122</v>
      </c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159">
        <v>0</v>
      </c>
    </row>
    <row r="186" spans="1:24" hidden="1" x14ac:dyDescent="0.3">
      <c r="A186" s="7">
        <v>0</v>
      </c>
      <c r="B186" s="7">
        <f t="shared" si="126"/>
        <v>0</v>
      </c>
      <c r="C186" s="7">
        <f t="shared" si="126"/>
        <v>0</v>
      </c>
      <c r="D186" s="7">
        <f t="shared" si="126"/>
        <v>0</v>
      </c>
      <c r="E186" s="7">
        <f t="shared" si="126"/>
        <v>0</v>
      </c>
      <c r="F186" s="7">
        <f t="shared" si="126"/>
        <v>0</v>
      </c>
      <c r="G186" s="7">
        <f t="shared" si="126"/>
        <v>0</v>
      </c>
      <c r="H186" s="7">
        <f t="shared" si="126"/>
        <v>0</v>
      </c>
      <c r="I186" s="7">
        <f t="shared" si="126"/>
        <v>0</v>
      </c>
      <c r="J186" s="7">
        <f t="shared" si="126"/>
        <v>0</v>
      </c>
      <c r="K186" s="7">
        <f t="shared" si="126"/>
        <v>0</v>
      </c>
      <c r="L186" s="7">
        <f t="shared" si="126"/>
        <v>0</v>
      </c>
      <c r="M186" s="13" t="s">
        <v>123</v>
      </c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159">
        <v>0</v>
      </c>
    </row>
    <row r="187" spans="1:24" hidden="1" x14ac:dyDescent="0.3">
      <c r="A187" s="7">
        <v>0</v>
      </c>
      <c r="B187" s="7">
        <f t="shared" ref="B187:L202" si="127">A187+B57</f>
        <v>0</v>
      </c>
      <c r="C187" s="7">
        <f t="shared" si="127"/>
        <v>0</v>
      </c>
      <c r="D187" s="7">
        <f t="shared" si="127"/>
        <v>0</v>
      </c>
      <c r="E187" s="7">
        <f t="shared" si="127"/>
        <v>0</v>
      </c>
      <c r="F187" s="7">
        <f t="shared" si="127"/>
        <v>0</v>
      </c>
      <c r="G187" s="7">
        <f t="shared" si="127"/>
        <v>0</v>
      </c>
      <c r="H187" s="7">
        <f t="shared" si="127"/>
        <v>0</v>
      </c>
      <c r="I187" s="7">
        <f t="shared" si="127"/>
        <v>0</v>
      </c>
      <c r="J187" s="7">
        <f t="shared" si="127"/>
        <v>0</v>
      </c>
      <c r="K187" s="7">
        <f t="shared" si="127"/>
        <v>0</v>
      </c>
      <c r="L187" s="7">
        <f t="shared" si="127"/>
        <v>0</v>
      </c>
      <c r="M187" s="13" t="s">
        <v>124</v>
      </c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159">
        <v>0</v>
      </c>
    </row>
    <row r="188" spans="1:24" hidden="1" x14ac:dyDescent="0.3">
      <c r="A188" s="206">
        <v>3559.4</v>
      </c>
      <c r="B188" s="206">
        <f t="shared" si="127"/>
        <v>5700.4639999999999</v>
      </c>
      <c r="C188" s="206">
        <f t="shared" si="127"/>
        <v>7841.5280000000002</v>
      </c>
      <c r="D188" s="206">
        <f t="shared" si="127"/>
        <v>9982.5920000000006</v>
      </c>
      <c r="E188" s="206">
        <f t="shared" si="127"/>
        <v>12123.656000000001</v>
      </c>
      <c r="F188" s="206">
        <f t="shared" si="127"/>
        <v>14264.720000000001</v>
      </c>
      <c r="G188" s="206">
        <f t="shared" si="127"/>
        <v>16405.784</v>
      </c>
      <c r="H188" s="206">
        <f t="shared" si="127"/>
        <v>18546.847999999998</v>
      </c>
      <c r="I188" s="206">
        <f t="shared" si="127"/>
        <v>20687.911999999997</v>
      </c>
      <c r="J188" s="206">
        <f t="shared" si="127"/>
        <v>22828.975999999995</v>
      </c>
      <c r="K188" s="206">
        <f t="shared" si="127"/>
        <v>24970.039999999994</v>
      </c>
      <c r="L188" s="206">
        <f t="shared" si="127"/>
        <v>27111.103999999992</v>
      </c>
      <c r="M188" s="13" t="s">
        <v>125</v>
      </c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159">
        <v>0.47859717289218373</v>
      </c>
    </row>
    <row r="189" spans="1:24" hidden="1" x14ac:dyDescent="0.3">
      <c r="A189" s="7">
        <v>0</v>
      </c>
      <c r="B189" s="7">
        <f t="shared" si="127"/>
        <v>0</v>
      </c>
      <c r="C189" s="7">
        <f t="shared" si="127"/>
        <v>0</v>
      </c>
      <c r="D189" s="7">
        <f t="shared" si="127"/>
        <v>0</v>
      </c>
      <c r="E189" s="7">
        <f t="shared" si="127"/>
        <v>0</v>
      </c>
      <c r="F189" s="7">
        <f t="shared" si="127"/>
        <v>0</v>
      </c>
      <c r="G189" s="7">
        <f t="shared" si="127"/>
        <v>0</v>
      </c>
      <c r="H189" s="7">
        <f t="shared" si="127"/>
        <v>0</v>
      </c>
      <c r="I189" s="7">
        <f t="shared" si="127"/>
        <v>0</v>
      </c>
      <c r="J189" s="7">
        <f t="shared" si="127"/>
        <v>0</v>
      </c>
      <c r="K189" s="7">
        <f t="shared" si="127"/>
        <v>0</v>
      </c>
      <c r="L189" s="7">
        <f t="shared" si="127"/>
        <v>0</v>
      </c>
      <c r="M189" s="13" t="s">
        <v>126</v>
      </c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159">
        <v>0.84170925532518348</v>
      </c>
    </row>
    <row r="190" spans="1:24" hidden="1" x14ac:dyDescent="0.3">
      <c r="A190" s="7">
        <v>0</v>
      </c>
      <c r="B190" s="7">
        <f t="shared" si="127"/>
        <v>0</v>
      </c>
      <c r="C190" s="7">
        <f t="shared" si="127"/>
        <v>0</v>
      </c>
      <c r="D190" s="7">
        <f t="shared" si="127"/>
        <v>0</v>
      </c>
      <c r="E190" s="7">
        <f t="shared" si="127"/>
        <v>0</v>
      </c>
      <c r="F190" s="7">
        <f t="shared" si="127"/>
        <v>0</v>
      </c>
      <c r="G190" s="7">
        <f t="shared" si="127"/>
        <v>0</v>
      </c>
      <c r="H190" s="7">
        <f t="shared" si="127"/>
        <v>0</v>
      </c>
      <c r="I190" s="7">
        <f t="shared" si="127"/>
        <v>0</v>
      </c>
      <c r="J190" s="7">
        <f t="shared" si="127"/>
        <v>0</v>
      </c>
      <c r="K190" s="7">
        <f t="shared" si="127"/>
        <v>0</v>
      </c>
      <c r="L190" s="7">
        <f t="shared" si="127"/>
        <v>0</v>
      </c>
      <c r="M190" s="13" t="s">
        <v>128</v>
      </c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159">
        <v>0.53889743589743588</v>
      </c>
    </row>
    <row r="191" spans="1:24" hidden="1" x14ac:dyDescent="0.3">
      <c r="A191" s="7">
        <v>0</v>
      </c>
      <c r="B191" s="7">
        <f t="shared" si="127"/>
        <v>9720.2000000000007</v>
      </c>
      <c r="C191" s="7">
        <f t="shared" si="127"/>
        <v>19440.400000000001</v>
      </c>
      <c r="D191" s="7">
        <f t="shared" si="127"/>
        <v>29160.600000000002</v>
      </c>
      <c r="E191" s="7">
        <f t="shared" si="127"/>
        <v>38880.800000000003</v>
      </c>
      <c r="F191" s="7">
        <f t="shared" si="127"/>
        <v>48601</v>
      </c>
      <c r="G191" s="7">
        <f t="shared" si="127"/>
        <v>58321.2</v>
      </c>
      <c r="H191" s="7">
        <f t="shared" si="127"/>
        <v>68041.399999999994</v>
      </c>
      <c r="I191" s="7">
        <f t="shared" si="127"/>
        <v>77761.599999999991</v>
      </c>
      <c r="J191" s="7">
        <f t="shared" si="127"/>
        <v>87481.799999999988</v>
      </c>
      <c r="K191" s="7">
        <f t="shared" si="127"/>
        <v>97201.999999999985</v>
      </c>
      <c r="L191" s="7">
        <f t="shared" si="127"/>
        <v>106924.19999999998</v>
      </c>
      <c r="M191" s="13" t="s">
        <v>129</v>
      </c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159">
        <v>0</v>
      </c>
    </row>
    <row r="192" spans="1:24" hidden="1" x14ac:dyDescent="0.3">
      <c r="A192" s="7">
        <v>0</v>
      </c>
      <c r="B192" s="7">
        <f t="shared" si="127"/>
        <v>0</v>
      </c>
      <c r="C192" s="7">
        <f t="shared" si="127"/>
        <v>0</v>
      </c>
      <c r="D192" s="7">
        <f t="shared" si="127"/>
        <v>0</v>
      </c>
      <c r="E192" s="7">
        <f t="shared" si="127"/>
        <v>0</v>
      </c>
      <c r="F192" s="7">
        <f t="shared" si="127"/>
        <v>0</v>
      </c>
      <c r="G192" s="7">
        <f t="shared" si="127"/>
        <v>0</v>
      </c>
      <c r="H192" s="7">
        <f t="shared" si="127"/>
        <v>0</v>
      </c>
      <c r="I192" s="7">
        <f t="shared" si="127"/>
        <v>0</v>
      </c>
      <c r="J192" s="7">
        <f t="shared" si="127"/>
        <v>0</v>
      </c>
      <c r="K192" s="7">
        <f t="shared" si="127"/>
        <v>0</v>
      </c>
      <c r="L192" s="7">
        <f t="shared" si="127"/>
        <v>0</v>
      </c>
      <c r="M192" s="187" t="s">
        <v>130</v>
      </c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159">
        <v>0</v>
      </c>
    </row>
    <row r="193" spans="1:24" hidden="1" x14ac:dyDescent="0.3">
      <c r="A193" s="11">
        <v>20480</v>
      </c>
      <c r="B193" s="11">
        <f t="shared" si="127"/>
        <v>33669.08</v>
      </c>
      <c r="C193" s="11">
        <f t="shared" si="127"/>
        <v>46858.16</v>
      </c>
      <c r="D193" s="11">
        <f t="shared" si="127"/>
        <v>60047.240000000005</v>
      </c>
      <c r="E193" s="11">
        <f t="shared" si="127"/>
        <v>73236.320000000007</v>
      </c>
      <c r="F193" s="11">
        <f t="shared" si="127"/>
        <v>86425.400000000009</v>
      </c>
      <c r="G193" s="11">
        <f t="shared" si="127"/>
        <v>99614.48000000001</v>
      </c>
      <c r="H193" s="11">
        <f t="shared" si="127"/>
        <v>112803.56000000001</v>
      </c>
      <c r="I193" s="11">
        <f t="shared" si="127"/>
        <v>125992.64000000001</v>
      </c>
      <c r="J193" s="11">
        <f t="shared" si="127"/>
        <v>139181.72</v>
      </c>
      <c r="K193" s="11">
        <f t="shared" si="127"/>
        <v>152370.79999999999</v>
      </c>
      <c r="L193" s="11">
        <f t="shared" si="127"/>
        <v>165563.87999999998</v>
      </c>
      <c r="M193" s="187" t="s">
        <v>131</v>
      </c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60">
        <v>0</v>
      </c>
    </row>
    <row r="194" spans="1:24" ht="15" hidden="1" thickBot="1" x14ac:dyDescent="0.35">
      <c r="A194" s="89"/>
      <c r="B194" s="89">
        <f t="shared" si="127"/>
        <v>0</v>
      </c>
      <c r="C194" s="89">
        <f t="shared" si="127"/>
        <v>0</v>
      </c>
      <c r="D194" s="89">
        <f t="shared" si="127"/>
        <v>0</v>
      </c>
      <c r="E194" s="89">
        <f t="shared" si="127"/>
        <v>0</v>
      </c>
      <c r="F194" s="89">
        <f t="shared" si="127"/>
        <v>0</v>
      </c>
      <c r="G194" s="89">
        <f t="shared" si="127"/>
        <v>0</v>
      </c>
      <c r="H194" s="89">
        <f t="shared" si="127"/>
        <v>0</v>
      </c>
      <c r="I194" s="89">
        <f t="shared" si="127"/>
        <v>0</v>
      </c>
      <c r="J194" s="89">
        <f t="shared" si="127"/>
        <v>0</v>
      </c>
      <c r="K194" s="89">
        <f t="shared" si="127"/>
        <v>0</v>
      </c>
      <c r="L194" s="89">
        <f t="shared" si="127"/>
        <v>0</v>
      </c>
      <c r="M194" s="13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207">
        <v>0</v>
      </c>
    </row>
    <row r="195" spans="1:24" hidden="1" x14ac:dyDescent="0.3">
      <c r="A195" s="4">
        <v>24039.4</v>
      </c>
      <c r="B195" s="4">
        <f t="shared" si="127"/>
        <v>49703.872000000003</v>
      </c>
      <c r="C195" s="4">
        <f t="shared" si="127"/>
        <v>75368.344000000012</v>
      </c>
      <c r="D195" s="4">
        <f t="shared" si="127"/>
        <v>101032.81600000002</v>
      </c>
      <c r="E195" s="4">
        <f t="shared" si="127"/>
        <v>130876.71200000003</v>
      </c>
      <c r="F195" s="4">
        <f t="shared" si="127"/>
        <v>156653.32000000004</v>
      </c>
      <c r="G195" s="4">
        <f t="shared" si="127"/>
        <v>182317.79200000004</v>
      </c>
      <c r="H195" s="4">
        <f t="shared" si="127"/>
        <v>210272.14400000003</v>
      </c>
      <c r="I195" s="4">
        <f t="shared" si="127"/>
        <v>235936.61600000004</v>
      </c>
      <c r="J195" s="4">
        <f t="shared" si="127"/>
        <v>261601.08800000005</v>
      </c>
      <c r="K195" s="4">
        <f t="shared" si="127"/>
        <v>287265.56000000006</v>
      </c>
      <c r="L195" s="4">
        <f t="shared" si="127"/>
        <v>312936.03200000006</v>
      </c>
      <c r="M195" s="13" t="s">
        <v>132</v>
      </c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162">
        <v>0.63204973046282187</v>
      </c>
    </row>
    <row r="196" spans="1:24" hidden="1" x14ac:dyDescent="0.3">
      <c r="A196" s="81"/>
      <c r="B196" s="81">
        <f t="shared" si="127"/>
        <v>0</v>
      </c>
      <c r="C196" s="81">
        <f t="shared" si="127"/>
        <v>0</v>
      </c>
      <c r="D196" s="81">
        <f t="shared" si="127"/>
        <v>0</v>
      </c>
      <c r="E196" s="81">
        <f t="shared" si="127"/>
        <v>0</v>
      </c>
      <c r="F196" s="81">
        <f t="shared" si="127"/>
        <v>0</v>
      </c>
      <c r="G196" s="81">
        <f t="shared" si="127"/>
        <v>0</v>
      </c>
      <c r="H196" s="81">
        <f t="shared" si="127"/>
        <v>0</v>
      </c>
      <c r="I196" s="81">
        <f t="shared" si="127"/>
        <v>0</v>
      </c>
      <c r="J196" s="81">
        <f t="shared" si="127"/>
        <v>0</v>
      </c>
      <c r="K196" s="81">
        <f t="shared" si="127"/>
        <v>0</v>
      </c>
      <c r="L196" s="81">
        <f t="shared" si="127"/>
        <v>0</v>
      </c>
      <c r="M196" s="80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204">
        <v>0</v>
      </c>
    </row>
    <row r="197" spans="1:24" hidden="1" x14ac:dyDescent="0.3">
      <c r="A197" s="8">
        <v>0</v>
      </c>
      <c r="B197" s="8">
        <f t="shared" si="127"/>
        <v>0</v>
      </c>
      <c r="C197" s="8">
        <f t="shared" si="127"/>
        <v>0</v>
      </c>
      <c r="D197" s="8">
        <f t="shared" si="127"/>
        <v>0</v>
      </c>
      <c r="E197" s="8">
        <f t="shared" si="127"/>
        <v>0</v>
      </c>
      <c r="F197" s="8">
        <f t="shared" si="127"/>
        <v>0</v>
      </c>
      <c r="G197" s="8">
        <f t="shared" si="127"/>
        <v>0</v>
      </c>
      <c r="H197" s="8">
        <f t="shared" si="127"/>
        <v>0</v>
      </c>
      <c r="I197" s="8">
        <f t="shared" si="127"/>
        <v>0</v>
      </c>
      <c r="J197" s="8">
        <f t="shared" si="127"/>
        <v>0</v>
      </c>
      <c r="K197" s="8">
        <f t="shared" si="127"/>
        <v>0</v>
      </c>
      <c r="L197" s="8">
        <f t="shared" si="127"/>
        <v>0</v>
      </c>
      <c r="M197" s="187" t="s">
        <v>133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158">
        <v>0</v>
      </c>
    </row>
    <row r="198" spans="1:24" hidden="1" x14ac:dyDescent="0.3">
      <c r="A198" s="7">
        <v>0</v>
      </c>
      <c r="B198" s="7">
        <f t="shared" si="127"/>
        <v>0</v>
      </c>
      <c r="C198" s="7">
        <f t="shared" si="127"/>
        <v>0</v>
      </c>
      <c r="D198" s="7">
        <f t="shared" si="127"/>
        <v>0</v>
      </c>
      <c r="E198" s="7">
        <f t="shared" si="127"/>
        <v>0</v>
      </c>
      <c r="F198" s="7">
        <f t="shared" si="127"/>
        <v>0</v>
      </c>
      <c r="G198" s="7">
        <f t="shared" si="127"/>
        <v>0</v>
      </c>
      <c r="H198" s="7">
        <f t="shared" si="127"/>
        <v>0</v>
      </c>
      <c r="I198" s="7">
        <f t="shared" si="127"/>
        <v>0</v>
      </c>
      <c r="J198" s="7">
        <f t="shared" si="127"/>
        <v>0</v>
      </c>
      <c r="K198" s="7">
        <f t="shared" si="127"/>
        <v>0</v>
      </c>
      <c r="L198" s="7">
        <f t="shared" si="127"/>
        <v>0</v>
      </c>
      <c r="M198" s="13" t="s">
        <v>134</v>
      </c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159">
        <v>0</v>
      </c>
    </row>
    <row r="199" spans="1:24" hidden="1" x14ac:dyDescent="0.3">
      <c r="A199" s="7">
        <v>0</v>
      </c>
      <c r="B199" s="7">
        <f t="shared" si="127"/>
        <v>0</v>
      </c>
      <c r="C199" s="7">
        <f t="shared" si="127"/>
        <v>0</v>
      </c>
      <c r="D199" s="7">
        <f t="shared" si="127"/>
        <v>0</v>
      </c>
      <c r="E199" s="7">
        <f t="shared" si="127"/>
        <v>0</v>
      </c>
      <c r="F199" s="7">
        <f t="shared" si="127"/>
        <v>0</v>
      </c>
      <c r="G199" s="7">
        <f t="shared" si="127"/>
        <v>0</v>
      </c>
      <c r="H199" s="7">
        <f t="shared" si="127"/>
        <v>0</v>
      </c>
      <c r="I199" s="7">
        <f t="shared" si="127"/>
        <v>0</v>
      </c>
      <c r="J199" s="7">
        <f t="shared" si="127"/>
        <v>0</v>
      </c>
      <c r="K199" s="7">
        <f t="shared" si="127"/>
        <v>0</v>
      </c>
      <c r="L199" s="7">
        <f t="shared" si="127"/>
        <v>0</v>
      </c>
      <c r="M199" s="13" t="s">
        <v>135</v>
      </c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159">
        <v>0</v>
      </c>
    </row>
    <row r="200" spans="1:24" hidden="1" x14ac:dyDescent="0.3">
      <c r="A200" s="7">
        <v>0</v>
      </c>
      <c r="B200" s="7">
        <f t="shared" si="127"/>
        <v>0</v>
      </c>
      <c r="C200" s="7">
        <f t="shared" si="127"/>
        <v>0</v>
      </c>
      <c r="D200" s="7">
        <f t="shared" si="127"/>
        <v>0</v>
      </c>
      <c r="E200" s="7">
        <f t="shared" si="127"/>
        <v>0</v>
      </c>
      <c r="F200" s="7">
        <f t="shared" si="127"/>
        <v>0</v>
      </c>
      <c r="G200" s="7">
        <f t="shared" si="127"/>
        <v>0</v>
      </c>
      <c r="H200" s="7">
        <f t="shared" si="127"/>
        <v>0</v>
      </c>
      <c r="I200" s="7">
        <f t="shared" si="127"/>
        <v>0</v>
      </c>
      <c r="J200" s="7">
        <f t="shared" si="127"/>
        <v>0</v>
      </c>
      <c r="K200" s="7">
        <f t="shared" si="127"/>
        <v>0</v>
      </c>
      <c r="L200" s="7">
        <f t="shared" si="127"/>
        <v>0</v>
      </c>
      <c r="M200" s="13" t="s">
        <v>136</v>
      </c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159">
        <v>0</v>
      </c>
    </row>
    <row r="201" spans="1:24" hidden="1" x14ac:dyDescent="0.3">
      <c r="A201" s="7">
        <v>0</v>
      </c>
      <c r="B201" s="7">
        <f t="shared" si="127"/>
        <v>0</v>
      </c>
      <c r="C201" s="7">
        <f t="shared" si="127"/>
        <v>0</v>
      </c>
      <c r="D201" s="7">
        <f t="shared" si="127"/>
        <v>0</v>
      </c>
      <c r="E201" s="7">
        <f t="shared" si="127"/>
        <v>0</v>
      </c>
      <c r="F201" s="7">
        <f t="shared" si="127"/>
        <v>0</v>
      </c>
      <c r="G201" s="7">
        <f t="shared" si="127"/>
        <v>0</v>
      </c>
      <c r="H201" s="7">
        <f t="shared" si="127"/>
        <v>0</v>
      </c>
      <c r="I201" s="7">
        <f t="shared" si="127"/>
        <v>0</v>
      </c>
      <c r="J201" s="7">
        <f t="shared" si="127"/>
        <v>0</v>
      </c>
      <c r="K201" s="7">
        <f t="shared" si="127"/>
        <v>0</v>
      </c>
      <c r="L201" s="7">
        <f t="shared" si="127"/>
        <v>0</v>
      </c>
      <c r="M201" s="13" t="s">
        <v>137</v>
      </c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159">
        <v>0</v>
      </c>
    </row>
    <row r="202" spans="1:24" hidden="1" x14ac:dyDescent="0.3">
      <c r="A202" s="7">
        <v>0</v>
      </c>
      <c r="B202" s="7">
        <f t="shared" si="127"/>
        <v>0</v>
      </c>
      <c r="C202" s="7">
        <f t="shared" si="127"/>
        <v>0</v>
      </c>
      <c r="D202" s="7">
        <f t="shared" si="127"/>
        <v>0</v>
      </c>
      <c r="E202" s="7">
        <f t="shared" si="127"/>
        <v>0</v>
      </c>
      <c r="F202" s="7">
        <f t="shared" si="127"/>
        <v>0</v>
      </c>
      <c r="G202" s="7">
        <f t="shared" si="127"/>
        <v>0</v>
      </c>
      <c r="H202" s="7">
        <f t="shared" si="127"/>
        <v>0</v>
      </c>
      <c r="I202" s="7">
        <f t="shared" si="127"/>
        <v>0</v>
      </c>
      <c r="J202" s="7">
        <f t="shared" si="127"/>
        <v>0</v>
      </c>
      <c r="K202" s="7">
        <f t="shared" si="127"/>
        <v>0</v>
      </c>
      <c r="L202" s="7">
        <f t="shared" si="127"/>
        <v>0</v>
      </c>
      <c r="M202" s="13" t="s">
        <v>138</v>
      </c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159">
        <v>0</v>
      </c>
    </row>
    <row r="203" spans="1:24" hidden="1" x14ac:dyDescent="0.3">
      <c r="A203" s="7">
        <v>0</v>
      </c>
      <c r="B203" s="7">
        <f t="shared" ref="B203:L218" si="128">A203+B73</f>
        <v>0</v>
      </c>
      <c r="C203" s="7">
        <f t="shared" si="128"/>
        <v>0</v>
      </c>
      <c r="D203" s="7">
        <f t="shared" si="128"/>
        <v>0</v>
      </c>
      <c r="E203" s="7">
        <f t="shared" si="128"/>
        <v>0</v>
      </c>
      <c r="F203" s="7">
        <f t="shared" si="128"/>
        <v>0</v>
      </c>
      <c r="G203" s="7">
        <f t="shared" si="128"/>
        <v>0</v>
      </c>
      <c r="H203" s="7">
        <f t="shared" si="128"/>
        <v>0</v>
      </c>
      <c r="I203" s="7">
        <f t="shared" si="128"/>
        <v>0</v>
      </c>
      <c r="J203" s="7">
        <f t="shared" si="128"/>
        <v>0</v>
      </c>
      <c r="K203" s="7">
        <f t="shared" si="128"/>
        <v>0</v>
      </c>
      <c r="L203" s="7">
        <f t="shared" si="128"/>
        <v>0</v>
      </c>
      <c r="M203" s="13" t="s">
        <v>123</v>
      </c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159">
        <v>0</v>
      </c>
    </row>
    <row r="204" spans="1:24" hidden="1" x14ac:dyDescent="0.3">
      <c r="A204" s="7">
        <v>0</v>
      </c>
      <c r="B204" s="7">
        <f t="shared" si="128"/>
        <v>0</v>
      </c>
      <c r="C204" s="7">
        <f t="shared" si="128"/>
        <v>0</v>
      </c>
      <c r="D204" s="7">
        <f t="shared" si="128"/>
        <v>0</v>
      </c>
      <c r="E204" s="7">
        <f t="shared" si="128"/>
        <v>0</v>
      </c>
      <c r="F204" s="7">
        <f t="shared" si="128"/>
        <v>0</v>
      </c>
      <c r="G204" s="7">
        <f t="shared" si="128"/>
        <v>0</v>
      </c>
      <c r="H204" s="7">
        <f t="shared" si="128"/>
        <v>0</v>
      </c>
      <c r="I204" s="7">
        <f t="shared" si="128"/>
        <v>0</v>
      </c>
      <c r="J204" s="7">
        <f t="shared" si="128"/>
        <v>0</v>
      </c>
      <c r="K204" s="7">
        <f t="shared" si="128"/>
        <v>0</v>
      </c>
      <c r="L204" s="7">
        <f t="shared" si="128"/>
        <v>0</v>
      </c>
      <c r="M204" s="187" t="s">
        <v>139</v>
      </c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159">
        <v>0</v>
      </c>
    </row>
    <row r="205" spans="1:24" hidden="1" x14ac:dyDescent="0.3">
      <c r="A205" s="7">
        <v>0</v>
      </c>
      <c r="B205" s="7">
        <f t="shared" si="128"/>
        <v>0</v>
      </c>
      <c r="C205" s="7">
        <f t="shared" si="128"/>
        <v>0</v>
      </c>
      <c r="D205" s="7">
        <f t="shared" si="128"/>
        <v>0</v>
      </c>
      <c r="E205" s="7">
        <f t="shared" si="128"/>
        <v>0</v>
      </c>
      <c r="F205" s="7">
        <f t="shared" si="128"/>
        <v>0</v>
      </c>
      <c r="G205" s="7">
        <f t="shared" si="128"/>
        <v>0</v>
      </c>
      <c r="H205" s="7">
        <f t="shared" si="128"/>
        <v>0</v>
      </c>
      <c r="I205" s="7">
        <f t="shared" si="128"/>
        <v>0</v>
      </c>
      <c r="J205" s="7">
        <f t="shared" si="128"/>
        <v>0</v>
      </c>
      <c r="K205" s="7">
        <f t="shared" si="128"/>
        <v>0</v>
      </c>
      <c r="L205" s="7">
        <f t="shared" si="128"/>
        <v>0</v>
      </c>
      <c r="M205" s="13" t="s">
        <v>140</v>
      </c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159">
        <v>0</v>
      </c>
    </row>
    <row r="206" spans="1:24" hidden="1" x14ac:dyDescent="0.3">
      <c r="A206" s="7">
        <v>0</v>
      </c>
      <c r="B206" s="7">
        <f t="shared" si="128"/>
        <v>0</v>
      </c>
      <c r="C206" s="7">
        <f t="shared" si="128"/>
        <v>0</v>
      </c>
      <c r="D206" s="7">
        <f t="shared" si="128"/>
        <v>0</v>
      </c>
      <c r="E206" s="7">
        <f t="shared" si="128"/>
        <v>0</v>
      </c>
      <c r="F206" s="7">
        <f t="shared" si="128"/>
        <v>0</v>
      </c>
      <c r="G206" s="7">
        <f t="shared" si="128"/>
        <v>0</v>
      </c>
      <c r="H206" s="7">
        <f t="shared" si="128"/>
        <v>0</v>
      </c>
      <c r="I206" s="7">
        <f t="shared" si="128"/>
        <v>0</v>
      </c>
      <c r="J206" s="7">
        <f t="shared" si="128"/>
        <v>0</v>
      </c>
      <c r="K206" s="7">
        <f t="shared" si="128"/>
        <v>0</v>
      </c>
      <c r="L206" s="7">
        <f t="shared" si="128"/>
        <v>0</v>
      </c>
      <c r="M206" s="13" t="s">
        <v>141</v>
      </c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159">
        <v>0</v>
      </c>
    </row>
    <row r="207" spans="1:24" hidden="1" x14ac:dyDescent="0.3">
      <c r="A207" s="7">
        <v>0</v>
      </c>
      <c r="B207" s="7">
        <f t="shared" si="128"/>
        <v>0</v>
      </c>
      <c r="C207" s="7">
        <f t="shared" si="128"/>
        <v>0</v>
      </c>
      <c r="D207" s="7">
        <f t="shared" si="128"/>
        <v>0</v>
      </c>
      <c r="E207" s="7">
        <f t="shared" si="128"/>
        <v>0</v>
      </c>
      <c r="F207" s="7">
        <f t="shared" si="128"/>
        <v>0</v>
      </c>
      <c r="G207" s="7">
        <f t="shared" si="128"/>
        <v>0</v>
      </c>
      <c r="H207" s="7">
        <f t="shared" si="128"/>
        <v>0</v>
      </c>
      <c r="I207" s="7">
        <f t="shared" si="128"/>
        <v>0</v>
      </c>
      <c r="J207" s="7">
        <f t="shared" si="128"/>
        <v>0</v>
      </c>
      <c r="K207" s="7">
        <f t="shared" si="128"/>
        <v>0</v>
      </c>
      <c r="L207" s="7">
        <f t="shared" si="128"/>
        <v>0</v>
      </c>
      <c r="M207" s="13" t="s">
        <v>142</v>
      </c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159">
        <v>0</v>
      </c>
    </row>
    <row r="208" spans="1:24" hidden="1" x14ac:dyDescent="0.3">
      <c r="A208" s="7">
        <v>0</v>
      </c>
      <c r="B208" s="7">
        <f t="shared" si="128"/>
        <v>0</v>
      </c>
      <c r="C208" s="7">
        <f t="shared" si="128"/>
        <v>0</v>
      </c>
      <c r="D208" s="7">
        <f t="shared" si="128"/>
        <v>0</v>
      </c>
      <c r="E208" s="7">
        <f t="shared" si="128"/>
        <v>0</v>
      </c>
      <c r="F208" s="7">
        <f t="shared" si="128"/>
        <v>0</v>
      </c>
      <c r="G208" s="7">
        <f t="shared" si="128"/>
        <v>0</v>
      </c>
      <c r="H208" s="7">
        <f t="shared" si="128"/>
        <v>0</v>
      </c>
      <c r="I208" s="7">
        <f t="shared" si="128"/>
        <v>0</v>
      </c>
      <c r="J208" s="7">
        <f t="shared" si="128"/>
        <v>0</v>
      </c>
      <c r="K208" s="7">
        <f t="shared" si="128"/>
        <v>0</v>
      </c>
      <c r="L208" s="7">
        <f t="shared" si="128"/>
        <v>0</v>
      </c>
      <c r="M208" s="13" t="s">
        <v>143</v>
      </c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159">
        <v>0</v>
      </c>
    </row>
    <row r="209" spans="1:24" hidden="1" x14ac:dyDescent="0.3">
      <c r="A209" s="7">
        <v>0</v>
      </c>
      <c r="B209" s="7">
        <f t="shared" si="128"/>
        <v>0</v>
      </c>
      <c r="C209" s="7">
        <f t="shared" si="128"/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13" t="s">
        <v>144</v>
      </c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159">
        <v>0</v>
      </c>
    </row>
    <row r="210" spans="1:24" hidden="1" x14ac:dyDescent="0.3">
      <c r="A210" s="7">
        <v>0</v>
      </c>
      <c r="B210" s="7">
        <f t="shared" si="128"/>
        <v>0</v>
      </c>
      <c r="C210" s="7">
        <f t="shared" si="128"/>
        <v>0</v>
      </c>
      <c r="D210" s="7">
        <f t="shared" si="128"/>
        <v>0</v>
      </c>
      <c r="E210" s="7">
        <f t="shared" si="128"/>
        <v>0</v>
      </c>
      <c r="F210" s="7">
        <f t="shared" si="128"/>
        <v>0</v>
      </c>
      <c r="G210" s="7">
        <f t="shared" si="128"/>
        <v>0</v>
      </c>
      <c r="H210" s="7">
        <f t="shared" si="128"/>
        <v>0</v>
      </c>
      <c r="I210" s="7">
        <f t="shared" si="128"/>
        <v>0</v>
      </c>
      <c r="J210" s="7">
        <f t="shared" si="128"/>
        <v>0</v>
      </c>
      <c r="K210" s="7">
        <f t="shared" si="128"/>
        <v>0</v>
      </c>
      <c r="L210" s="7">
        <f t="shared" si="128"/>
        <v>0</v>
      </c>
      <c r="M210" s="13" t="s">
        <v>145</v>
      </c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159">
        <v>0</v>
      </c>
    </row>
    <row r="211" spans="1:24" hidden="1" x14ac:dyDescent="0.3">
      <c r="A211" s="7">
        <v>0</v>
      </c>
      <c r="B211" s="7">
        <f t="shared" si="128"/>
        <v>0</v>
      </c>
      <c r="C211" s="7">
        <f t="shared" si="128"/>
        <v>0</v>
      </c>
      <c r="D211" s="7">
        <f t="shared" si="128"/>
        <v>0</v>
      </c>
      <c r="E211" s="7">
        <f t="shared" si="128"/>
        <v>7744.72</v>
      </c>
      <c r="F211" s="7">
        <f t="shared" si="128"/>
        <v>7744.72</v>
      </c>
      <c r="G211" s="7">
        <f t="shared" si="128"/>
        <v>7744.72</v>
      </c>
      <c r="H211" s="7">
        <f t="shared" si="128"/>
        <v>7744.72</v>
      </c>
      <c r="I211" s="7">
        <f t="shared" si="128"/>
        <v>7744.72</v>
      </c>
      <c r="J211" s="7">
        <f t="shared" si="128"/>
        <v>7744.72</v>
      </c>
      <c r="K211" s="7">
        <f t="shared" si="128"/>
        <v>7744.72</v>
      </c>
      <c r="L211" s="7">
        <f t="shared" si="128"/>
        <v>7744.72</v>
      </c>
      <c r="M211" s="187" t="s">
        <v>146</v>
      </c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159">
        <v>0</v>
      </c>
    </row>
    <row r="212" spans="1:24" hidden="1" x14ac:dyDescent="0.3">
      <c r="A212" s="7">
        <v>0</v>
      </c>
      <c r="B212" s="7">
        <f t="shared" si="128"/>
        <v>0</v>
      </c>
      <c r="C212" s="7">
        <f t="shared" si="128"/>
        <v>0</v>
      </c>
      <c r="D212" s="7">
        <f t="shared" si="128"/>
        <v>0</v>
      </c>
      <c r="E212" s="7">
        <f t="shared" si="128"/>
        <v>0</v>
      </c>
      <c r="F212" s="7">
        <f t="shared" si="128"/>
        <v>0</v>
      </c>
      <c r="G212" s="7">
        <f t="shared" si="128"/>
        <v>0</v>
      </c>
      <c r="H212" s="7">
        <f t="shared" si="128"/>
        <v>0</v>
      </c>
      <c r="I212" s="7">
        <f t="shared" si="128"/>
        <v>0</v>
      </c>
      <c r="J212" s="7">
        <f t="shared" si="128"/>
        <v>0</v>
      </c>
      <c r="K212" s="7">
        <f t="shared" si="128"/>
        <v>0</v>
      </c>
      <c r="L212" s="7">
        <f t="shared" si="128"/>
        <v>0</v>
      </c>
      <c r="M212" s="187" t="s">
        <v>147</v>
      </c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159">
        <v>0</v>
      </c>
    </row>
    <row r="213" spans="1:24" hidden="1" x14ac:dyDescent="0.3">
      <c r="A213" s="7">
        <v>0</v>
      </c>
      <c r="B213" s="7">
        <f t="shared" si="128"/>
        <v>0</v>
      </c>
      <c r="C213" s="7">
        <f t="shared" si="128"/>
        <v>0</v>
      </c>
      <c r="D213" s="7">
        <f t="shared" si="128"/>
        <v>0</v>
      </c>
      <c r="E213" s="7">
        <f t="shared" si="128"/>
        <v>0</v>
      </c>
      <c r="F213" s="7">
        <f t="shared" si="128"/>
        <v>0</v>
      </c>
      <c r="G213" s="7">
        <f t="shared" si="128"/>
        <v>0</v>
      </c>
      <c r="H213" s="7">
        <f t="shared" si="128"/>
        <v>0</v>
      </c>
      <c r="I213" s="7">
        <f t="shared" si="128"/>
        <v>0</v>
      </c>
      <c r="J213" s="7">
        <f t="shared" si="128"/>
        <v>0</v>
      </c>
      <c r="K213" s="7">
        <f t="shared" si="128"/>
        <v>0</v>
      </c>
      <c r="L213" s="7">
        <f t="shared" si="128"/>
        <v>0</v>
      </c>
      <c r="M213" s="187" t="s">
        <v>148</v>
      </c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159">
        <v>0</v>
      </c>
    </row>
    <row r="214" spans="1:24" hidden="1" x14ac:dyDescent="0.3">
      <c r="A214" s="7">
        <v>0</v>
      </c>
      <c r="B214" s="7">
        <f t="shared" si="128"/>
        <v>0</v>
      </c>
      <c r="C214" s="7">
        <f t="shared" si="128"/>
        <v>0</v>
      </c>
      <c r="D214" s="7">
        <f t="shared" si="128"/>
        <v>0</v>
      </c>
      <c r="E214" s="7">
        <f t="shared" si="128"/>
        <v>0</v>
      </c>
      <c r="F214" s="7">
        <f t="shared" si="128"/>
        <v>0</v>
      </c>
      <c r="G214" s="7">
        <f t="shared" si="128"/>
        <v>0</v>
      </c>
      <c r="H214" s="7">
        <f t="shared" si="128"/>
        <v>0</v>
      </c>
      <c r="I214" s="7">
        <f t="shared" si="128"/>
        <v>0</v>
      </c>
      <c r="J214" s="7">
        <f t="shared" si="128"/>
        <v>0</v>
      </c>
      <c r="K214" s="7">
        <f t="shared" si="128"/>
        <v>0</v>
      </c>
      <c r="L214" s="7">
        <f t="shared" si="128"/>
        <v>0</v>
      </c>
      <c r="M214" s="13" t="s">
        <v>149</v>
      </c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159">
        <v>0</v>
      </c>
    </row>
    <row r="215" spans="1:24" hidden="1" x14ac:dyDescent="0.3">
      <c r="A215" s="7">
        <v>0</v>
      </c>
      <c r="B215" s="7">
        <f t="shared" si="128"/>
        <v>0</v>
      </c>
      <c r="C215" s="7">
        <f t="shared" si="128"/>
        <v>0</v>
      </c>
      <c r="D215" s="7">
        <f t="shared" si="128"/>
        <v>0</v>
      </c>
      <c r="E215" s="7">
        <f t="shared" si="128"/>
        <v>0</v>
      </c>
      <c r="F215" s="7">
        <f t="shared" si="128"/>
        <v>0</v>
      </c>
      <c r="G215" s="7">
        <f t="shared" si="128"/>
        <v>0</v>
      </c>
      <c r="H215" s="7">
        <f t="shared" si="128"/>
        <v>0</v>
      </c>
      <c r="I215" s="7">
        <f t="shared" si="128"/>
        <v>0</v>
      </c>
      <c r="J215" s="7">
        <f t="shared" si="128"/>
        <v>0</v>
      </c>
      <c r="K215" s="7">
        <f t="shared" si="128"/>
        <v>0</v>
      </c>
      <c r="L215" s="7">
        <f t="shared" si="128"/>
        <v>0</v>
      </c>
      <c r="M215" s="13" t="s">
        <v>150</v>
      </c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159">
        <v>0</v>
      </c>
    </row>
    <row r="216" spans="1:24" hidden="1" x14ac:dyDescent="0.3">
      <c r="A216" s="7">
        <v>0</v>
      </c>
      <c r="B216" s="7">
        <f t="shared" si="128"/>
        <v>0</v>
      </c>
      <c r="C216" s="7">
        <f t="shared" si="128"/>
        <v>0</v>
      </c>
      <c r="D216" s="7">
        <f t="shared" si="128"/>
        <v>0</v>
      </c>
      <c r="E216" s="7">
        <f t="shared" si="128"/>
        <v>0</v>
      </c>
      <c r="F216" s="7">
        <f t="shared" si="128"/>
        <v>0</v>
      </c>
      <c r="G216" s="7">
        <f t="shared" si="128"/>
        <v>0</v>
      </c>
      <c r="H216" s="7">
        <f t="shared" si="128"/>
        <v>0</v>
      </c>
      <c r="I216" s="7">
        <f t="shared" si="128"/>
        <v>0</v>
      </c>
      <c r="J216" s="7">
        <f t="shared" si="128"/>
        <v>0</v>
      </c>
      <c r="K216" s="7">
        <f t="shared" si="128"/>
        <v>0</v>
      </c>
      <c r="L216" s="7">
        <f t="shared" si="128"/>
        <v>0</v>
      </c>
      <c r="M216" s="13" t="s">
        <v>151</v>
      </c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159">
        <v>0</v>
      </c>
    </row>
    <row r="217" spans="1:24" hidden="1" x14ac:dyDescent="0.3">
      <c r="A217" s="7">
        <v>0</v>
      </c>
      <c r="B217" s="7">
        <f t="shared" si="128"/>
        <v>4318.808</v>
      </c>
      <c r="C217" s="7">
        <f t="shared" si="128"/>
        <v>8637.616</v>
      </c>
      <c r="D217" s="7">
        <f t="shared" si="128"/>
        <v>12956.423999999999</v>
      </c>
      <c r="E217" s="7">
        <f t="shared" si="128"/>
        <v>17275.232</v>
      </c>
      <c r="F217" s="7">
        <f t="shared" si="128"/>
        <v>21594.04</v>
      </c>
      <c r="G217" s="7">
        <f t="shared" si="128"/>
        <v>25912.848000000002</v>
      </c>
      <c r="H217" s="7">
        <f t="shared" si="128"/>
        <v>30231.656000000003</v>
      </c>
      <c r="I217" s="7">
        <f t="shared" si="128"/>
        <v>34550.464</v>
      </c>
      <c r="J217" s="7">
        <f t="shared" si="128"/>
        <v>38869.271999999997</v>
      </c>
      <c r="K217" s="7">
        <f t="shared" si="128"/>
        <v>43188.079999999994</v>
      </c>
      <c r="L217" s="7">
        <f t="shared" si="128"/>
        <v>47506.887999999992</v>
      </c>
      <c r="M217" s="13" t="s">
        <v>152</v>
      </c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159">
        <v>0</v>
      </c>
    </row>
    <row r="218" spans="1:24" hidden="1" x14ac:dyDescent="0.3">
      <c r="A218" s="7">
        <v>0</v>
      </c>
      <c r="B218" s="7">
        <f t="shared" si="128"/>
        <v>0</v>
      </c>
      <c r="C218" s="7">
        <f t="shared" si="128"/>
        <v>0</v>
      </c>
      <c r="D218" s="7">
        <f t="shared" si="128"/>
        <v>0</v>
      </c>
      <c r="E218" s="7">
        <f t="shared" si="128"/>
        <v>0</v>
      </c>
      <c r="F218" s="7">
        <f t="shared" si="128"/>
        <v>0</v>
      </c>
      <c r="G218" s="7">
        <f t="shared" si="128"/>
        <v>0</v>
      </c>
      <c r="H218" s="7">
        <f t="shared" si="128"/>
        <v>0</v>
      </c>
      <c r="I218" s="7">
        <f t="shared" si="128"/>
        <v>0</v>
      </c>
      <c r="J218" s="7">
        <f t="shared" si="128"/>
        <v>0</v>
      </c>
      <c r="K218" s="7">
        <f t="shared" si="128"/>
        <v>0</v>
      </c>
      <c r="L218" s="7">
        <f t="shared" si="128"/>
        <v>0</v>
      </c>
      <c r="M218" s="13" t="s">
        <v>153</v>
      </c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159">
        <v>0</v>
      </c>
    </row>
    <row r="219" spans="1:24" hidden="1" x14ac:dyDescent="0.3">
      <c r="A219" s="11">
        <v>0</v>
      </c>
      <c r="B219" s="11">
        <f t="shared" ref="B219:L234" si="129">A219+B89</f>
        <v>0</v>
      </c>
      <c r="C219" s="11">
        <f t="shared" si="129"/>
        <v>0</v>
      </c>
      <c r="D219" s="11">
        <f t="shared" si="129"/>
        <v>0</v>
      </c>
      <c r="E219" s="11">
        <f t="shared" si="129"/>
        <v>0</v>
      </c>
      <c r="F219" s="11">
        <f t="shared" si="129"/>
        <v>0</v>
      </c>
      <c r="G219" s="11">
        <f t="shared" si="129"/>
        <v>0</v>
      </c>
      <c r="H219" s="11">
        <f t="shared" si="129"/>
        <v>0</v>
      </c>
      <c r="I219" s="11">
        <f t="shared" si="129"/>
        <v>0</v>
      </c>
      <c r="J219" s="11">
        <f t="shared" si="129"/>
        <v>0</v>
      </c>
      <c r="K219" s="11">
        <f t="shared" si="129"/>
        <v>0</v>
      </c>
      <c r="L219" s="11">
        <f t="shared" si="129"/>
        <v>0</v>
      </c>
      <c r="M219" s="187" t="s">
        <v>154</v>
      </c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60">
        <v>0</v>
      </c>
    </row>
    <row r="220" spans="1:24" ht="15" hidden="1" thickBot="1" x14ac:dyDescent="0.35">
      <c r="A220" s="93"/>
      <c r="B220" s="93">
        <f t="shared" si="129"/>
        <v>0</v>
      </c>
      <c r="C220" s="93">
        <f t="shared" si="129"/>
        <v>0</v>
      </c>
      <c r="D220" s="93">
        <f t="shared" si="129"/>
        <v>0</v>
      </c>
      <c r="E220" s="93">
        <f t="shared" si="129"/>
        <v>0</v>
      </c>
      <c r="F220" s="93">
        <f t="shared" si="129"/>
        <v>0</v>
      </c>
      <c r="G220" s="93">
        <f t="shared" si="129"/>
        <v>0</v>
      </c>
      <c r="H220" s="93">
        <f t="shared" si="129"/>
        <v>0</v>
      </c>
      <c r="I220" s="93">
        <f t="shared" si="129"/>
        <v>0</v>
      </c>
      <c r="J220" s="93">
        <f t="shared" si="129"/>
        <v>0</v>
      </c>
      <c r="K220" s="93">
        <f t="shared" si="129"/>
        <v>0</v>
      </c>
      <c r="L220" s="93">
        <f t="shared" si="129"/>
        <v>0</v>
      </c>
      <c r="M220" s="1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208">
        <v>0</v>
      </c>
    </row>
    <row r="221" spans="1:24" hidden="1" x14ac:dyDescent="0.3">
      <c r="A221" s="4">
        <v>0</v>
      </c>
      <c r="B221" s="4">
        <f t="shared" si="129"/>
        <v>4318.808</v>
      </c>
      <c r="C221" s="4">
        <f t="shared" si="129"/>
        <v>8637.616</v>
      </c>
      <c r="D221" s="4">
        <f t="shared" si="129"/>
        <v>12956.423999999999</v>
      </c>
      <c r="E221" s="4">
        <f t="shared" si="129"/>
        <v>25019.951999999997</v>
      </c>
      <c r="F221" s="4">
        <f t="shared" si="129"/>
        <v>29338.76</v>
      </c>
      <c r="G221" s="4">
        <f t="shared" si="129"/>
        <v>33657.567999999999</v>
      </c>
      <c r="H221" s="4">
        <f t="shared" si="129"/>
        <v>37976.375999999997</v>
      </c>
      <c r="I221" s="4">
        <f t="shared" si="129"/>
        <v>42295.183999999994</v>
      </c>
      <c r="J221" s="4">
        <f t="shared" si="129"/>
        <v>46613.991999999991</v>
      </c>
      <c r="K221" s="4">
        <f t="shared" si="129"/>
        <v>50932.799999999988</v>
      </c>
      <c r="L221" s="4">
        <f t="shared" si="129"/>
        <v>55251.607999999986</v>
      </c>
      <c r="M221" s="13" t="s">
        <v>155</v>
      </c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162">
        <v>0</v>
      </c>
    </row>
    <row r="222" spans="1:24" hidden="1" x14ac:dyDescent="0.3">
      <c r="A222" s="81"/>
      <c r="B222" s="81">
        <f t="shared" si="129"/>
        <v>0</v>
      </c>
      <c r="C222" s="81">
        <f t="shared" si="129"/>
        <v>0</v>
      </c>
      <c r="D222" s="81">
        <f t="shared" si="129"/>
        <v>0</v>
      </c>
      <c r="E222" s="81">
        <f t="shared" si="129"/>
        <v>0</v>
      </c>
      <c r="F222" s="81">
        <f t="shared" si="129"/>
        <v>0</v>
      </c>
      <c r="G222" s="81">
        <f t="shared" si="129"/>
        <v>0</v>
      </c>
      <c r="H222" s="81">
        <f t="shared" si="129"/>
        <v>0</v>
      </c>
      <c r="I222" s="81">
        <f t="shared" si="129"/>
        <v>0</v>
      </c>
      <c r="J222" s="81">
        <f t="shared" si="129"/>
        <v>0</v>
      </c>
      <c r="K222" s="81">
        <f t="shared" si="129"/>
        <v>0</v>
      </c>
      <c r="L222" s="81">
        <f t="shared" si="129"/>
        <v>0</v>
      </c>
      <c r="M222" s="80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204">
        <v>0</v>
      </c>
    </row>
    <row r="223" spans="1:24" hidden="1" x14ac:dyDescent="0.3">
      <c r="A223" s="209">
        <v>0</v>
      </c>
      <c r="B223" s="209">
        <f t="shared" si="129"/>
        <v>2878.8560000000002</v>
      </c>
      <c r="C223" s="209">
        <f t="shared" si="129"/>
        <v>5757.7120000000004</v>
      </c>
      <c r="D223" s="209">
        <f t="shared" si="129"/>
        <v>8636.5680000000011</v>
      </c>
      <c r="E223" s="209">
        <f t="shared" si="129"/>
        <v>11515.424000000001</v>
      </c>
      <c r="F223" s="209">
        <f t="shared" si="129"/>
        <v>14394.28</v>
      </c>
      <c r="G223" s="209">
        <f t="shared" si="129"/>
        <v>17273.136000000002</v>
      </c>
      <c r="H223" s="209">
        <f t="shared" si="129"/>
        <v>20151.992000000002</v>
      </c>
      <c r="I223" s="209">
        <f t="shared" si="129"/>
        <v>23030.848000000002</v>
      </c>
      <c r="J223" s="209">
        <f t="shared" si="129"/>
        <v>25909.704000000002</v>
      </c>
      <c r="K223" s="209">
        <f t="shared" si="129"/>
        <v>28788.560000000001</v>
      </c>
      <c r="L223" s="209">
        <f t="shared" si="129"/>
        <v>31667.416000000001</v>
      </c>
      <c r="M223" s="187" t="s">
        <v>156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158">
        <v>0.634466237365099</v>
      </c>
    </row>
    <row r="224" spans="1:24" hidden="1" x14ac:dyDescent="0.3">
      <c r="A224" s="7">
        <v>0</v>
      </c>
      <c r="B224" s="7">
        <f t="shared" si="129"/>
        <v>1573.048</v>
      </c>
      <c r="C224" s="7">
        <f t="shared" si="129"/>
        <v>3146.096</v>
      </c>
      <c r="D224" s="7">
        <f t="shared" si="129"/>
        <v>4719.1440000000002</v>
      </c>
      <c r="E224" s="7">
        <f t="shared" si="129"/>
        <v>6292.192</v>
      </c>
      <c r="F224" s="7">
        <f t="shared" si="129"/>
        <v>7865.24</v>
      </c>
      <c r="G224" s="7">
        <f t="shared" si="129"/>
        <v>9438.2880000000005</v>
      </c>
      <c r="H224" s="7">
        <f t="shared" si="129"/>
        <v>11011.336000000001</v>
      </c>
      <c r="I224" s="7">
        <f t="shared" si="129"/>
        <v>12584.384000000002</v>
      </c>
      <c r="J224" s="7">
        <f t="shared" si="129"/>
        <v>14157.432000000003</v>
      </c>
      <c r="K224" s="7">
        <f t="shared" si="129"/>
        <v>15730.480000000003</v>
      </c>
      <c r="L224" s="7">
        <f t="shared" si="129"/>
        <v>17303.528000000002</v>
      </c>
      <c r="M224" s="13" t="s">
        <v>158</v>
      </c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159">
        <v>0.45441401861223513</v>
      </c>
    </row>
    <row r="225" spans="1:24" hidden="1" x14ac:dyDescent="0.3">
      <c r="A225" s="7">
        <v>0</v>
      </c>
      <c r="B225" s="7">
        <f t="shared" si="129"/>
        <v>0</v>
      </c>
      <c r="C225" s="7">
        <f t="shared" si="129"/>
        <v>0</v>
      </c>
      <c r="D225" s="7">
        <f t="shared" si="129"/>
        <v>0</v>
      </c>
      <c r="E225" s="7">
        <f t="shared" si="129"/>
        <v>0</v>
      </c>
      <c r="F225" s="7">
        <f t="shared" si="129"/>
        <v>0</v>
      </c>
      <c r="G225" s="7">
        <f t="shared" si="129"/>
        <v>0</v>
      </c>
      <c r="H225" s="7">
        <f t="shared" si="129"/>
        <v>0</v>
      </c>
      <c r="I225" s="7">
        <f t="shared" si="129"/>
        <v>0</v>
      </c>
      <c r="J225" s="7">
        <f t="shared" si="129"/>
        <v>0</v>
      </c>
      <c r="K225" s="7">
        <f t="shared" si="129"/>
        <v>0</v>
      </c>
      <c r="L225" s="7">
        <f t="shared" si="129"/>
        <v>0</v>
      </c>
      <c r="M225" s="13" t="s">
        <v>159</v>
      </c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159">
        <v>0</v>
      </c>
    </row>
    <row r="226" spans="1:24" hidden="1" x14ac:dyDescent="0.3">
      <c r="A226" s="7">
        <v>0</v>
      </c>
      <c r="B226" s="7">
        <f t="shared" si="129"/>
        <v>81.744</v>
      </c>
      <c r="C226" s="7">
        <f t="shared" si="129"/>
        <v>163.488</v>
      </c>
      <c r="D226" s="7">
        <f t="shared" si="129"/>
        <v>245.232</v>
      </c>
      <c r="E226" s="7">
        <f t="shared" si="129"/>
        <v>326.976</v>
      </c>
      <c r="F226" s="7">
        <f t="shared" si="129"/>
        <v>408.72</v>
      </c>
      <c r="G226" s="7">
        <f t="shared" si="129"/>
        <v>490.46400000000006</v>
      </c>
      <c r="H226" s="7">
        <f t="shared" si="129"/>
        <v>572.20800000000008</v>
      </c>
      <c r="I226" s="7">
        <f t="shared" si="129"/>
        <v>653.95200000000011</v>
      </c>
      <c r="J226" s="7">
        <f t="shared" si="129"/>
        <v>735.69600000000014</v>
      </c>
      <c r="K226" s="7">
        <f t="shared" si="129"/>
        <v>817.44000000000017</v>
      </c>
      <c r="L226" s="7">
        <f t="shared" si="129"/>
        <v>899.1840000000002</v>
      </c>
      <c r="M226" s="13" t="s">
        <v>160</v>
      </c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159">
        <v>0.2567337004423097</v>
      </c>
    </row>
    <row r="227" spans="1:24" hidden="1" x14ac:dyDescent="0.3">
      <c r="A227" s="7">
        <v>0</v>
      </c>
      <c r="B227" s="7">
        <f t="shared" si="129"/>
        <v>0</v>
      </c>
      <c r="C227" s="7">
        <f t="shared" si="129"/>
        <v>0</v>
      </c>
      <c r="D227" s="7">
        <f t="shared" si="129"/>
        <v>0</v>
      </c>
      <c r="E227" s="7">
        <f t="shared" si="129"/>
        <v>0</v>
      </c>
      <c r="F227" s="7">
        <f t="shared" si="129"/>
        <v>0</v>
      </c>
      <c r="G227" s="7">
        <f t="shared" si="129"/>
        <v>0</v>
      </c>
      <c r="H227" s="7">
        <f t="shared" si="129"/>
        <v>0</v>
      </c>
      <c r="I227" s="7">
        <f t="shared" si="129"/>
        <v>0</v>
      </c>
      <c r="J227" s="7">
        <f t="shared" si="129"/>
        <v>0</v>
      </c>
      <c r="K227" s="7">
        <f t="shared" si="129"/>
        <v>0</v>
      </c>
      <c r="L227" s="7">
        <f t="shared" si="129"/>
        <v>0</v>
      </c>
      <c r="M227" s="13" t="s">
        <v>161</v>
      </c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159">
        <v>0</v>
      </c>
    </row>
    <row r="228" spans="1:24" hidden="1" x14ac:dyDescent="0.3">
      <c r="A228" s="7">
        <v>0</v>
      </c>
      <c r="B228" s="7">
        <f t="shared" si="129"/>
        <v>0</v>
      </c>
      <c r="C228" s="7">
        <f t="shared" si="129"/>
        <v>0</v>
      </c>
      <c r="D228" s="7">
        <f t="shared" si="129"/>
        <v>0</v>
      </c>
      <c r="E228" s="7">
        <f t="shared" si="129"/>
        <v>0</v>
      </c>
      <c r="F228" s="7">
        <f t="shared" si="129"/>
        <v>0</v>
      </c>
      <c r="G228" s="7">
        <f t="shared" si="129"/>
        <v>0</v>
      </c>
      <c r="H228" s="7">
        <f t="shared" si="129"/>
        <v>0</v>
      </c>
      <c r="I228" s="7">
        <f t="shared" si="129"/>
        <v>0</v>
      </c>
      <c r="J228" s="7">
        <f t="shared" si="129"/>
        <v>0</v>
      </c>
      <c r="K228" s="7">
        <f t="shared" si="129"/>
        <v>0</v>
      </c>
      <c r="L228" s="7">
        <f t="shared" si="129"/>
        <v>0</v>
      </c>
      <c r="M228" s="13" t="s">
        <v>162</v>
      </c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159">
        <v>5.6301722968389638E-2</v>
      </c>
    </row>
    <row r="229" spans="1:24" hidden="1" x14ac:dyDescent="0.3">
      <c r="A229" s="7">
        <v>0</v>
      </c>
      <c r="B229" s="7">
        <f t="shared" si="129"/>
        <v>0</v>
      </c>
      <c r="C229" s="7">
        <f t="shared" si="129"/>
        <v>0</v>
      </c>
      <c r="D229" s="7">
        <f t="shared" si="129"/>
        <v>0</v>
      </c>
      <c r="E229" s="7">
        <f t="shared" si="129"/>
        <v>0</v>
      </c>
      <c r="F229" s="7">
        <f t="shared" si="129"/>
        <v>0</v>
      </c>
      <c r="G229" s="7">
        <f t="shared" si="129"/>
        <v>0</v>
      </c>
      <c r="H229" s="7">
        <f t="shared" si="129"/>
        <v>0</v>
      </c>
      <c r="I229" s="7">
        <f t="shared" si="129"/>
        <v>0</v>
      </c>
      <c r="J229" s="7">
        <f t="shared" si="129"/>
        <v>0</v>
      </c>
      <c r="K229" s="7">
        <f t="shared" si="129"/>
        <v>0</v>
      </c>
      <c r="L229" s="7">
        <f t="shared" si="129"/>
        <v>0</v>
      </c>
      <c r="M229" s="13" t="s">
        <v>163</v>
      </c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159">
        <v>0</v>
      </c>
    </row>
    <row r="230" spans="1:24" hidden="1" x14ac:dyDescent="0.3">
      <c r="A230" s="11">
        <v>0</v>
      </c>
      <c r="B230" s="11">
        <f t="shared" si="129"/>
        <v>0</v>
      </c>
      <c r="C230" s="11">
        <f t="shared" si="129"/>
        <v>0</v>
      </c>
      <c r="D230" s="11">
        <f t="shared" si="129"/>
        <v>0</v>
      </c>
      <c r="E230" s="11">
        <f t="shared" si="129"/>
        <v>0</v>
      </c>
      <c r="F230" s="11">
        <f t="shared" si="129"/>
        <v>0</v>
      </c>
      <c r="G230" s="11">
        <f t="shared" si="129"/>
        <v>0</v>
      </c>
      <c r="H230" s="11">
        <f t="shared" si="129"/>
        <v>0</v>
      </c>
      <c r="I230" s="11">
        <f t="shared" si="129"/>
        <v>0</v>
      </c>
      <c r="J230" s="11">
        <f t="shared" si="129"/>
        <v>0</v>
      </c>
      <c r="K230" s="11">
        <f t="shared" si="129"/>
        <v>0</v>
      </c>
      <c r="L230" s="11">
        <f t="shared" si="129"/>
        <v>0</v>
      </c>
      <c r="M230" s="212" t="s">
        <v>164</v>
      </c>
      <c r="N230" s="11"/>
      <c r="O230" s="211"/>
      <c r="P230" s="211"/>
      <c r="Q230" s="211"/>
      <c r="R230" s="211"/>
      <c r="S230" s="211"/>
      <c r="T230" s="211"/>
      <c r="U230" s="211"/>
      <c r="V230" s="211"/>
      <c r="W230" s="211"/>
      <c r="X230" s="160">
        <v>0</v>
      </c>
    </row>
    <row r="231" spans="1:24" ht="15" hidden="1" thickBot="1" x14ac:dyDescent="0.35">
      <c r="A231" s="89"/>
      <c r="B231" s="89">
        <f t="shared" si="129"/>
        <v>0</v>
      </c>
      <c r="C231" s="89">
        <f t="shared" si="129"/>
        <v>0</v>
      </c>
      <c r="D231" s="89">
        <f t="shared" si="129"/>
        <v>0</v>
      </c>
      <c r="E231" s="89">
        <f t="shared" si="129"/>
        <v>0</v>
      </c>
      <c r="F231" s="89">
        <f t="shared" si="129"/>
        <v>0</v>
      </c>
      <c r="G231" s="89">
        <f t="shared" si="129"/>
        <v>0</v>
      </c>
      <c r="H231" s="89">
        <f t="shared" si="129"/>
        <v>0</v>
      </c>
      <c r="I231" s="89">
        <f t="shared" si="129"/>
        <v>0</v>
      </c>
      <c r="J231" s="89">
        <f t="shared" si="129"/>
        <v>0</v>
      </c>
      <c r="K231" s="89">
        <f t="shared" si="129"/>
        <v>0</v>
      </c>
      <c r="L231" s="89">
        <f t="shared" si="129"/>
        <v>0</v>
      </c>
      <c r="M231" s="13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207"/>
    </row>
    <row r="232" spans="1:24" hidden="1" x14ac:dyDescent="0.3">
      <c r="A232" s="4">
        <v>0</v>
      </c>
      <c r="B232" s="4">
        <f t="shared" si="129"/>
        <v>4533.6480000000001</v>
      </c>
      <c r="C232" s="4">
        <f t="shared" si="129"/>
        <v>9067.2960000000003</v>
      </c>
      <c r="D232" s="4">
        <f t="shared" si="129"/>
        <v>13600.944</v>
      </c>
      <c r="E232" s="4">
        <f t="shared" si="129"/>
        <v>18134.592000000001</v>
      </c>
      <c r="F232" s="4">
        <f t="shared" si="129"/>
        <v>22668.240000000002</v>
      </c>
      <c r="G232" s="4">
        <f t="shared" si="129"/>
        <v>27201.888000000003</v>
      </c>
      <c r="H232" s="4">
        <f t="shared" si="129"/>
        <v>31735.536000000004</v>
      </c>
      <c r="I232" s="4">
        <f t="shared" si="129"/>
        <v>36269.184000000001</v>
      </c>
      <c r="J232" s="4">
        <f t="shared" si="129"/>
        <v>40802.832000000002</v>
      </c>
      <c r="K232" s="4">
        <f t="shared" si="129"/>
        <v>45336.480000000003</v>
      </c>
      <c r="L232" s="4">
        <f t="shared" si="129"/>
        <v>49870.128000000004</v>
      </c>
      <c r="M232" s="13" t="s">
        <v>166</v>
      </c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162">
        <v>0.50836355214474516</v>
      </c>
    </row>
    <row r="233" spans="1:24" hidden="1" x14ac:dyDescent="0.3">
      <c r="A233" s="81"/>
      <c r="B233" s="81">
        <f t="shared" si="129"/>
        <v>0</v>
      </c>
      <c r="C233" s="81">
        <f t="shared" si="129"/>
        <v>0</v>
      </c>
      <c r="D233" s="81">
        <f t="shared" si="129"/>
        <v>0</v>
      </c>
      <c r="E233" s="81">
        <f t="shared" si="129"/>
        <v>0</v>
      </c>
      <c r="F233" s="81">
        <f t="shared" si="129"/>
        <v>0</v>
      </c>
      <c r="G233" s="81">
        <f t="shared" si="129"/>
        <v>0</v>
      </c>
      <c r="H233" s="81">
        <f t="shared" si="129"/>
        <v>0</v>
      </c>
      <c r="I233" s="81">
        <f t="shared" si="129"/>
        <v>0</v>
      </c>
      <c r="J233" s="81">
        <f t="shared" si="129"/>
        <v>0</v>
      </c>
      <c r="K233" s="81">
        <f t="shared" si="129"/>
        <v>0</v>
      </c>
      <c r="L233" s="81">
        <f t="shared" si="129"/>
        <v>0</v>
      </c>
      <c r="M233" s="80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204"/>
    </row>
    <row r="234" spans="1:24" hidden="1" x14ac:dyDescent="0.3">
      <c r="A234" s="8">
        <v>0</v>
      </c>
      <c r="B234" s="8">
        <f t="shared" si="129"/>
        <v>0</v>
      </c>
      <c r="C234" s="8">
        <f t="shared" si="129"/>
        <v>0</v>
      </c>
      <c r="D234" s="8">
        <f t="shared" si="129"/>
        <v>0</v>
      </c>
      <c r="E234" s="8">
        <f t="shared" si="129"/>
        <v>2096</v>
      </c>
      <c r="F234" s="8">
        <f t="shared" si="129"/>
        <v>2096</v>
      </c>
      <c r="G234" s="8">
        <f t="shared" si="129"/>
        <v>2096</v>
      </c>
      <c r="H234" s="8">
        <f t="shared" si="129"/>
        <v>2096</v>
      </c>
      <c r="I234" s="8">
        <f t="shared" si="129"/>
        <v>2096</v>
      </c>
      <c r="J234" s="8">
        <f t="shared" si="129"/>
        <v>2096</v>
      </c>
      <c r="K234" s="8">
        <f t="shared" si="129"/>
        <v>2096</v>
      </c>
      <c r="L234" s="8">
        <f t="shared" si="129"/>
        <v>2096</v>
      </c>
      <c r="M234" s="187" t="s">
        <v>167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158">
        <v>0</v>
      </c>
    </row>
    <row r="235" spans="1:24" hidden="1" x14ac:dyDescent="0.3">
      <c r="A235" s="7">
        <v>0</v>
      </c>
      <c r="B235" s="7">
        <f t="shared" ref="B235:L250" si="130">A235+B105</f>
        <v>0</v>
      </c>
      <c r="C235" s="7">
        <f t="shared" si="130"/>
        <v>0</v>
      </c>
      <c r="D235" s="7">
        <f t="shared" si="130"/>
        <v>0</v>
      </c>
      <c r="E235" s="7">
        <f t="shared" si="130"/>
        <v>0</v>
      </c>
      <c r="F235" s="7">
        <f t="shared" si="130"/>
        <v>0</v>
      </c>
      <c r="G235" s="7">
        <f t="shared" si="130"/>
        <v>0</v>
      </c>
      <c r="H235" s="7">
        <f t="shared" si="130"/>
        <v>0</v>
      </c>
      <c r="I235" s="7">
        <f t="shared" si="130"/>
        <v>0</v>
      </c>
      <c r="J235" s="7">
        <f t="shared" si="130"/>
        <v>0</v>
      </c>
      <c r="K235" s="7">
        <f t="shared" si="130"/>
        <v>0</v>
      </c>
      <c r="L235" s="7">
        <f t="shared" si="130"/>
        <v>0</v>
      </c>
      <c r="M235" s="13" t="s">
        <v>168</v>
      </c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159">
        <v>0</v>
      </c>
    </row>
    <row r="236" spans="1:24" hidden="1" x14ac:dyDescent="0.3">
      <c r="A236" s="11">
        <v>0</v>
      </c>
      <c r="B236" s="11">
        <f t="shared" si="130"/>
        <v>0</v>
      </c>
      <c r="C236" s="11">
        <f t="shared" si="130"/>
        <v>0</v>
      </c>
      <c r="D236" s="11">
        <f t="shared" si="130"/>
        <v>0</v>
      </c>
      <c r="E236" s="11">
        <f t="shared" si="130"/>
        <v>0</v>
      </c>
      <c r="F236" s="11">
        <f t="shared" si="130"/>
        <v>0</v>
      </c>
      <c r="G236" s="11">
        <f t="shared" si="130"/>
        <v>0</v>
      </c>
      <c r="H236" s="11">
        <f t="shared" si="130"/>
        <v>0</v>
      </c>
      <c r="I236" s="11">
        <f t="shared" si="130"/>
        <v>0</v>
      </c>
      <c r="J236" s="11">
        <f t="shared" si="130"/>
        <v>0</v>
      </c>
      <c r="K236" s="11">
        <f t="shared" si="130"/>
        <v>0</v>
      </c>
      <c r="L236" s="11">
        <f t="shared" si="130"/>
        <v>0</v>
      </c>
      <c r="M236" s="13" t="s">
        <v>169</v>
      </c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60">
        <v>0</v>
      </c>
    </row>
    <row r="237" spans="1:24" ht="15" hidden="1" thickBot="1" x14ac:dyDescent="0.35">
      <c r="A237" s="89"/>
      <c r="B237" s="89">
        <f t="shared" si="130"/>
        <v>0</v>
      </c>
      <c r="C237" s="89">
        <f t="shared" si="130"/>
        <v>0</v>
      </c>
      <c r="D237" s="89">
        <f t="shared" si="130"/>
        <v>0</v>
      </c>
      <c r="E237" s="89">
        <f t="shared" si="130"/>
        <v>0</v>
      </c>
      <c r="F237" s="89">
        <f t="shared" si="130"/>
        <v>0</v>
      </c>
      <c r="G237" s="89">
        <f t="shared" si="130"/>
        <v>0</v>
      </c>
      <c r="H237" s="89">
        <f t="shared" si="130"/>
        <v>0</v>
      </c>
      <c r="I237" s="89">
        <f t="shared" si="130"/>
        <v>0</v>
      </c>
      <c r="J237" s="89">
        <f t="shared" si="130"/>
        <v>0</v>
      </c>
      <c r="K237" s="89">
        <f t="shared" si="130"/>
        <v>0</v>
      </c>
      <c r="L237" s="89">
        <f t="shared" si="130"/>
        <v>0</v>
      </c>
      <c r="M237" s="13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207">
        <v>0</v>
      </c>
    </row>
    <row r="238" spans="1:24" hidden="1" x14ac:dyDescent="0.3">
      <c r="A238" s="4">
        <v>0</v>
      </c>
      <c r="B238" s="4">
        <f t="shared" si="130"/>
        <v>0</v>
      </c>
      <c r="C238" s="4">
        <f t="shared" si="130"/>
        <v>0</v>
      </c>
      <c r="D238" s="4">
        <f t="shared" si="130"/>
        <v>0</v>
      </c>
      <c r="E238" s="4">
        <f t="shared" si="130"/>
        <v>2096</v>
      </c>
      <c r="F238" s="4">
        <f t="shared" si="130"/>
        <v>2096</v>
      </c>
      <c r="G238" s="4">
        <f t="shared" si="130"/>
        <v>2096</v>
      </c>
      <c r="H238" s="4">
        <f t="shared" si="130"/>
        <v>2096</v>
      </c>
      <c r="I238" s="4">
        <f t="shared" si="130"/>
        <v>2096</v>
      </c>
      <c r="J238" s="4">
        <f t="shared" si="130"/>
        <v>2096</v>
      </c>
      <c r="K238" s="4">
        <f t="shared" si="130"/>
        <v>2096</v>
      </c>
      <c r="L238" s="4">
        <f t="shared" si="130"/>
        <v>2096</v>
      </c>
      <c r="M238" s="13" t="s">
        <v>170</v>
      </c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162">
        <v>0</v>
      </c>
    </row>
    <row r="239" spans="1:24" hidden="1" x14ac:dyDescent="0.3">
      <c r="A239" s="81"/>
      <c r="B239" s="81">
        <f t="shared" si="130"/>
        <v>0</v>
      </c>
      <c r="C239" s="81">
        <f t="shared" si="130"/>
        <v>0</v>
      </c>
      <c r="D239" s="81">
        <f t="shared" si="130"/>
        <v>0</v>
      </c>
      <c r="E239" s="81">
        <f t="shared" si="130"/>
        <v>0</v>
      </c>
      <c r="F239" s="81">
        <f t="shared" si="130"/>
        <v>0</v>
      </c>
      <c r="G239" s="81">
        <f t="shared" si="130"/>
        <v>0</v>
      </c>
      <c r="H239" s="81">
        <f t="shared" si="130"/>
        <v>0</v>
      </c>
      <c r="I239" s="81">
        <f t="shared" si="130"/>
        <v>0</v>
      </c>
      <c r="J239" s="81">
        <f t="shared" si="130"/>
        <v>0</v>
      </c>
      <c r="K239" s="81">
        <f t="shared" si="130"/>
        <v>0</v>
      </c>
      <c r="L239" s="81">
        <f t="shared" si="130"/>
        <v>0</v>
      </c>
      <c r="M239" s="80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204"/>
    </row>
    <row r="240" spans="1:24" hidden="1" x14ac:dyDescent="0.3">
      <c r="A240" s="4">
        <v>43879.4</v>
      </c>
      <c r="B240" s="4">
        <f t="shared" si="130"/>
        <v>127403.95199999999</v>
      </c>
      <c r="C240" s="4">
        <f t="shared" si="130"/>
        <v>210928.50399999999</v>
      </c>
      <c r="D240" s="4">
        <f t="shared" si="130"/>
        <v>294453.05599999998</v>
      </c>
      <c r="E240" s="4">
        <f t="shared" si="130"/>
        <v>391997.75199999998</v>
      </c>
      <c r="F240" s="4">
        <f t="shared" si="130"/>
        <v>475634.43999999994</v>
      </c>
      <c r="G240" s="4">
        <f t="shared" si="130"/>
        <v>559158.99199999997</v>
      </c>
      <c r="H240" s="4">
        <f t="shared" si="130"/>
        <v>644973.424</v>
      </c>
      <c r="I240" s="4">
        <f t="shared" si="130"/>
        <v>728497.97600000002</v>
      </c>
      <c r="J240" s="4">
        <f t="shared" si="130"/>
        <v>812022.52800000005</v>
      </c>
      <c r="K240" s="4">
        <f t="shared" si="130"/>
        <v>895547.08000000007</v>
      </c>
      <c r="L240" s="4">
        <f t="shared" si="130"/>
        <v>979084.6320000001</v>
      </c>
      <c r="M240" s="187" t="s">
        <v>171</v>
      </c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162">
        <v>0.52134783109986804</v>
      </c>
    </row>
    <row r="241" spans="1:24" hidden="1" x14ac:dyDescent="0.3">
      <c r="A241" s="81"/>
      <c r="B241" s="81">
        <f t="shared" si="130"/>
        <v>0</v>
      </c>
      <c r="C241" s="81">
        <f t="shared" si="130"/>
        <v>0</v>
      </c>
      <c r="D241" s="81">
        <f t="shared" si="130"/>
        <v>0</v>
      </c>
      <c r="E241" s="81">
        <f t="shared" si="130"/>
        <v>0</v>
      </c>
      <c r="F241" s="81">
        <f t="shared" si="130"/>
        <v>0</v>
      </c>
      <c r="G241" s="81">
        <f t="shared" si="130"/>
        <v>0</v>
      </c>
      <c r="H241" s="81">
        <f t="shared" si="130"/>
        <v>0</v>
      </c>
      <c r="I241" s="81">
        <f t="shared" si="130"/>
        <v>0</v>
      </c>
      <c r="J241" s="81">
        <f t="shared" si="130"/>
        <v>0</v>
      </c>
      <c r="K241" s="81">
        <f t="shared" si="130"/>
        <v>0</v>
      </c>
      <c r="L241" s="81">
        <f t="shared" si="130"/>
        <v>0</v>
      </c>
      <c r="M241" s="122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204">
        <v>0</v>
      </c>
    </row>
    <row r="242" spans="1:24" hidden="1" x14ac:dyDescent="0.3">
      <c r="A242" s="4">
        <v>255518.96</v>
      </c>
      <c r="B242" s="4">
        <f t="shared" si="130"/>
        <v>624396.27969739994</v>
      </c>
      <c r="C242" s="4">
        <f t="shared" si="130"/>
        <v>993273.59939479991</v>
      </c>
      <c r="D242" s="4">
        <f t="shared" si="130"/>
        <v>1365294.9190921998</v>
      </c>
      <c r="E242" s="4">
        <f t="shared" si="130"/>
        <v>1748192.3827895997</v>
      </c>
      <c r="F242" s="4">
        <f t="shared" si="130"/>
        <v>2117181.8384869997</v>
      </c>
      <c r="G242" s="4">
        <f t="shared" si="130"/>
        <v>2486059.1581843998</v>
      </c>
      <c r="H242" s="4">
        <f t="shared" si="130"/>
        <v>3043316.0278817997</v>
      </c>
      <c r="I242" s="4">
        <f t="shared" si="130"/>
        <v>3412193.3475791998</v>
      </c>
      <c r="J242" s="4">
        <f t="shared" si="130"/>
        <v>3781070.6672765999</v>
      </c>
      <c r="K242" s="4">
        <f t="shared" si="130"/>
        <v>4149947.986974</v>
      </c>
      <c r="L242" s="4">
        <f t="shared" si="130"/>
        <v>4529895.4498714004</v>
      </c>
      <c r="M242" s="13" t="s">
        <v>172</v>
      </c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162">
        <v>0.31073487165252239</v>
      </c>
    </row>
    <row r="243" spans="1:24" hidden="1" x14ac:dyDescent="0.3">
      <c r="A243" s="81"/>
      <c r="B243" s="81">
        <f t="shared" si="130"/>
        <v>0</v>
      </c>
      <c r="C243" s="81">
        <f t="shared" si="130"/>
        <v>0</v>
      </c>
      <c r="D243" s="81">
        <f t="shared" si="130"/>
        <v>0</v>
      </c>
      <c r="E243" s="81">
        <f t="shared" si="130"/>
        <v>0</v>
      </c>
      <c r="F243" s="81">
        <f t="shared" si="130"/>
        <v>0</v>
      </c>
      <c r="G243" s="81">
        <f t="shared" si="130"/>
        <v>0</v>
      </c>
      <c r="H243" s="81">
        <f t="shared" si="130"/>
        <v>0</v>
      </c>
      <c r="I243" s="81">
        <f t="shared" si="130"/>
        <v>0</v>
      </c>
      <c r="J243" s="81">
        <f t="shared" si="130"/>
        <v>0</v>
      </c>
      <c r="K243" s="81">
        <f t="shared" si="130"/>
        <v>0</v>
      </c>
      <c r="L243" s="81">
        <f t="shared" si="130"/>
        <v>0</v>
      </c>
      <c r="M243" s="122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204">
        <v>0</v>
      </c>
    </row>
    <row r="244" spans="1:24" hidden="1" x14ac:dyDescent="0.3">
      <c r="A244" s="8">
        <v>0</v>
      </c>
      <c r="B244" s="8">
        <f t="shared" si="130"/>
        <v>0</v>
      </c>
      <c r="C244" s="8">
        <f t="shared" si="130"/>
        <v>0</v>
      </c>
      <c r="D244" s="8">
        <f t="shared" si="130"/>
        <v>0</v>
      </c>
      <c r="E244" s="8">
        <f t="shared" si="130"/>
        <v>0</v>
      </c>
      <c r="F244" s="8">
        <f t="shared" si="130"/>
        <v>0</v>
      </c>
      <c r="G244" s="8">
        <f t="shared" si="130"/>
        <v>0</v>
      </c>
      <c r="H244" s="8">
        <f t="shared" si="130"/>
        <v>0</v>
      </c>
      <c r="I244" s="8">
        <f t="shared" si="130"/>
        <v>0</v>
      </c>
      <c r="J244" s="8">
        <f t="shared" si="130"/>
        <v>0</v>
      </c>
      <c r="K244" s="8">
        <f t="shared" si="130"/>
        <v>0</v>
      </c>
      <c r="L244" s="8">
        <f t="shared" si="130"/>
        <v>0</v>
      </c>
      <c r="M244" s="187" t="s">
        <v>173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158">
        <v>1.0000108669723555</v>
      </c>
    </row>
    <row r="245" spans="1:24" hidden="1" x14ac:dyDescent="0.3">
      <c r="A245" s="7">
        <v>0</v>
      </c>
      <c r="B245" s="7">
        <f t="shared" si="130"/>
        <v>0</v>
      </c>
      <c r="C245" s="7">
        <f t="shared" si="130"/>
        <v>0</v>
      </c>
      <c r="D245" s="7">
        <f t="shared" si="130"/>
        <v>0</v>
      </c>
      <c r="E245" s="7">
        <f t="shared" si="130"/>
        <v>0</v>
      </c>
      <c r="F245" s="7">
        <f t="shared" si="130"/>
        <v>0</v>
      </c>
      <c r="G245" s="7">
        <f t="shared" si="130"/>
        <v>0</v>
      </c>
      <c r="H245" s="7">
        <f t="shared" si="130"/>
        <v>0</v>
      </c>
      <c r="I245" s="7">
        <f t="shared" si="130"/>
        <v>0</v>
      </c>
      <c r="J245" s="7">
        <f t="shared" si="130"/>
        <v>0</v>
      </c>
      <c r="K245" s="7">
        <f t="shared" si="130"/>
        <v>0</v>
      </c>
      <c r="L245" s="7">
        <f t="shared" si="130"/>
        <v>0</v>
      </c>
      <c r="M245" s="13" t="s">
        <v>174</v>
      </c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159">
        <v>0</v>
      </c>
    </row>
    <row r="246" spans="1:24" hidden="1" x14ac:dyDescent="0.3">
      <c r="A246" s="7">
        <v>0</v>
      </c>
      <c r="B246" s="7">
        <f t="shared" si="130"/>
        <v>0</v>
      </c>
      <c r="C246" s="7">
        <f t="shared" si="130"/>
        <v>0</v>
      </c>
      <c r="D246" s="7">
        <f t="shared" si="130"/>
        <v>0</v>
      </c>
      <c r="E246" s="7">
        <f t="shared" si="130"/>
        <v>0</v>
      </c>
      <c r="F246" s="7">
        <f t="shared" si="130"/>
        <v>0</v>
      </c>
      <c r="G246" s="7">
        <f t="shared" si="130"/>
        <v>0</v>
      </c>
      <c r="H246" s="7">
        <f t="shared" si="130"/>
        <v>0</v>
      </c>
      <c r="I246" s="7">
        <f t="shared" si="130"/>
        <v>0</v>
      </c>
      <c r="J246" s="7">
        <f t="shared" si="130"/>
        <v>0</v>
      </c>
      <c r="K246" s="7">
        <f t="shared" si="130"/>
        <v>0</v>
      </c>
      <c r="L246" s="7">
        <f t="shared" si="130"/>
        <v>0</v>
      </c>
      <c r="M246" s="13" t="s">
        <v>175</v>
      </c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159">
        <v>0</v>
      </c>
    </row>
    <row r="247" spans="1:24" hidden="1" x14ac:dyDescent="0.3">
      <c r="A247" s="7">
        <v>0</v>
      </c>
      <c r="B247" s="7">
        <f t="shared" si="130"/>
        <v>0</v>
      </c>
      <c r="C247" s="7">
        <f t="shared" si="130"/>
        <v>0</v>
      </c>
      <c r="D247" s="7">
        <f t="shared" si="130"/>
        <v>0</v>
      </c>
      <c r="E247" s="7">
        <f t="shared" si="130"/>
        <v>0</v>
      </c>
      <c r="F247" s="7">
        <f t="shared" si="130"/>
        <v>0</v>
      </c>
      <c r="G247" s="7">
        <f t="shared" si="130"/>
        <v>0</v>
      </c>
      <c r="H247" s="7">
        <f t="shared" si="130"/>
        <v>0</v>
      </c>
      <c r="I247" s="7">
        <f t="shared" si="130"/>
        <v>0</v>
      </c>
      <c r="J247" s="7">
        <f t="shared" si="130"/>
        <v>0</v>
      </c>
      <c r="K247" s="7">
        <f t="shared" si="130"/>
        <v>0</v>
      </c>
      <c r="L247" s="7">
        <f t="shared" si="130"/>
        <v>0</v>
      </c>
      <c r="M247" s="187" t="s">
        <v>176</v>
      </c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159">
        <v>0</v>
      </c>
    </row>
    <row r="248" spans="1:24" hidden="1" x14ac:dyDescent="0.3">
      <c r="A248" s="7">
        <v>0</v>
      </c>
      <c r="B248" s="7">
        <f t="shared" si="130"/>
        <v>0</v>
      </c>
      <c r="C248" s="7">
        <f t="shared" si="130"/>
        <v>0</v>
      </c>
      <c r="D248" s="7">
        <f t="shared" si="130"/>
        <v>0</v>
      </c>
      <c r="E248" s="7">
        <f t="shared" si="130"/>
        <v>0</v>
      </c>
      <c r="F248" s="7">
        <f t="shared" si="130"/>
        <v>0</v>
      </c>
      <c r="G248" s="7">
        <f t="shared" si="130"/>
        <v>0</v>
      </c>
      <c r="H248" s="7">
        <f t="shared" si="130"/>
        <v>0</v>
      </c>
      <c r="I248" s="7">
        <f t="shared" si="130"/>
        <v>0</v>
      </c>
      <c r="J248" s="7">
        <f t="shared" si="130"/>
        <v>0</v>
      </c>
      <c r="K248" s="7">
        <f t="shared" si="130"/>
        <v>0</v>
      </c>
      <c r="L248" s="7">
        <f t="shared" si="130"/>
        <v>0</v>
      </c>
      <c r="M248" s="13" t="s">
        <v>177</v>
      </c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159">
        <v>0</v>
      </c>
    </row>
    <row r="249" spans="1:24" hidden="1" x14ac:dyDescent="0.3">
      <c r="A249" s="7">
        <v>0</v>
      </c>
      <c r="B249" s="7">
        <f t="shared" si="130"/>
        <v>0</v>
      </c>
      <c r="C249" s="7">
        <f t="shared" si="130"/>
        <v>0</v>
      </c>
      <c r="D249" s="7">
        <f t="shared" si="130"/>
        <v>0</v>
      </c>
      <c r="E249" s="7">
        <f t="shared" si="130"/>
        <v>0</v>
      </c>
      <c r="F249" s="7">
        <f t="shared" si="130"/>
        <v>0</v>
      </c>
      <c r="G249" s="7">
        <f t="shared" si="130"/>
        <v>0</v>
      </c>
      <c r="H249" s="7">
        <f t="shared" si="130"/>
        <v>0</v>
      </c>
      <c r="I249" s="7">
        <f t="shared" si="130"/>
        <v>0</v>
      </c>
      <c r="J249" s="7">
        <f t="shared" si="130"/>
        <v>0</v>
      </c>
      <c r="K249" s="7">
        <f t="shared" si="130"/>
        <v>0</v>
      </c>
      <c r="L249" s="7">
        <f t="shared" si="130"/>
        <v>0</v>
      </c>
      <c r="M249" s="13" t="s">
        <v>178</v>
      </c>
      <c r="N249" s="7"/>
      <c r="O249" s="7"/>
      <c r="P249" s="7"/>
      <c r="Q249" s="7"/>
      <c r="R249" s="7"/>
      <c r="S249" s="7"/>
      <c r="T249" s="7"/>
      <c r="U249" s="7"/>
      <c r="V249" s="7"/>
      <c r="W249" s="202"/>
      <c r="X249" s="159">
        <v>0</v>
      </c>
    </row>
    <row r="250" spans="1:24" hidden="1" x14ac:dyDescent="0.3">
      <c r="A250" s="7">
        <v>0</v>
      </c>
      <c r="B250" s="7">
        <f t="shared" si="130"/>
        <v>0</v>
      </c>
      <c r="C250" s="7">
        <f t="shared" si="130"/>
        <v>0</v>
      </c>
      <c r="D250" s="7">
        <f t="shared" si="130"/>
        <v>0</v>
      </c>
      <c r="E250" s="7">
        <f t="shared" si="130"/>
        <v>0</v>
      </c>
      <c r="F250" s="7">
        <f t="shared" si="130"/>
        <v>0</v>
      </c>
      <c r="G250" s="7">
        <f t="shared" si="130"/>
        <v>0</v>
      </c>
      <c r="H250" s="7">
        <f t="shared" si="130"/>
        <v>0</v>
      </c>
      <c r="I250" s="7">
        <f t="shared" si="130"/>
        <v>0</v>
      </c>
      <c r="J250" s="7">
        <f t="shared" si="130"/>
        <v>0</v>
      </c>
      <c r="K250" s="7">
        <f t="shared" si="130"/>
        <v>0</v>
      </c>
      <c r="L250" s="7">
        <f t="shared" si="130"/>
        <v>0</v>
      </c>
      <c r="M250" s="187" t="s">
        <v>179</v>
      </c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159">
        <v>0</v>
      </c>
    </row>
    <row r="251" spans="1:24" hidden="1" x14ac:dyDescent="0.3">
      <c r="A251" s="7">
        <v>0</v>
      </c>
      <c r="B251" s="7">
        <f t="shared" ref="B251:L259" si="131">A251+B121</f>
        <v>0</v>
      </c>
      <c r="C251" s="7">
        <f t="shared" si="131"/>
        <v>0</v>
      </c>
      <c r="D251" s="7">
        <f t="shared" si="131"/>
        <v>0</v>
      </c>
      <c r="E251" s="7">
        <f t="shared" si="131"/>
        <v>0</v>
      </c>
      <c r="F251" s="7">
        <f t="shared" si="131"/>
        <v>0</v>
      </c>
      <c r="G251" s="7">
        <f t="shared" si="131"/>
        <v>0</v>
      </c>
      <c r="H251" s="7">
        <f t="shared" si="131"/>
        <v>0</v>
      </c>
      <c r="I251" s="7">
        <f t="shared" si="131"/>
        <v>0</v>
      </c>
      <c r="J251" s="7">
        <f t="shared" si="131"/>
        <v>0</v>
      </c>
      <c r="K251" s="7">
        <f t="shared" si="131"/>
        <v>0</v>
      </c>
      <c r="L251" s="7">
        <f t="shared" si="131"/>
        <v>0</v>
      </c>
      <c r="M251" s="13" t="s">
        <v>180</v>
      </c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159">
        <v>0</v>
      </c>
    </row>
    <row r="252" spans="1:24" hidden="1" x14ac:dyDescent="0.3">
      <c r="A252" s="7">
        <v>0</v>
      </c>
      <c r="B252" s="7">
        <f t="shared" si="131"/>
        <v>0</v>
      </c>
      <c r="C252" s="7">
        <f t="shared" si="131"/>
        <v>0</v>
      </c>
      <c r="D252" s="7">
        <f t="shared" si="131"/>
        <v>0</v>
      </c>
      <c r="E252" s="7">
        <f t="shared" si="131"/>
        <v>0</v>
      </c>
      <c r="F252" s="7">
        <f t="shared" si="131"/>
        <v>0</v>
      </c>
      <c r="G252" s="7">
        <f t="shared" si="131"/>
        <v>0</v>
      </c>
      <c r="H252" s="7">
        <f t="shared" si="131"/>
        <v>0</v>
      </c>
      <c r="I252" s="7">
        <f t="shared" si="131"/>
        <v>0</v>
      </c>
      <c r="J252" s="7">
        <f t="shared" si="131"/>
        <v>0</v>
      </c>
      <c r="K252" s="7">
        <f t="shared" si="131"/>
        <v>0</v>
      </c>
      <c r="L252" s="7">
        <f t="shared" si="131"/>
        <v>0</v>
      </c>
      <c r="M252" s="13" t="s">
        <v>181</v>
      </c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159">
        <v>0</v>
      </c>
    </row>
    <row r="253" spans="1:24" hidden="1" x14ac:dyDescent="0.3">
      <c r="A253" s="7">
        <v>0</v>
      </c>
      <c r="B253" s="7">
        <f t="shared" si="131"/>
        <v>0</v>
      </c>
      <c r="C253" s="7">
        <f t="shared" si="131"/>
        <v>0</v>
      </c>
      <c r="D253" s="7">
        <f t="shared" si="131"/>
        <v>0</v>
      </c>
      <c r="E253" s="7">
        <f t="shared" si="131"/>
        <v>0</v>
      </c>
      <c r="F253" s="7">
        <f t="shared" si="131"/>
        <v>0</v>
      </c>
      <c r="G253" s="7">
        <f t="shared" si="131"/>
        <v>0</v>
      </c>
      <c r="H253" s="7">
        <f t="shared" si="131"/>
        <v>0</v>
      </c>
      <c r="I253" s="7">
        <f t="shared" si="131"/>
        <v>0</v>
      </c>
      <c r="J253" s="7">
        <f t="shared" si="131"/>
        <v>0</v>
      </c>
      <c r="K253" s="7">
        <f t="shared" si="131"/>
        <v>0</v>
      </c>
      <c r="L253" s="7">
        <f t="shared" si="131"/>
        <v>0</v>
      </c>
      <c r="M253" s="187" t="s">
        <v>182</v>
      </c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159">
        <v>0</v>
      </c>
    </row>
    <row r="254" spans="1:24" hidden="1" x14ac:dyDescent="0.3">
      <c r="A254" s="7">
        <v>0</v>
      </c>
      <c r="B254" s="7">
        <f t="shared" si="131"/>
        <v>0</v>
      </c>
      <c r="C254" s="7">
        <f t="shared" si="131"/>
        <v>0</v>
      </c>
      <c r="D254" s="7">
        <f t="shared" si="131"/>
        <v>0</v>
      </c>
      <c r="E254" s="7">
        <f t="shared" si="131"/>
        <v>0</v>
      </c>
      <c r="F254" s="7">
        <f t="shared" si="131"/>
        <v>0</v>
      </c>
      <c r="G254" s="7">
        <f t="shared" si="131"/>
        <v>0</v>
      </c>
      <c r="H254" s="7">
        <f t="shared" si="131"/>
        <v>0</v>
      </c>
      <c r="I254" s="7">
        <f t="shared" si="131"/>
        <v>0</v>
      </c>
      <c r="J254" s="7">
        <f t="shared" si="131"/>
        <v>0</v>
      </c>
      <c r="K254" s="7">
        <f t="shared" si="131"/>
        <v>0</v>
      </c>
      <c r="L254" s="7">
        <f t="shared" si="131"/>
        <v>0</v>
      </c>
      <c r="M254" s="13" t="s">
        <v>183</v>
      </c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159">
        <v>0</v>
      </c>
    </row>
    <row r="255" spans="1:24" hidden="1" x14ac:dyDescent="0.3">
      <c r="A255" s="11">
        <v>0</v>
      </c>
      <c r="B255" s="11">
        <f t="shared" si="131"/>
        <v>0</v>
      </c>
      <c r="C255" s="11">
        <f t="shared" si="131"/>
        <v>0</v>
      </c>
      <c r="D255" s="11">
        <f t="shared" si="131"/>
        <v>0</v>
      </c>
      <c r="E255" s="11">
        <f t="shared" si="131"/>
        <v>0</v>
      </c>
      <c r="F255" s="11">
        <f t="shared" si="131"/>
        <v>0</v>
      </c>
      <c r="G255" s="11">
        <f t="shared" si="131"/>
        <v>0</v>
      </c>
      <c r="H255" s="11">
        <f t="shared" si="131"/>
        <v>0</v>
      </c>
      <c r="I255" s="11">
        <f t="shared" si="131"/>
        <v>0</v>
      </c>
      <c r="J255" s="11">
        <f t="shared" si="131"/>
        <v>0</v>
      </c>
      <c r="K255" s="11">
        <f t="shared" si="131"/>
        <v>0</v>
      </c>
      <c r="L255" s="11">
        <f t="shared" si="131"/>
        <v>0</v>
      </c>
      <c r="M255" s="13" t="s">
        <v>184</v>
      </c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60">
        <v>0</v>
      </c>
    </row>
    <row r="256" spans="1:24" hidden="1" x14ac:dyDescent="0.3">
      <c r="A256" s="7"/>
      <c r="B256" s="7">
        <f t="shared" si="131"/>
        <v>0</v>
      </c>
      <c r="C256" s="7">
        <f t="shared" si="131"/>
        <v>0</v>
      </c>
      <c r="D256" s="7">
        <f t="shared" si="131"/>
        <v>0</v>
      </c>
      <c r="E256" s="7">
        <f t="shared" si="131"/>
        <v>0</v>
      </c>
      <c r="F256" s="7">
        <f t="shared" si="131"/>
        <v>0</v>
      </c>
      <c r="G256" s="7">
        <f t="shared" si="131"/>
        <v>0</v>
      </c>
      <c r="H256" s="7">
        <f t="shared" si="131"/>
        <v>0</v>
      </c>
      <c r="I256" s="7">
        <f t="shared" si="131"/>
        <v>0</v>
      </c>
      <c r="J256" s="7">
        <f t="shared" si="131"/>
        <v>0</v>
      </c>
      <c r="K256" s="7">
        <f t="shared" si="131"/>
        <v>0</v>
      </c>
      <c r="L256" s="7">
        <f t="shared" si="131"/>
        <v>0</v>
      </c>
      <c r="M256" s="13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159">
        <v>0</v>
      </c>
    </row>
    <row r="257" spans="1:24" hidden="1" x14ac:dyDescent="0.3">
      <c r="A257" s="4">
        <v>0</v>
      </c>
      <c r="B257" s="4">
        <f t="shared" si="131"/>
        <v>0</v>
      </c>
      <c r="C257" s="4">
        <f t="shared" si="131"/>
        <v>0</v>
      </c>
      <c r="D257" s="4">
        <f t="shared" si="131"/>
        <v>0</v>
      </c>
      <c r="E257" s="4">
        <f t="shared" si="131"/>
        <v>0</v>
      </c>
      <c r="F257" s="4">
        <f t="shared" si="131"/>
        <v>0</v>
      </c>
      <c r="G257" s="4">
        <f t="shared" si="131"/>
        <v>0</v>
      </c>
      <c r="H257" s="4">
        <f t="shared" si="131"/>
        <v>0</v>
      </c>
      <c r="I257" s="4">
        <f t="shared" si="131"/>
        <v>0</v>
      </c>
      <c r="J257" s="4">
        <f t="shared" si="131"/>
        <v>0</v>
      </c>
      <c r="K257" s="4">
        <f t="shared" si="131"/>
        <v>0</v>
      </c>
      <c r="L257" s="4">
        <f t="shared" si="131"/>
        <v>0</v>
      </c>
      <c r="M257" s="13" t="s">
        <v>185</v>
      </c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162">
        <v>0.31705386554621851</v>
      </c>
    </row>
    <row r="258" spans="1:24" hidden="1" x14ac:dyDescent="0.3">
      <c r="A258" s="82"/>
      <c r="B258" s="82">
        <f t="shared" si="131"/>
        <v>0</v>
      </c>
      <c r="C258" s="82">
        <f t="shared" si="131"/>
        <v>0</v>
      </c>
      <c r="D258" s="82">
        <f t="shared" si="131"/>
        <v>0</v>
      </c>
      <c r="E258" s="82">
        <f t="shared" si="131"/>
        <v>0</v>
      </c>
      <c r="F258" s="82">
        <f t="shared" si="131"/>
        <v>0</v>
      </c>
      <c r="G258" s="82">
        <f t="shared" si="131"/>
        <v>0</v>
      </c>
      <c r="H258" s="82">
        <f t="shared" si="131"/>
        <v>0</v>
      </c>
      <c r="I258" s="82">
        <f t="shared" si="131"/>
        <v>0</v>
      </c>
      <c r="J258" s="82">
        <f t="shared" si="131"/>
        <v>0</v>
      </c>
      <c r="K258" s="82">
        <f t="shared" si="131"/>
        <v>0</v>
      </c>
      <c r="L258" s="82">
        <f t="shared" si="131"/>
        <v>0</v>
      </c>
      <c r="M258" s="122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204">
        <v>0</v>
      </c>
    </row>
    <row r="259" spans="1:24" hidden="1" x14ac:dyDescent="0.3">
      <c r="A259" s="4">
        <v>255518.96</v>
      </c>
      <c r="B259" s="4">
        <f>A259+B129</f>
        <v>624396.27969739994</v>
      </c>
      <c r="C259" s="4">
        <f t="shared" si="131"/>
        <v>993273.59939479991</v>
      </c>
      <c r="D259" s="4">
        <f t="shared" si="131"/>
        <v>1365294.9190921998</v>
      </c>
      <c r="E259" s="4">
        <f t="shared" si="131"/>
        <v>1748192.3827895997</v>
      </c>
      <c r="F259" s="4">
        <f t="shared" si="131"/>
        <v>2117181.8384869997</v>
      </c>
      <c r="G259" s="4">
        <f t="shared" si="131"/>
        <v>2486059.1581843998</v>
      </c>
      <c r="H259" s="4">
        <f t="shared" si="131"/>
        <v>3043316.0278817997</v>
      </c>
      <c r="I259" s="4">
        <f t="shared" si="131"/>
        <v>3412193.3475791998</v>
      </c>
      <c r="J259" s="4">
        <f t="shared" si="131"/>
        <v>3781070.6672765999</v>
      </c>
      <c r="K259" s="4">
        <f t="shared" si="131"/>
        <v>4149947.986974</v>
      </c>
      <c r="L259" s="4">
        <f t="shared" si="131"/>
        <v>4529895.4498714004</v>
      </c>
      <c r="M259" s="13" t="s">
        <v>186</v>
      </c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162">
        <v>0.31081787138656397</v>
      </c>
    </row>
    <row r="260" spans="1:24" hidden="1" x14ac:dyDescent="0.3"/>
    <row r="261" spans="1:24" hidden="1" x14ac:dyDescent="0.3"/>
    <row r="262" spans="1:24" hidden="1" x14ac:dyDescent="0.3"/>
    <row r="263" spans="1:24" hidden="1" x14ac:dyDescent="0.3"/>
    <row r="264" spans="1:24" hidden="1" x14ac:dyDescent="0.3"/>
    <row r="265" spans="1:24" hidden="1" x14ac:dyDescent="0.3"/>
    <row r="266" spans="1:24" hidden="1" x14ac:dyDescent="0.3"/>
    <row r="267" spans="1:24" hidden="1" x14ac:dyDescent="0.3"/>
    <row r="268" spans="1:24" hidden="1" x14ac:dyDescent="0.3"/>
    <row r="269" spans="1:24" hidden="1" x14ac:dyDescent="0.3"/>
    <row r="270" spans="1:24" hidden="1" x14ac:dyDescent="0.3"/>
    <row r="271" spans="1:24" hidden="1" x14ac:dyDescent="0.3"/>
    <row r="272" spans="1:24" hidden="1" x14ac:dyDescent="0.3"/>
    <row r="273" spans="17:17" hidden="1" x14ac:dyDescent="0.3"/>
    <row r="274" spans="17:17" hidden="1" x14ac:dyDescent="0.3"/>
    <row r="275" spans="17:17" hidden="1" x14ac:dyDescent="0.3"/>
    <row r="276" spans="17:17" hidden="1" x14ac:dyDescent="0.3"/>
    <row r="277" spans="17:17" hidden="1" x14ac:dyDescent="0.3"/>
    <row r="278" spans="17:17" hidden="1" x14ac:dyDescent="0.3"/>
    <row r="279" spans="17:17" hidden="1" x14ac:dyDescent="0.3"/>
    <row r="280" spans="17:17" hidden="1" x14ac:dyDescent="0.3"/>
    <row r="281" spans="17:17" hidden="1" x14ac:dyDescent="0.3"/>
    <row r="282" spans="17:17" hidden="1" x14ac:dyDescent="0.3"/>
    <row r="283" spans="17:17" hidden="1" x14ac:dyDescent="0.3"/>
    <row r="285" spans="17:17" x14ac:dyDescent="0.3">
      <c r="Q285" s="295"/>
    </row>
  </sheetData>
  <mergeCells count="6">
    <mergeCell ref="A133:L133"/>
    <mergeCell ref="N133:W133"/>
    <mergeCell ref="M134:M135"/>
    <mergeCell ref="A3:L3"/>
    <mergeCell ref="M4:M5"/>
    <mergeCell ref="N3:X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3:AA132"/>
  <sheetViews>
    <sheetView zoomScale="60" zoomScaleNormal="60" workbookViewId="0">
      <pane xSplit="13" ySplit="6" topLeftCell="N85" activePane="bottomRight" state="frozen"/>
      <selection pane="topRight" activeCell="N1" sqref="N1"/>
      <selection pane="bottomLeft" activeCell="A7" sqref="A7"/>
      <selection pane="bottomRight" activeCell="P110" sqref="P110:Q110"/>
    </sheetView>
  </sheetViews>
  <sheetFormatPr defaultRowHeight="14.4" x14ac:dyDescent="0.3"/>
  <cols>
    <col min="1" max="4" width="13" bestFit="1" customWidth="1"/>
    <col min="5" max="6" width="13.5546875" bestFit="1" customWidth="1"/>
    <col min="7" max="7" width="13.109375" bestFit="1" customWidth="1"/>
    <col min="8" max="9" width="13.5546875" bestFit="1" customWidth="1"/>
    <col min="10" max="10" width="13" bestFit="1" customWidth="1"/>
    <col min="11" max="12" width="13.5546875" bestFit="1" customWidth="1"/>
    <col min="13" max="13" width="61.33203125" bestFit="1" customWidth="1"/>
    <col min="14" max="16" width="13.33203125" customWidth="1"/>
    <col min="17" max="17" width="24.44140625" customWidth="1"/>
    <col min="18" max="18" width="13.33203125" hidden="1" customWidth="1"/>
    <col min="19" max="20" width="13.33203125" style="167" hidden="1" customWidth="1"/>
    <col min="21" max="21" width="21.5546875" style="167" hidden="1" customWidth="1"/>
    <col min="22" max="22" width="13.33203125" style="167" hidden="1" customWidth="1"/>
    <col min="23" max="23" width="27.5546875" hidden="1" customWidth="1"/>
    <col min="24" max="24" width="17.33203125" customWidth="1"/>
    <col min="26" max="27" width="13.33203125" style="167" customWidth="1"/>
  </cols>
  <sheetData>
    <row r="3" spans="1:27" x14ac:dyDescent="0.3">
      <c r="A3" s="408" t="s">
        <v>231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14" t="s">
        <v>69</v>
      </c>
      <c r="N3" s="424" t="s">
        <v>226</v>
      </c>
      <c r="O3" s="425"/>
      <c r="P3" s="425"/>
      <c r="Q3" s="425"/>
      <c r="R3" s="425"/>
      <c r="S3" s="425"/>
      <c r="T3" s="425"/>
      <c r="U3" s="425"/>
      <c r="V3" s="425"/>
      <c r="W3" s="425"/>
      <c r="X3" s="213"/>
    </row>
    <row r="4" spans="1:27" ht="60" customHeight="1" x14ac:dyDescent="0.3">
      <c r="A4" s="125">
        <v>44287</v>
      </c>
      <c r="B4" s="125">
        <v>44317</v>
      </c>
      <c r="C4" s="125">
        <v>44348</v>
      </c>
      <c r="D4" s="125">
        <v>44378</v>
      </c>
      <c r="E4" s="125">
        <v>44409</v>
      </c>
      <c r="F4" s="125">
        <v>44440</v>
      </c>
      <c r="G4" s="125">
        <v>44470</v>
      </c>
      <c r="H4" s="125">
        <v>44501</v>
      </c>
      <c r="I4" s="125">
        <v>44531</v>
      </c>
      <c r="J4" s="125">
        <v>44562</v>
      </c>
      <c r="K4" s="125">
        <v>44593</v>
      </c>
      <c r="L4" s="125">
        <v>44621</v>
      </c>
      <c r="M4" s="429" t="s">
        <v>265</v>
      </c>
      <c r="N4" s="243" t="s">
        <v>411</v>
      </c>
      <c r="O4" s="243" t="s">
        <v>413</v>
      </c>
      <c r="P4" s="243" t="s">
        <v>406</v>
      </c>
      <c r="Q4" s="243" t="s">
        <v>406</v>
      </c>
      <c r="R4" s="243" t="s">
        <v>228</v>
      </c>
      <c r="S4" s="243" t="s">
        <v>378</v>
      </c>
      <c r="T4" s="243" t="s">
        <v>294</v>
      </c>
      <c r="U4" s="243" t="s">
        <v>74</v>
      </c>
      <c r="V4" s="243" t="s">
        <v>295</v>
      </c>
      <c r="W4" s="125" t="s">
        <v>229</v>
      </c>
      <c r="X4" s="213" t="s">
        <v>271</v>
      </c>
    </row>
    <row r="5" spans="1:27" ht="27.6" x14ac:dyDescent="0.3">
      <c r="A5" s="10" t="s">
        <v>1</v>
      </c>
      <c r="B5" s="10" t="s">
        <v>1</v>
      </c>
      <c r="C5" s="10" t="s">
        <v>1</v>
      </c>
      <c r="D5" s="10" t="s">
        <v>1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430"/>
      <c r="N5" s="201" t="s">
        <v>2</v>
      </c>
      <c r="O5" s="10" t="s">
        <v>1</v>
      </c>
      <c r="P5" s="289" t="s">
        <v>502</v>
      </c>
      <c r="Q5" s="289" t="s">
        <v>241</v>
      </c>
      <c r="R5" s="10" t="s">
        <v>399</v>
      </c>
      <c r="S5" s="289" t="s">
        <v>235</v>
      </c>
      <c r="T5" s="289" t="s">
        <v>235</v>
      </c>
      <c r="U5" s="289" t="s">
        <v>235</v>
      </c>
      <c r="V5" s="10" t="s">
        <v>399</v>
      </c>
      <c r="W5" s="10" t="s">
        <v>400</v>
      </c>
      <c r="X5" s="10" t="s">
        <v>13</v>
      </c>
    </row>
    <row r="6" spans="1:27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24"/>
      <c r="N6" s="1"/>
      <c r="O6" s="1"/>
      <c r="P6" s="1"/>
      <c r="Q6" s="1"/>
      <c r="R6" s="1"/>
      <c r="S6" s="1"/>
      <c r="T6" s="1"/>
      <c r="U6" s="1"/>
      <c r="V6" s="1"/>
      <c r="W6" s="1"/>
      <c r="X6" s="214"/>
    </row>
    <row r="7" spans="1:27" x14ac:dyDescent="0.3">
      <c r="A7" s="8">
        <f>$Q$7/12</f>
        <v>0</v>
      </c>
      <c r="B7" s="8">
        <f t="shared" ref="B7:L7" si="0">$Q$7/12</f>
        <v>0</v>
      </c>
      <c r="C7" s="8">
        <f t="shared" si="0"/>
        <v>0</v>
      </c>
      <c r="D7" s="8">
        <f t="shared" si="0"/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/>
      <c r="K7" s="8">
        <f t="shared" si="0"/>
        <v>0</v>
      </c>
      <c r="L7" s="8">
        <f t="shared" si="0"/>
        <v>0</v>
      </c>
      <c r="M7" s="238" t="s">
        <v>414</v>
      </c>
      <c r="N7" s="8">
        <f>SUM(0)</f>
        <v>0</v>
      </c>
      <c r="O7" s="8">
        <f>SUM(A7:L7)</f>
        <v>0</v>
      </c>
      <c r="P7" s="8">
        <f>SUM(N7:O7)</f>
        <v>0</v>
      </c>
      <c r="Q7" s="8">
        <v>0</v>
      </c>
      <c r="R7" s="8">
        <f>Q7-P7</f>
        <v>0</v>
      </c>
      <c r="S7" s="8"/>
      <c r="T7" s="8"/>
      <c r="U7" s="8"/>
      <c r="V7" s="8">
        <f>U7-P7</f>
        <v>0</v>
      </c>
      <c r="W7" s="8"/>
      <c r="X7" s="215"/>
    </row>
    <row r="8" spans="1:27" x14ac:dyDescent="0.3">
      <c r="A8" s="7">
        <f>$Q$8/12</f>
        <v>0</v>
      </c>
      <c r="B8" s="7">
        <f t="shared" ref="B8:K8" si="1">$Q$8/12</f>
        <v>0</v>
      </c>
      <c r="C8" s="7">
        <f t="shared" si="1"/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  <c r="H8" s="7">
        <f t="shared" si="1"/>
        <v>0</v>
      </c>
      <c r="I8" s="7">
        <f t="shared" si="1"/>
        <v>0</v>
      </c>
      <c r="J8" s="7"/>
      <c r="K8" s="7">
        <f t="shared" si="1"/>
        <v>0</v>
      </c>
      <c r="L8" s="203">
        <f>$Q$8/12</f>
        <v>0</v>
      </c>
      <c r="M8" s="13" t="s">
        <v>415</v>
      </c>
      <c r="N8" s="7">
        <f t="shared" ref="N8:N16" si="2">SUM(0)</f>
        <v>0</v>
      </c>
      <c r="O8" s="7">
        <f t="shared" ref="O8:O16" si="3">SUM(A8:L8)</f>
        <v>0</v>
      </c>
      <c r="P8" s="7">
        <f t="shared" ref="P8:P71" si="4">SUM(N8:O8)</f>
        <v>0</v>
      </c>
      <c r="Q8" s="7">
        <v>0</v>
      </c>
      <c r="R8" s="7">
        <f t="shared" ref="R8:R16" si="5">Q8-P8</f>
        <v>0</v>
      </c>
      <c r="S8" s="7"/>
      <c r="T8" s="7"/>
      <c r="U8" s="7">
        <v>0</v>
      </c>
      <c r="V8" s="7">
        <f t="shared" ref="V8:V71" si="6">U8-P8</f>
        <v>0</v>
      </c>
      <c r="W8" s="7"/>
      <c r="X8" s="216">
        <f>IFERROR(N8/Q8,0)</f>
        <v>0</v>
      </c>
      <c r="Z8" s="182"/>
      <c r="AA8" s="182"/>
    </row>
    <row r="9" spans="1:27" x14ac:dyDescent="0.3">
      <c r="A9" s="7">
        <f>$Q$9/12</f>
        <v>0</v>
      </c>
      <c r="B9" s="7">
        <f t="shared" ref="B9:L9" si="7">$Q$9/12</f>
        <v>0</v>
      </c>
      <c r="C9" s="7">
        <f t="shared" si="7"/>
        <v>0</v>
      </c>
      <c r="D9" s="7">
        <f t="shared" si="7"/>
        <v>0</v>
      </c>
      <c r="E9" s="7">
        <f t="shared" si="7"/>
        <v>0</v>
      </c>
      <c r="F9" s="7">
        <f t="shared" si="7"/>
        <v>0</v>
      </c>
      <c r="G9" s="7">
        <f t="shared" si="7"/>
        <v>0</v>
      </c>
      <c r="H9" s="7">
        <f t="shared" si="7"/>
        <v>0</v>
      </c>
      <c r="I9" s="7">
        <f t="shared" si="7"/>
        <v>0</v>
      </c>
      <c r="J9" s="7"/>
      <c r="K9" s="7">
        <f t="shared" si="7"/>
        <v>0</v>
      </c>
      <c r="L9" s="7">
        <f t="shared" si="7"/>
        <v>0</v>
      </c>
      <c r="M9" s="13" t="s">
        <v>416</v>
      </c>
      <c r="N9" s="7">
        <f t="shared" si="2"/>
        <v>0</v>
      </c>
      <c r="O9" s="7">
        <f t="shared" si="3"/>
        <v>0</v>
      </c>
      <c r="P9" s="7">
        <f t="shared" si="4"/>
        <v>0</v>
      </c>
      <c r="Q9" s="7">
        <v>0</v>
      </c>
      <c r="R9" s="7">
        <f t="shared" si="5"/>
        <v>0</v>
      </c>
      <c r="S9" s="7"/>
      <c r="T9" s="7"/>
      <c r="U9" s="7">
        <v>0</v>
      </c>
      <c r="V9" s="7">
        <f t="shared" si="6"/>
        <v>0</v>
      </c>
      <c r="W9" s="7"/>
      <c r="X9" s="216">
        <f t="shared" ref="X9:X72" si="8">IFERROR(N9/Q9,0)</f>
        <v>0</v>
      </c>
      <c r="Z9" s="182"/>
      <c r="AA9" s="182"/>
    </row>
    <row r="10" spans="1:27" x14ac:dyDescent="0.3">
      <c r="A10" s="7">
        <f>$Q$10/12</f>
        <v>0</v>
      </c>
      <c r="B10" s="7">
        <f t="shared" ref="B10:L10" si="9">$Q$10/12</f>
        <v>0</v>
      </c>
      <c r="C10" s="7">
        <f t="shared" si="9"/>
        <v>0</v>
      </c>
      <c r="D10" s="7">
        <f t="shared" si="9"/>
        <v>0</v>
      </c>
      <c r="E10" s="7">
        <f t="shared" si="9"/>
        <v>0</v>
      </c>
      <c r="F10" s="7">
        <f t="shared" si="9"/>
        <v>0</v>
      </c>
      <c r="G10" s="7">
        <f t="shared" si="9"/>
        <v>0</v>
      </c>
      <c r="H10" s="7">
        <f t="shared" si="9"/>
        <v>0</v>
      </c>
      <c r="I10" s="7">
        <f t="shared" si="9"/>
        <v>0</v>
      </c>
      <c r="J10" s="7"/>
      <c r="K10" s="7">
        <f t="shared" si="9"/>
        <v>0</v>
      </c>
      <c r="L10" s="7">
        <f t="shared" si="9"/>
        <v>0</v>
      </c>
      <c r="M10" s="13" t="s">
        <v>417</v>
      </c>
      <c r="N10" s="7">
        <f t="shared" si="2"/>
        <v>0</v>
      </c>
      <c r="O10" s="7">
        <f t="shared" si="3"/>
        <v>0</v>
      </c>
      <c r="P10" s="7">
        <f t="shared" si="4"/>
        <v>0</v>
      </c>
      <c r="Q10" s="7">
        <v>0</v>
      </c>
      <c r="R10" s="7">
        <f t="shared" si="5"/>
        <v>0</v>
      </c>
      <c r="S10" s="7"/>
      <c r="T10" s="7"/>
      <c r="U10" s="7">
        <v>0</v>
      </c>
      <c r="V10" s="7">
        <f t="shared" si="6"/>
        <v>0</v>
      </c>
      <c r="W10" s="7"/>
      <c r="X10" s="216">
        <f t="shared" si="8"/>
        <v>0</v>
      </c>
      <c r="Z10" s="182"/>
      <c r="AA10" s="182"/>
    </row>
    <row r="11" spans="1:27" x14ac:dyDescent="0.3">
      <c r="A11" s="7">
        <f>$Q$11/12</f>
        <v>0</v>
      </c>
      <c r="B11" s="7">
        <f t="shared" ref="B11:L11" si="10">$Q$11/12</f>
        <v>0</v>
      </c>
      <c r="C11" s="7">
        <f t="shared" si="10"/>
        <v>0</v>
      </c>
      <c r="D11" s="7">
        <f t="shared" si="10"/>
        <v>0</v>
      </c>
      <c r="E11" s="7">
        <f t="shared" si="10"/>
        <v>0</v>
      </c>
      <c r="F11" s="7">
        <f t="shared" si="10"/>
        <v>0</v>
      </c>
      <c r="G11" s="7">
        <f t="shared" si="10"/>
        <v>0</v>
      </c>
      <c r="H11" s="7">
        <f t="shared" si="10"/>
        <v>0</v>
      </c>
      <c r="I11" s="7">
        <f t="shared" si="10"/>
        <v>0</v>
      </c>
      <c r="J11" s="7"/>
      <c r="K11" s="7">
        <f t="shared" si="10"/>
        <v>0</v>
      </c>
      <c r="L11" s="7">
        <f t="shared" si="10"/>
        <v>0</v>
      </c>
      <c r="M11" s="13" t="s">
        <v>418</v>
      </c>
      <c r="N11" s="7">
        <f t="shared" si="2"/>
        <v>0</v>
      </c>
      <c r="O11" s="7">
        <f t="shared" si="3"/>
        <v>0</v>
      </c>
      <c r="P11" s="7">
        <f t="shared" si="4"/>
        <v>0</v>
      </c>
      <c r="Q11" s="7">
        <v>0</v>
      </c>
      <c r="R11" s="7">
        <f t="shared" si="5"/>
        <v>0</v>
      </c>
      <c r="S11" s="7"/>
      <c r="T11" s="7"/>
      <c r="U11" s="7">
        <v>0</v>
      </c>
      <c r="V11" s="7">
        <f t="shared" si="6"/>
        <v>0</v>
      </c>
      <c r="W11" s="7"/>
      <c r="X11" s="216">
        <f t="shared" si="8"/>
        <v>0</v>
      </c>
      <c r="Z11" s="182"/>
      <c r="AA11" s="182"/>
    </row>
    <row r="12" spans="1:27" x14ac:dyDescent="0.3">
      <c r="A12" s="7">
        <f>$Q$12/12</f>
        <v>0</v>
      </c>
      <c r="B12" s="7">
        <f t="shared" ref="B12:L12" si="11">$Q$12/12</f>
        <v>0</v>
      </c>
      <c r="C12" s="7">
        <f t="shared" si="11"/>
        <v>0</v>
      </c>
      <c r="D12" s="7">
        <f t="shared" si="11"/>
        <v>0</v>
      </c>
      <c r="E12" s="7">
        <f t="shared" si="11"/>
        <v>0</v>
      </c>
      <c r="F12" s="7">
        <f t="shared" si="11"/>
        <v>0</v>
      </c>
      <c r="G12" s="7">
        <f t="shared" si="11"/>
        <v>0</v>
      </c>
      <c r="H12" s="7">
        <f t="shared" si="11"/>
        <v>0</v>
      </c>
      <c r="I12" s="7">
        <f t="shared" si="11"/>
        <v>0</v>
      </c>
      <c r="J12" s="7"/>
      <c r="K12" s="7">
        <f t="shared" si="11"/>
        <v>0</v>
      </c>
      <c r="L12" s="7">
        <f t="shared" si="11"/>
        <v>0</v>
      </c>
      <c r="M12" s="13" t="s">
        <v>419</v>
      </c>
      <c r="N12" s="7">
        <f t="shared" si="2"/>
        <v>0</v>
      </c>
      <c r="O12" s="7">
        <f t="shared" si="3"/>
        <v>0</v>
      </c>
      <c r="P12" s="7">
        <f t="shared" si="4"/>
        <v>0</v>
      </c>
      <c r="Q12" s="7">
        <v>0</v>
      </c>
      <c r="R12" s="7">
        <f t="shared" si="5"/>
        <v>0</v>
      </c>
      <c r="S12" s="7"/>
      <c r="T12" s="7"/>
      <c r="U12" s="7">
        <v>0</v>
      </c>
      <c r="V12" s="7">
        <f t="shared" si="6"/>
        <v>0</v>
      </c>
      <c r="W12" s="7"/>
      <c r="X12" s="216">
        <f t="shared" si="8"/>
        <v>0</v>
      </c>
      <c r="Z12" s="182"/>
      <c r="AA12" s="182"/>
    </row>
    <row r="13" spans="1:27" x14ac:dyDescent="0.3">
      <c r="A13" s="7">
        <f>$Q$13/12</f>
        <v>0</v>
      </c>
      <c r="B13" s="7">
        <f t="shared" ref="B13:L13" si="12">$Q$13/12</f>
        <v>0</v>
      </c>
      <c r="C13" s="7">
        <f t="shared" si="12"/>
        <v>0</v>
      </c>
      <c r="D13" s="7">
        <f t="shared" si="12"/>
        <v>0</v>
      </c>
      <c r="E13" s="7">
        <f t="shared" si="12"/>
        <v>0</v>
      </c>
      <c r="F13" s="7">
        <f t="shared" si="12"/>
        <v>0</v>
      </c>
      <c r="G13" s="7">
        <f t="shared" si="12"/>
        <v>0</v>
      </c>
      <c r="H13" s="7">
        <f t="shared" si="12"/>
        <v>0</v>
      </c>
      <c r="I13" s="7">
        <f t="shared" si="12"/>
        <v>0</v>
      </c>
      <c r="J13" s="7"/>
      <c r="K13" s="7">
        <f t="shared" si="12"/>
        <v>0</v>
      </c>
      <c r="L13" s="7">
        <f t="shared" si="12"/>
        <v>0</v>
      </c>
      <c r="M13" s="13" t="s">
        <v>420</v>
      </c>
      <c r="N13" s="7">
        <f t="shared" si="2"/>
        <v>0</v>
      </c>
      <c r="O13" s="7">
        <f t="shared" si="3"/>
        <v>0</v>
      </c>
      <c r="P13" s="7">
        <f t="shared" si="4"/>
        <v>0</v>
      </c>
      <c r="Q13" s="7">
        <v>0</v>
      </c>
      <c r="R13" s="7">
        <f t="shared" si="5"/>
        <v>0</v>
      </c>
      <c r="S13" s="7"/>
      <c r="T13" s="7"/>
      <c r="U13" s="7">
        <v>0</v>
      </c>
      <c r="V13" s="7">
        <f t="shared" si="6"/>
        <v>0</v>
      </c>
      <c r="W13" s="7"/>
      <c r="X13" s="216">
        <f t="shared" si="8"/>
        <v>0</v>
      </c>
      <c r="Z13" s="182"/>
      <c r="AA13" s="182"/>
    </row>
    <row r="14" spans="1:27" x14ac:dyDescent="0.3">
      <c r="A14" s="7">
        <f>$Q$14/12</f>
        <v>0</v>
      </c>
      <c r="B14" s="7">
        <f t="shared" ref="B14:L14" si="13">$Q$14/12</f>
        <v>0</v>
      </c>
      <c r="C14" s="7">
        <f t="shared" si="13"/>
        <v>0</v>
      </c>
      <c r="D14" s="7">
        <f t="shared" si="13"/>
        <v>0</v>
      </c>
      <c r="E14" s="7">
        <f t="shared" si="13"/>
        <v>0</v>
      </c>
      <c r="F14" s="7">
        <f t="shared" si="13"/>
        <v>0</v>
      </c>
      <c r="G14" s="7">
        <f t="shared" si="13"/>
        <v>0</v>
      </c>
      <c r="H14" s="7">
        <f t="shared" si="13"/>
        <v>0</v>
      </c>
      <c r="I14" s="7">
        <f t="shared" si="13"/>
        <v>0</v>
      </c>
      <c r="J14" s="7"/>
      <c r="K14" s="7">
        <f t="shared" si="13"/>
        <v>0</v>
      </c>
      <c r="L14" s="7">
        <f t="shared" si="13"/>
        <v>0</v>
      </c>
      <c r="M14" s="13" t="s">
        <v>421</v>
      </c>
      <c r="N14" s="7">
        <f t="shared" si="2"/>
        <v>0</v>
      </c>
      <c r="O14" s="7">
        <f t="shared" si="3"/>
        <v>0</v>
      </c>
      <c r="P14" s="7">
        <f t="shared" si="4"/>
        <v>0</v>
      </c>
      <c r="Q14" s="7">
        <v>0</v>
      </c>
      <c r="R14" s="7">
        <f t="shared" si="5"/>
        <v>0</v>
      </c>
      <c r="S14" s="7"/>
      <c r="T14" s="7"/>
      <c r="U14" s="7">
        <v>0</v>
      </c>
      <c r="V14" s="7">
        <f t="shared" si="6"/>
        <v>0</v>
      </c>
      <c r="W14" s="7"/>
      <c r="X14" s="216">
        <f t="shared" si="8"/>
        <v>0</v>
      </c>
      <c r="Z14" s="182"/>
      <c r="AA14" s="182"/>
    </row>
    <row r="15" spans="1:27" x14ac:dyDescent="0.3">
      <c r="A15" s="7">
        <f>$Q$15/12</f>
        <v>0</v>
      </c>
      <c r="B15" s="7">
        <f t="shared" ref="B15:L15" si="14">$Q$15/12</f>
        <v>0</v>
      </c>
      <c r="C15" s="7">
        <f t="shared" si="14"/>
        <v>0</v>
      </c>
      <c r="D15" s="7">
        <f t="shared" si="14"/>
        <v>0</v>
      </c>
      <c r="E15" s="7">
        <f t="shared" si="14"/>
        <v>0</v>
      </c>
      <c r="F15" s="7">
        <f t="shared" si="14"/>
        <v>0</v>
      </c>
      <c r="G15" s="7">
        <f t="shared" si="14"/>
        <v>0</v>
      </c>
      <c r="H15" s="7">
        <f t="shared" si="14"/>
        <v>0</v>
      </c>
      <c r="I15" s="7">
        <f t="shared" si="14"/>
        <v>0</v>
      </c>
      <c r="J15" s="7"/>
      <c r="K15" s="7">
        <f t="shared" si="14"/>
        <v>0</v>
      </c>
      <c r="L15" s="7">
        <f t="shared" si="14"/>
        <v>0</v>
      </c>
      <c r="M15" s="13" t="s">
        <v>422</v>
      </c>
      <c r="N15" s="7">
        <f t="shared" si="2"/>
        <v>0</v>
      </c>
      <c r="O15" s="7">
        <f t="shared" si="3"/>
        <v>0</v>
      </c>
      <c r="P15" s="7">
        <f t="shared" si="4"/>
        <v>0</v>
      </c>
      <c r="Q15" s="7">
        <v>0</v>
      </c>
      <c r="R15" s="7">
        <f t="shared" si="5"/>
        <v>0</v>
      </c>
      <c r="S15" s="7"/>
      <c r="T15" s="7"/>
      <c r="U15" s="7">
        <v>0</v>
      </c>
      <c r="V15" s="7">
        <f t="shared" si="6"/>
        <v>0</v>
      </c>
      <c r="W15" s="7"/>
      <c r="X15" s="216">
        <f t="shared" si="8"/>
        <v>0</v>
      </c>
      <c r="Z15" s="182"/>
      <c r="AA15" s="182"/>
    </row>
    <row r="16" spans="1:27" x14ac:dyDescent="0.3">
      <c r="A16" s="11">
        <f>$Q$16/12</f>
        <v>0</v>
      </c>
      <c r="B16" s="11">
        <f t="shared" ref="B16:L16" si="15">$Q$16/12</f>
        <v>0</v>
      </c>
      <c r="C16" s="11">
        <f t="shared" si="15"/>
        <v>0</v>
      </c>
      <c r="D16" s="11">
        <f t="shared" si="15"/>
        <v>0</v>
      </c>
      <c r="E16" s="11">
        <f t="shared" si="15"/>
        <v>0</v>
      </c>
      <c r="F16" s="11">
        <f t="shared" si="15"/>
        <v>0</v>
      </c>
      <c r="G16" s="11">
        <f t="shared" si="15"/>
        <v>0</v>
      </c>
      <c r="H16" s="11">
        <f t="shared" si="15"/>
        <v>0</v>
      </c>
      <c r="I16" s="11">
        <f t="shared" si="15"/>
        <v>0</v>
      </c>
      <c r="J16" s="11"/>
      <c r="K16" s="11">
        <f t="shared" si="15"/>
        <v>0</v>
      </c>
      <c r="L16" s="11">
        <f t="shared" si="15"/>
        <v>0</v>
      </c>
      <c r="M16" s="13" t="s">
        <v>423</v>
      </c>
      <c r="N16" s="11">
        <f t="shared" si="2"/>
        <v>0</v>
      </c>
      <c r="O16" s="11">
        <f t="shared" si="3"/>
        <v>0</v>
      </c>
      <c r="P16" s="11">
        <f t="shared" si="4"/>
        <v>0</v>
      </c>
      <c r="Q16" s="11">
        <v>0</v>
      </c>
      <c r="R16" s="11">
        <f t="shared" si="5"/>
        <v>0</v>
      </c>
      <c r="S16" s="11"/>
      <c r="T16" s="11"/>
      <c r="U16" s="11">
        <v>0</v>
      </c>
      <c r="V16" s="11">
        <f t="shared" si="6"/>
        <v>0</v>
      </c>
      <c r="W16" s="11"/>
      <c r="X16" s="218">
        <f t="shared" si="8"/>
        <v>0</v>
      </c>
      <c r="Z16" s="182"/>
      <c r="AA16" s="182"/>
    </row>
    <row r="17" spans="1:27" x14ac:dyDescent="0.3">
      <c r="A17" s="81"/>
      <c r="B17" s="81"/>
      <c r="C17" s="81"/>
      <c r="D17" s="85"/>
      <c r="E17" s="83"/>
      <c r="F17" s="83"/>
      <c r="G17" s="83"/>
      <c r="H17" s="83"/>
      <c r="I17" s="83"/>
      <c r="J17" s="83"/>
      <c r="K17" s="84"/>
      <c r="L17" s="84"/>
      <c r="M17" s="13"/>
      <c r="N17" s="83">
        <f t="shared" ref="N17:N66" si="16">SUM(A17:J17)</f>
        <v>0</v>
      </c>
      <c r="O17" s="83">
        <f t="shared" ref="O17:O66" si="17">SUM(K17:L17)</f>
        <v>0</v>
      </c>
      <c r="P17" s="83">
        <f t="shared" si="4"/>
        <v>0</v>
      </c>
      <c r="Q17" s="81">
        <v>0</v>
      </c>
      <c r="R17" s="81"/>
      <c r="S17" s="81"/>
      <c r="T17" s="81"/>
      <c r="U17" s="81">
        <v>0</v>
      </c>
      <c r="V17" s="81">
        <f t="shared" si="6"/>
        <v>0</v>
      </c>
      <c r="W17" s="81"/>
      <c r="X17" s="223"/>
      <c r="Z17" s="182"/>
      <c r="AA17" s="182"/>
    </row>
    <row r="18" spans="1:27" x14ac:dyDescent="0.3">
      <c r="A18" s="4">
        <f>SUM(A7:A16)</f>
        <v>0</v>
      </c>
      <c r="B18" s="4">
        <f t="shared" ref="B18:L18" si="18">SUM(B7:B16)</f>
        <v>0</v>
      </c>
      <c r="C18" s="4">
        <f t="shared" si="18"/>
        <v>0</v>
      </c>
      <c r="D18" s="4">
        <f t="shared" si="18"/>
        <v>0</v>
      </c>
      <c r="E18" s="4">
        <f t="shared" si="18"/>
        <v>0</v>
      </c>
      <c r="F18" s="4">
        <f t="shared" si="18"/>
        <v>0</v>
      </c>
      <c r="G18" s="4">
        <f t="shared" si="18"/>
        <v>0</v>
      </c>
      <c r="H18" s="4">
        <f t="shared" si="18"/>
        <v>0</v>
      </c>
      <c r="I18" s="4">
        <f t="shared" si="18"/>
        <v>0</v>
      </c>
      <c r="J18" s="4">
        <f t="shared" si="18"/>
        <v>0</v>
      </c>
      <c r="K18" s="4">
        <f t="shared" si="18"/>
        <v>0</v>
      </c>
      <c r="L18" s="4">
        <f t="shared" si="18"/>
        <v>0</v>
      </c>
      <c r="M18" s="13" t="s">
        <v>89</v>
      </c>
      <c r="N18" s="4">
        <f t="shared" ref="N18:O18" si="19">SUM(N7:N17)</f>
        <v>0</v>
      </c>
      <c r="O18" s="4">
        <f t="shared" si="19"/>
        <v>0</v>
      </c>
      <c r="P18" s="4">
        <f t="shared" ref="P18:Q18" si="20">SUM(P7:P17)</f>
        <v>0</v>
      </c>
      <c r="Q18" s="4">
        <f t="shared" si="20"/>
        <v>0</v>
      </c>
      <c r="R18" s="4">
        <f t="shared" ref="R18:W18" si="21">SUM(R8:R16)</f>
        <v>0</v>
      </c>
      <c r="S18" s="4"/>
      <c r="T18" s="4">
        <v>0</v>
      </c>
      <c r="U18" s="4">
        <v>0</v>
      </c>
      <c r="V18" s="4">
        <f t="shared" si="6"/>
        <v>0</v>
      </c>
      <c r="W18" s="4">
        <f t="shared" si="21"/>
        <v>0</v>
      </c>
      <c r="X18" s="225">
        <f t="shared" si="8"/>
        <v>0</v>
      </c>
      <c r="Z18" s="182"/>
      <c r="AA18" s="182"/>
    </row>
    <row r="19" spans="1:27" x14ac:dyDescent="0.3">
      <c r="A19" s="81"/>
      <c r="B19" s="81"/>
      <c r="C19" s="81"/>
      <c r="D19" s="82"/>
      <c r="E19" s="86"/>
      <c r="F19" s="86"/>
      <c r="G19" s="86"/>
      <c r="H19" s="87"/>
      <c r="I19" s="87"/>
      <c r="J19" s="87"/>
      <c r="K19" s="88"/>
      <c r="L19" s="88"/>
      <c r="M19" s="122"/>
      <c r="N19" s="86">
        <f t="shared" si="16"/>
        <v>0</v>
      </c>
      <c r="O19" s="86">
        <f t="shared" si="17"/>
        <v>0</v>
      </c>
      <c r="P19" s="86">
        <f t="shared" si="4"/>
        <v>0</v>
      </c>
      <c r="Q19" s="81">
        <v>0</v>
      </c>
      <c r="R19" s="81"/>
      <c r="S19" s="81"/>
      <c r="T19" s="81"/>
      <c r="U19" s="81">
        <v>0</v>
      </c>
      <c r="V19" s="81">
        <f t="shared" si="6"/>
        <v>0</v>
      </c>
      <c r="W19" s="81"/>
      <c r="X19" s="223"/>
      <c r="Z19" s="182"/>
      <c r="AA19" s="182"/>
    </row>
    <row r="20" spans="1:27" x14ac:dyDescent="0.3">
      <c r="A20" s="183">
        <f>$Q$20/12</f>
        <v>0</v>
      </c>
      <c r="B20" s="183">
        <f t="shared" ref="B20:L20" si="22">$Q$20/12</f>
        <v>0</v>
      </c>
      <c r="C20" s="183">
        <f t="shared" si="22"/>
        <v>0</v>
      </c>
      <c r="D20" s="183">
        <f t="shared" si="22"/>
        <v>0</v>
      </c>
      <c r="E20" s="183">
        <f t="shared" si="22"/>
        <v>0</v>
      </c>
      <c r="F20" s="183">
        <f t="shared" si="22"/>
        <v>0</v>
      </c>
      <c r="G20" s="183">
        <f t="shared" si="22"/>
        <v>0</v>
      </c>
      <c r="H20" s="183">
        <f t="shared" si="22"/>
        <v>0</v>
      </c>
      <c r="I20" s="183">
        <f t="shared" si="22"/>
        <v>0</v>
      </c>
      <c r="J20" s="183"/>
      <c r="K20" s="183">
        <f t="shared" si="22"/>
        <v>0</v>
      </c>
      <c r="L20" s="183">
        <f t="shared" si="22"/>
        <v>0</v>
      </c>
      <c r="M20" s="238" t="s">
        <v>424</v>
      </c>
      <c r="N20" s="8">
        <f t="shared" ref="N20:N26" si="23">SUM(0)</f>
        <v>0</v>
      </c>
      <c r="O20" s="8">
        <f t="shared" ref="O20:O26" si="24">SUM(A20:L20)</f>
        <v>0</v>
      </c>
      <c r="P20" s="8">
        <f t="shared" si="4"/>
        <v>0</v>
      </c>
      <c r="Q20" s="8">
        <v>0</v>
      </c>
      <c r="R20" s="8">
        <f t="shared" ref="R20:R26" si="25">Q20-P20</f>
        <v>0</v>
      </c>
      <c r="S20" s="8"/>
      <c r="T20" s="8"/>
      <c r="U20" s="8">
        <v>0</v>
      </c>
      <c r="V20" s="8">
        <f t="shared" si="6"/>
        <v>0</v>
      </c>
      <c r="W20" s="8"/>
      <c r="X20" s="215">
        <f t="shared" si="8"/>
        <v>0</v>
      </c>
      <c r="Z20" s="182"/>
      <c r="AA20" s="182"/>
    </row>
    <row r="21" spans="1:27" x14ac:dyDescent="0.3">
      <c r="A21" s="7">
        <f>$Q$21/12</f>
        <v>0</v>
      </c>
      <c r="B21" s="7">
        <f t="shared" ref="B21:L21" si="26">$Q$21/12</f>
        <v>0</v>
      </c>
      <c r="C21" s="7">
        <f t="shared" si="26"/>
        <v>0</v>
      </c>
      <c r="D21" s="7">
        <f t="shared" si="26"/>
        <v>0</v>
      </c>
      <c r="E21" s="7">
        <f t="shared" si="26"/>
        <v>0</v>
      </c>
      <c r="F21" s="7">
        <f t="shared" si="26"/>
        <v>0</v>
      </c>
      <c r="G21" s="7">
        <f t="shared" si="26"/>
        <v>0</v>
      </c>
      <c r="H21" s="7">
        <f t="shared" si="26"/>
        <v>0</v>
      </c>
      <c r="I21" s="7">
        <f t="shared" si="26"/>
        <v>0</v>
      </c>
      <c r="J21" s="7"/>
      <c r="K21" s="7">
        <f t="shared" si="26"/>
        <v>0</v>
      </c>
      <c r="L21" s="7">
        <f t="shared" si="26"/>
        <v>0</v>
      </c>
      <c r="M21" s="13" t="s">
        <v>425</v>
      </c>
      <c r="N21" s="7">
        <f t="shared" si="23"/>
        <v>0</v>
      </c>
      <c r="O21" s="7">
        <f t="shared" si="24"/>
        <v>0</v>
      </c>
      <c r="P21" s="7">
        <f t="shared" si="4"/>
        <v>0</v>
      </c>
      <c r="Q21" s="7">
        <v>0</v>
      </c>
      <c r="R21" s="7">
        <f t="shared" si="25"/>
        <v>0</v>
      </c>
      <c r="S21" s="7"/>
      <c r="T21" s="7">
        <v>0</v>
      </c>
      <c r="U21" s="7">
        <v>0</v>
      </c>
      <c r="V21" s="7">
        <f t="shared" si="6"/>
        <v>0</v>
      </c>
      <c r="W21" s="7"/>
      <c r="X21" s="216">
        <f t="shared" si="8"/>
        <v>0</v>
      </c>
      <c r="Z21" s="182"/>
      <c r="AA21" s="182"/>
    </row>
    <row r="22" spans="1:27" x14ac:dyDescent="0.3">
      <c r="A22" s="7">
        <f>$Q$22/12</f>
        <v>0</v>
      </c>
      <c r="B22" s="7">
        <f t="shared" ref="B22:L22" si="27">$Q$22/12</f>
        <v>0</v>
      </c>
      <c r="C22" s="7">
        <f t="shared" si="27"/>
        <v>0</v>
      </c>
      <c r="D22" s="7">
        <f t="shared" si="27"/>
        <v>0</v>
      </c>
      <c r="E22" s="7">
        <f t="shared" si="27"/>
        <v>0</v>
      </c>
      <c r="F22" s="7">
        <f t="shared" si="27"/>
        <v>0</v>
      </c>
      <c r="G22" s="7">
        <f t="shared" si="27"/>
        <v>0</v>
      </c>
      <c r="H22" s="7">
        <f t="shared" si="27"/>
        <v>0</v>
      </c>
      <c r="I22" s="7">
        <f t="shared" si="27"/>
        <v>0</v>
      </c>
      <c r="J22" s="7"/>
      <c r="K22" s="7">
        <f t="shared" si="27"/>
        <v>0</v>
      </c>
      <c r="L22" s="7">
        <f t="shared" si="27"/>
        <v>0</v>
      </c>
      <c r="M22" s="13" t="s">
        <v>426</v>
      </c>
      <c r="N22" s="7">
        <f t="shared" si="23"/>
        <v>0</v>
      </c>
      <c r="O22" s="7">
        <f t="shared" si="24"/>
        <v>0</v>
      </c>
      <c r="P22" s="7">
        <f t="shared" si="4"/>
        <v>0</v>
      </c>
      <c r="Q22" s="7">
        <v>0</v>
      </c>
      <c r="R22" s="7">
        <f t="shared" si="25"/>
        <v>0</v>
      </c>
      <c r="S22" s="7"/>
      <c r="T22" s="7"/>
      <c r="U22" s="7">
        <v>0</v>
      </c>
      <c r="V22" s="7">
        <f t="shared" si="6"/>
        <v>0</v>
      </c>
      <c r="W22" s="7"/>
      <c r="X22" s="216">
        <f t="shared" si="8"/>
        <v>0</v>
      </c>
      <c r="Z22" s="182"/>
      <c r="AA22" s="182"/>
    </row>
    <row r="23" spans="1:27" x14ac:dyDescent="0.3">
      <c r="A23" s="7">
        <f>$Q$23/12</f>
        <v>0</v>
      </c>
      <c r="B23" s="7">
        <f t="shared" ref="B23:L23" si="28">$Q$23/12</f>
        <v>0</v>
      </c>
      <c r="C23" s="7">
        <f t="shared" si="28"/>
        <v>0</v>
      </c>
      <c r="D23" s="7">
        <f t="shared" si="28"/>
        <v>0</v>
      </c>
      <c r="E23" s="7">
        <f t="shared" si="28"/>
        <v>0</v>
      </c>
      <c r="F23" s="7">
        <f t="shared" si="28"/>
        <v>0</v>
      </c>
      <c r="G23" s="7">
        <f t="shared" si="28"/>
        <v>0</v>
      </c>
      <c r="H23" s="7">
        <f t="shared" si="28"/>
        <v>0</v>
      </c>
      <c r="I23" s="7">
        <f t="shared" si="28"/>
        <v>0</v>
      </c>
      <c r="J23" s="7"/>
      <c r="K23" s="7">
        <f t="shared" si="28"/>
        <v>0</v>
      </c>
      <c r="L23" s="7">
        <f t="shared" si="28"/>
        <v>0</v>
      </c>
      <c r="M23" s="125" t="s">
        <v>427</v>
      </c>
      <c r="N23" s="7">
        <f t="shared" si="23"/>
        <v>0</v>
      </c>
      <c r="O23" s="7">
        <f t="shared" si="24"/>
        <v>0</v>
      </c>
      <c r="P23" s="7">
        <f t="shared" si="4"/>
        <v>0</v>
      </c>
      <c r="Q23" s="7">
        <v>0</v>
      </c>
      <c r="R23" s="7">
        <f t="shared" si="25"/>
        <v>0</v>
      </c>
      <c r="S23" s="7"/>
      <c r="T23" s="7"/>
      <c r="U23" s="7">
        <v>0</v>
      </c>
      <c r="V23" s="7">
        <f t="shared" si="6"/>
        <v>0</v>
      </c>
      <c r="W23" s="7"/>
      <c r="X23" s="216">
        <f t="shared" si="8"/>
        <v>0</v>
      </c>
      <c r="Z23" s="182"/>
      <c r="AA23" s="182"/>
    </row>
    <row r="24" spans="1:27" x14ac:dyDescent="0.3">
      <c r="A24" s="7">
        <f>$Q$24/12</f>
        <v>0</v>
      </c>
      <c r="B24" s="7">
        <f t="shared" ref="B24:L24" si="29">$Q$24/12</f>
        <v>0</v>
      </c>
      <c r="C24" s="7">
        <f t="shared" si="29"/>
        <v>0</v>
      </c>
      <c r="D24" s="7">
        <f t="shared" si="29"/>
        <v>0</v>
      </c>
      <c r="E24" s="7">
        <f t="shared" si="29"/>
        <v>0</v>
      </c>
      <c r="F24" s="7">
        <f t="shared" si="29"/>
        <v>0</v>
      </c>
      <c r="G24" s="7">
        <f t="shared" si="29"/>
        <v>0</v>
      </c>
      <c r="H24" s="7">
        <f t="shared" si="29"/>
        <v>0</v>
      </c>
      <c r="I24" s="7">
        <f t="shared" si="29"/>
        <v>0</v>
      </c>
      <c r="J24" s="7"/>
      <c r="K24" s="7">
        <f t="shared" si="29"/>
        <v>0</v>
      </c>
      <c r="L24" s="7">
        <f t="shared" si="29"/>
        <v>0</v>
      </c>
      <c r="M24" s="125" t="s">
        <v>428</v>
      </c>
      <c r="N24" s="7">
        <f t="shared" si="23"/>
        <v>0</v>
      </c>
      <c r="O24" s="7">
        <f t="shared" si="24"/>
        <v>0</v>
      </c>
      <c r="P24" s="7">
        <f t="shared" si="4"/>
        <v>0</v>
      </c>
      <c r="Q24" s="7">
        <v>0</v>
      </c>
      <c r="R24" s="7">
        <f t="shared" si="25"/>
        <v>0</v>
      </c>
      <c r="S24" s="7"/>
      <c r="T24" s="7"/>
      <c r="U24" s="7">
        <v>0</v>
      </c>
      <c r="V24" s="7">
        <f t="shared" si="6"/>
        <v>0</v>
      </c>
      <c r="W24" s="7"/>
      <c r="X24" s="216">
        <f t="shared" si="8"/>
        <v>0</v>
      </c>
      <c r="Z24" s="182"/>
      <c r="AA24" s="182"/>
    </row>
    <row r="25" spans="1:27" x14ac:dyDescent="0.3">
      <c r="A25" s="7">
        <f>$Q$25/12</f>
        <v>0</v>
      </c>
      <c r="B25" s="7">
        <f t="shared" ref="B25:L25" si="30">$Q$25/12</f>
        <v>0</v>
      </c>
      <c r="C25" s="7">
        <f t="shared" si="30"/>
        <v>0</v>
      </c>
      <c r="D25" s="7">
        <f t="shared" si="30"/>
        <v>0</v>
      </c>
      <c r="E25" s="7">
        <f t="shared" si="30"/>
        <v>0</v>
      </c>
      <c r="F25" s="7">
        <f t="shared" si="30"/>
        <v>0</v>
      </c>
      <c r="G25" s="7">
        <f t="shared" si="30"/>
        <v>0</v>
      </c>
      <c r="H25" s="7">
        <f t="shared" si="30"/>
        <v>0</v>
      </c>
      <c r="I25" s="7">
        <f t="shared" si="30"/>
        <v>0</v>
      </c>
      <c r="J25" s="7"/>
      <c r="K25" s="7">
        <f t="shared" si="30"/>
        <v>0</v>
      </c>
      <c r="L25" s="7">
        <f t="shared" si="30"/>
        <v>0</v>
      </c>
      <c r="M25" s="13" t="s">
        <v>429</v>
      </c>
      <c r="N25" s="7">
        <f t="shared" si="23"/>
        <v>0</v>
      </c>
      <c r="O25" s="7">
        <f t="shared" si="24"/>
        <v>0</v>
      </c>
      <c r="P25" s="7">
        <f t="shared" si="4"/>
        <v>0</v>
      </c>
      <c r="Q25" s="7">
        <v>0</v>
      </c>
      <c r="R25" s="7">
        <f t="shared" si="25"/>
        <v>0</v>
      </c>
      <c r="S25" s="7"/>
      <c r="T25" s="7"/>
      <c r="U25" s="7">
        <v>0</v>
      </c>
      <c r="V25" s="7">
        <f t="shared" si="6"/>
        <v>0</v>
      </c>
      <c r="W25" s="7"/>
      <c r="X25" s="216">
        <f t="shared" si="8"/>
        <v>0</v>
      </c>
      <c r="Z25" s="182"/>
      <c r="AA25" s="182"/>
    </row>
    <row r="26" spans="1:27" x14ac:dyDescent="0.3">
      <c r="A26" s="11">
        <f>$Q$26/12</f>
        <v>0</v>
      </c>
      <c r="B26" s="11">
        <f t="shared" ref="B26:L26" si="31">$Q$26/12</f>
        <v>0</v>
      </c>
      <c r="C26" s="11">
        <f t="shared" si="31"/>
        <v>0</v>
      </c>
      <c r="D26" s="11">
        <f t="shared" si="31"/>
        <v>0</v>
      </c>
      <c r="E26" s="11">
        <f t="shared" si="31"/>
        <v>0</v>
      </c>
      <c r="F26" s="11">
        <f t="shared" si="31"/>
        <v>0</v>
      </c>
      <c r="G26" s="11">
        <f t="shared" si="31"/>
        <v>0</v>
      </c>
      <c r="H26" s="11">
        <f t="shared" si="31"/>
        <v>0</v>
      </c>
      <c r="I26" s="11">
        <f t="shared" si="31"/>
        <v>0</v>
      </c>
      <c r="J26" s="11"/>
      <c r="K26" s="11">
        <f t="shared" si="31"/>
        <v>0</v>
      </c>
      <c r="L26" s="11">
        <f t="shared" si="31"/>
        <v>0</v>
      </c>
      <c r="M26" s="13" t="s">
        <v>430</v>
      </c>
      <c r="N26" s="11">
        <f t="shared" si="23"/>
        <v>0</v>
      </c>
      <c r="O26" s="11">
        <f t="shared" si="24"/>
        <v>0</v>
      </c>
      <c r="P26" s="11">
        <f t="shared" si="4"/>
        <v>0</v>
      </c>
      <c r="Q26" s="11">
        <v>0</v>
      </c>
      <c r="R26" s="11">
        <f t="shared" si="25"/>
        <v>0</v>
      </c>
      <c r="S26" s="11"/>
      <c r="T26" s="11"/>
      <c r="U26" s="11">
        <v>0</v>
      </c>
      <c r="V26" s="11">
        <f t="shared" si="6"/>
        <v>0</v>
      </c>
      <c r="W26" s="11"/>
      <c r="X26" s="218">
        <f t="shared" si="8"/>
        <v>0</v>
      </c>
      <c r="Z26" s="182"/>
      <c r="AA26" s="182"/>
    </row>
    <row r="27" spans="1:27" x14ac:dyDescent="0.3">
      <c r="A27" s="81"/>
      <c r="B27" s="81"/>
      <c r="C27" s="81"/>
      <c r="D27" s="85"/>
      <c r="E27" s="83"/>
      <c r="F27" s="83"/>
      <c r="G27" s="83"/>
      <c r="H27" s="83"/>
      <c r="I27" s="83"/>
      <c r="J27" s="83"/>
      <c r="K27" s="84"/>
      <c r="L27" s="84"/>
      <c r="M27" s="13"/>
      <c r="N27" s="83">
        <f t="shared" si="16"/>
        <v>0</v>
      </c>
      <c r="O27" s="83">
        <f t="shared" si="17"/>
        <v>0</v>
      </c>
      <c r="P27" s="83">
        <f t="shared" si="4"/>
        <v>0</v>
      </c>
      <c r="Q27" s="81">
        <v>0</v>
      </c>
      <c r="R27" s="81"/>
      <c r="S27" s="81"/>
      <c r="T27" s="81"/>
      <c r="U27" s="81">
        <v>0</v>
      </c>
      <c r="V27" s="81">
        <f t="shared" si="6"/>
        <v>0</v>
      </c>
      <c r="W27" s="81"/>
      <c r="X27" s="223">
        <f t="shared" si="8"/>
        <v>0</v>
      </c>
      <c r="Z27" s="182"/>
      <c r="AA27" s="182"/>
    </row>
    <row r="28" spans="1:27" x14ac:dyDescent="0.3">
      <c r="A28" s="4">
        <f>SUM(A20:A26)</f>
        <v>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13" t="s">
        <v>97</v>
      </c>
      <c r="N28" s="4">
        <f t="shared" ref="N28:O28" si="32">SUM(N20:N26)</f>
        <v>0</v>
      </c>
      <c r="O28" s="4">
        <f t="shared" si="32"/>
        <v>0</v>
      </c>
      <c r="P28" s="4">
        <f t="shared" ref="P28:Q28" si="33">SUM(P20:P26)</f>
        <v>0</v>
      </c>
      <c r="Q28" s="4">
        <f t="shared" si="33"/>
        <v>0</v>
      </c>
      <c r="R28" s="4">
        <f t="shared" ref="R28:W28" si="34">SUM(R20:R26)</f>
        <v>0</v>
      </c>
      <c r="S28" s="4"/>
      <c r="T28" s="4">
        <v>0</v>
      </c>
      <c r="U28" s="4">
        <v>0</v>
      </c>
      <c r="V28" s="4">
        <f t="shared" si="6"/>
        <v>0</v>
      </c>
      <c r="W28" s="4">
        <f t="shared" si="34"/>
        <v>0</v>
      </c>
      <c r="X28" s="225">
        <f t="shared" si="8"/>
        <v>0</v>
      </c>
      <c r="Z28" s="182"/>
      <c r="AA28" s="182"/>
    </row>
    <row r="29" spans="1:27" x14ac:dyDescent="0.3">
      <c r="A29" s="81"/>
      <c r="B29" s="81"/>
      <c r="C29" s="81"/>
      <c r="D29" s="82"/>
      <c r="E29" s="86"/>
      <c r="F29" s="86"/>
      <c r="G29" s="86"/>
      <c r="H29" s="87"/>
      <c r="I29" s="87"/>
      <c r="J29" s="87"/>
      <c r="K29" s="84"/>
      <c r="L29" s="84"/>
      <c r="M29" s="80"/>
      <c r="N29" s="86">
        <f t="shared" si="16"/>
        <v>0</v>
      </c>
      <c r="O29" s="86">
        <f t="shared" si="17"/>
        <v>0</v>
      </c>
      <c r="P29" s="86">
        <f t="shared" si="4"/>
        <v>0</v>
      </c>
      <c r="Q29" s="81">
        <v>0</v>
      </c>
      <c r="R29" s="81"/>
      <c r="S29" s="81"/>
      <c r="T29" s="81"/>
      <c r="U29" s="81">
        <v>0</v>
      </c>
      <c r="V29" s="81">
        <f t="shared" si="6"/>
        <v>0</v>
      </c>
      <c r="W29" s="81"/>
      <c r="X29" s="223">
        <f t="shared" si="8"/>
        <v>0</v>
      </c>
      <c r="Z29" s="182"/>
      <c r="AA29" s="182"/>
    </row>
    <row r="30" spans="1:27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238" t="s">
        <v>431</v>
      </c>
      <c r="N30" s="8">
        <f t="shared" ref="N30:N44" si="35">SUM(0)</f>
        <v>0</v>
      </c>
      <c r="O30" s="8">
        <f t="shared" ref="O30:O44" si="36">SUM(A30:L30)</f>
        <v>0</v>
      </c>
      <c r="P30" s="8">
        <f t="shared" si="4"/>
        <v>0</v>
      </c>
      <c r="Q30" s="8">
        <v>0</v>
      </c>
      <c r="R30" s="8">
        <f t="shared" ref="R30:R44" si="37">Q30-P30</f>
        <v>0</v>
      </c>
      <c r="S30" s="8"/>
      <c r="T30" s="8"/>
      <c r="U30" s="8">
        <v>0</v>
      </c>
      <c r="V30" s="8">
        <f t="shared" si="6"/>
        <v>0</v>
      </c>
      <c r="W30" s="8"/>
      <c r="X30" s="215">
        <f t="shared" si="8"/>
        <v>0</v>
      </c>
      <c r="Z30" s="182"/>
      <c r="AA30" s="182"/>
    </row>
    <row r="31" spans="1:27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3" t="s">
        <v>432</v>
      </c>
      <c r="N31" s="7">
        <f t="shared" si="35"/>
        <v>0</v>
      </c>
      <c r="O31" s="7">
        <f t="shared" si="36"/>
        <v>0</v>
      </c>
      <c r="P31" s="7">
        <f t="shared" si="4"/>
        <v>0</v>
      </c>
      <c r="Q31" s="7">
        <v>0</v>
      </c>
      <c r="R31" s="7">
        <f t="shared" si="37"/>
        <v>0</v>
      </c>
      <c r="S31" s="7"/>
      <c r="T31" s="7"/>
      <c r="U31" s="7">
        <v>0</v>
      </c>
      <c r="V31" s="7">
        <f t="shared" si="6"/>
        <v>0</v>
      </c>
      <c r="W31" s="7"/>
      <c r="X31" s="216">
        <f t="shared" si="8"/>
        <v>0</v>
      </c>
      <c r="Z31" s="182"/>
      <c r="AA31" s="182"/>
    </row>
    <row r="32" spans="1:27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13" t="s">
        <v>433</v>
      </c>
      <c r="N32" s="7">
        <f t="shared" si="35"/>
        <v>0</v>
      </c>
      <c r="O32" s="7">
        <f t="shared" si="36"/>
        <v>0</v>
      </c>
      <c r="P32" s="7">
        <f t="shared" si="4"/>
        <v>0</v>
      </c>
      <c r="Q32" s="7">
        <v>0</v>
      </c>
      <c r="R32" s="7">
        <f t="shared" si="37"/>
        <v>0</v>
      </c>
      <c r="S32" s="7"/>
      <c r="T32" s="7"/>
      <c r="U32" s="7">
        <v>0</v>
      </c>
      <c r="V32" s="7">
        <f t="shared" si="6"/>
        <v>0</v>
      </c>
      <c r="W32" s="7"/>
      <c r="X32" s="216">
        <f t="shared" si="8"/>
        <v>0</v>
      </c>
      <c r="Z32" s="182"/>
      <c r="AA32" s="182"/>
    </row>
    <row r="33" spans="1:27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13" t="s">
        <v>434</v>
      </c>
      <c r="N33" s="7">
        <f t="shared" si="35"/>
        <v>0</v>
      </c>
      <c r="O33" s="7">
        <f t="shared" si="36"/>
        <v>0</v>
      </c>
      <c r="P33" s="7">
        <f t="shared" si="4"/>
        <v>0</v>
      </c>
      <c r="Q33" s="7">
        <v>0</v>
      </c>
      <c r="R33" s="7">
        <f t="shared" si="37"/>
        <v>0</v>
      </c>
      <c r="S33" s="7"/>
      <c r="T33" s="7"/>
      <c r="U33" s="7">
        <v>0</v>
      </c>
      <c r="V33" s="7">
        <f t="shared" si="6"/>
        <v>0</v>
      </c>
      <c r="W33" s="7"/>
      <c r="X33" s="216">
        <f t="shared" si="8"/>
        <v>0</v>
      </c>
      <c r="Z33" s="182"/>
      <c r="AA33" s="182"/>
    </row>
    <row r="34" spans="1:27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13" t="s">
        <v>435</v>
      </c>
      <c r="N34" s="7">
        <f t="shared" si="35"/>
        <v>0</v>
      </c>
      <c r="O34" s="7">
        <f t="shared" si="36"/>
        <v>0</v>
      </c>
      <c r="P34" s="7">
        <f t="shared" si="4"/>
        <v>0</v>
      </c>
      <c r="Q34" s="7">
        <v>0</v>
      </c>
      <c r="R34" s="7">
        <f t="shared" si="37"/>
        <v>0</v>
      </c>
      <c r="S34" s="7"/>
      <c r="T34" s="7"/>
      <c r="U34" s="7">
        <v>0</v>
      </c>
      <c r="V34" s="7">
        <f t="shared" si="6"/>
        <v>0</v>
      </c>
      <c r="W34" s="7"/>
      <c r="X34" s="216">
        <f t="shared" si="8"/>
        <v>0</v>
      </c>
      <c r="Z34" s="182"/>
      <c r="AA34" s="182"/>
    </row>
    <row r="35" spans="1:27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13" t="s">
        <v>436</v>
      </c>
      <c r="N35" s="7">
        <f t="shared" si="35"/>
        <v>0</v>
      </c>
      <c r="O35" s="7">
        <f t="shared" si="36"/>
        <v>0</v>
      </c>
      <c r="P35" s="7">
        <f t="shared" si="4"/>
        <v>0</v>
      </c>
      <c r="Q35" s="7">
        <v>0</v>
      </c>
      <c r="R35" s="7">
        <f t="shared" si="37"/>
        <v>0</v>
      </c>
      <c r="S35" s="7"/>
      <c r="T35" s="7"/>
      <c r="U35" s="7">
        <v>0</v>
      </c>
      <c r="V35" s="7">
        <f t="shared" si="6"/>
        <v>0</v>
      </c>
      <c r="W35" s="7"/>
      <c r="X35" s="216">
        <f t="shared" si="8"/>
        <v>0</v>
      </c>
      <c r="Z35" s="182"/>
      <c r="AA35" s="182"/>
    </row>
    <row r="36" spans="1:27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13" t="s">
        <v>437</v>
      </c>
      <c r="N36" s="7">
        <f t="shared" si="35"/>
        <v>0</v>
      </c>
      <c r="O36" s="7">
        <f t="shared" si="36"/>
        <v>0</v>
      </c>
      <c r="P36" s="7">
        <f t="shared" si="4"/>
        <v>0</v>
      </c>
      <c r="Q36" s="7">
        <v>0</v>
      </c>
      <c r="R36" s="7">
        <f t="shared" si="37"/>
        <v>0</v>
      </c>
      <c r="S36" s="7"/>
      <c r="T36" s="7"/>
      <c r="U36" s="7">
        <v>0</v>
      </c>
      <c r="V36" s="7">
        <f t="shared" si="6"/>
        <v>0</v>
      </c>
      <c r="W36" s="7"/>
      <c r="X36" s="216">
        <f t="shared" si="8"/>
        <v>0</v>
      </c>
      <c r="Z36" s="182"/>
      <c r="AA36" s="182"/>
    </row>
    <row r="37" spans="1:27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238" t="s">
        <v>438</v>
      </c>
      <c r="N37" s="7">
        <f t="shared" si="35"/>
        <v>0</v>
      </c>
      <c r="O37" s="7">
        <f t="shared" si="36"/>
        <v>0</v>
      </c>
      <c r="P37" s="7">
        <f t="shared" si="4"/>
        <v>0</v>
      </c>
      <c r="Q37" s="7">
        <v>0</v>
      </c>
      <c r="R37" s="7">
        <f t="shared" si="37"/>
        <v>0</v>
      </c>
      <c r="S37" s="7"/>
      <c r="T37" s="7"/>
      <c r="U37" s="7">
        <v>0</v>
      </c>
      <c r="V37" s="7">
        <f t="shared" si="6"/>
        <v>0</v>
      </c>
      <c r="W37" s="7"/>
      <c r="X37" s="216">
        <f t="shared" si="8"/>
        <v>0</v>
      </c>
      <c r="Z37" s="182"/>
      <c r="AA37" s="182"/>
    </row>
    <row r="38" spans="1:27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13" t="s">
        <v>439</v>
      </c>
      <c r="N38" s="7">
        <f t="shared" si="35"/>
        <v>0</v>
      </c>
      <c r="O38" s="7">
        <f t="shared" si="36"/>
        <v>0</v>
      </c>
      <c r="P38" s="7">
        <f t="shared" si="4"/>
        <v>0</v>
      </c>
      <c r="Q38" s="7">
        <v>0</v>
      </c>
      <c r="R38" s="7">
        <f t="shared" si="37"/>
        <v>0</v>
      </c>
      <c r="S38" s="7"/>
      <c r="T38" s="7"/>
      <c r="U38" s="7">
        <v>0</v>
      </c>
      <c r="V38" s="7">
        <f t="shared" si="6"/>
        <v>0</v>
      </c>
      <c r="W38" s="7"/>
      <c r="X38" s="216">
        <f t="shared" si="8"/>
        <v>0</v>
      </c>
      <c r="Z38" s="182"/>
      <c r="AA38" s="182"/>
    </row>
    <row r="39" spans="1:27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13" t="s">
        <v>440</v>
      </c>
      <c r="N39" s="7">
        <f t="shared" si="35"/>
        <v>0</v>
      </c>
      <c r="O39" s="7">
        <f t="shared" si="36"/>
        <v>0</v>
      </c>
      <c r="P39" s="7">
        <f t="shared" si="4"/>
        <v>0</v>
      </c>
      <c r="Q39" s="7">
        <v>0</v>
      </c>
      <c r="R39" s="7">
        <f t="shared" si="37"/>
        <v>0</v>
      </c>
      <c r="S39" s="7"/>
      <c r="T39" s="7"/>
      <c r="U39" s="7">
        <v>0</v>
      </c>
      <c r="V39" s="7">
        <f t="shared" si="6"/>
        <v>0</v>
      </c>
      <c r="W39" s="7"/>
      <c r="X39" s="216">
        <f t="shared" si="8"/>
        <v>0</v>
      </c>
      <c r="Z39" s="182"/>
      <c r="AA39" s="182"/>
    </row>
    <row r="40" spans="1:27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13" t="s">
        <v>441</v>
      </c>
      <c r="N40" s="7">
        <f t="shared" si="35"/>
        <v>0</v>
      </c>
      <c r="O40" s="7">
        <f t="shared" si="36"/>
        <v>0</v>
      </c>
      <c r="P40" s="7">
        <f t="shared" si="4"/>
        <v>0</v>
      </c>
      <c r="Q40" s="7">
        <v>0</v>
      </c>
      <c r="R40" s="7">
        <f t="shared" si="37"/>
        <v>0</v>
      </c>
      <c r="S40" s="7"/>
      <c r="T40" s="7"/>
      <c r="U40" s="7">
        <v>0</v>
      </c>
      <c r="V40" s="7">
        <f t="shared" si="6"/>
        <v>0</v>
      </c>
      <c r="W40" s="7"/>
      <c r="X40" s="216">
        <f t="shared" si="8"/>
        <v>0</v>
      </c>
      <c r="Z40" s="182"/>
      <c r="AA40" s="182"/>
    </row>
    <row r="41" spans="1:27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13" t="s">
        <v>442</v>
      </c>
      <c r="N41" s="7">
        <f t="shared" si="35"/>
        <v>0</v>
      </c>
      <c r="O41" s="7">
        <f t="shared" si="36"/>
        <v>0</v>
      </c>
      <c r="P41" s="7">
        <f t="shared" si="4"/>
        <v>0</v>
      </c>
      <c r="Q41" s="7">
        <v>0</v>
      </c>
      <c r="R41" s="7">
        <f t="shared" si="37"/>
        <v>0</v>
      </c>
      <c r="S41" s="7"/>
      <c r="T41" s="7"/>
      <c r="U41" s="7">
        <v>0</v>
      </c>
      <c r="V41" s="7">
        <f t="shared" si="6"/>
        <v>0</v>
      </c>
      <c r="W41" s="7"/>
      <c r="X41" s="216">
        <f t="shared" si="8"/>
        <v>0</v>
      </c>
      <c r="Z41" s="182"/>
      <c r="AA41" s="182"/>
    </row>
    <row r="42" spans="1:27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13" t="s">
        <v>443</v>
      </c>
      <c r="N42" s="7">
        <f t="shared" si="35"/>
        <v>0</v>
      </c>
      <c r="O42" s="7">
        <f t="shared" si="36"/>
        <v>0</v>
      </c>
      <c r="P42" s="7">
        <f t="shared" si="4"/>
        <v>0</v>
      </c>
      <c r="Q42" s="7">
        <v>0</v>
      </c>
      <c r="R42" s="7">
        <f t="shared" si="37"/>
        <v>0</v>
      </c>
      <c r="S42" s="7"/>
      <c r="T42" s="7"/>
      <c r="U42" s="7">
        <v>0</v>
      </c>
      <c r="V42" s="7">
        <f t="shared" si="6"/>
        <v>0</v>
      </c>
      <c r="W42" s="7"/>
      <c r="X42" s="216">
        <f t="shared" si="8"/>
        <v>0</v>
      </c>
      <c r="Z42" s="182"/>
      <c r="AA42" s="182"/>
    </row>
    <row r="43" spans="1:27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13" t="s">
        <v>444</v>
      </c>
      <c r="N43" s="7">
        <f t="shared" si="35"/>
        <v>0</v>
      </c>
      <c r="O43" s="7">
        <f t="shared" si="36"/>
        <v>0</v>
      </c>
      <c r="P43" s="7">
        <f t="shared" si="4"/>
        <v>0</v>
      </c>
      <c r="Q43" s="7">
        <v>0</v>
      </c>
      <c r="R43" s="7">
        <f t="shared" si="37"/>
        <v>0</v>
      </c>
      <c r="S43" s="7"/>
      <c r="T43" s="7"/>
      <c r="U43" s="7">
        <v>0</v>
      </c>
      <c r="V43" s="7">
        <f t="shared" si="6"/>
        <v>0</v>
      </c>
      <c r="W43" s="7"/>
      <c r="X43" s="216">
        <f t="shared" si="8"/>
        <v>0</v>
      </c>
      <c r="Z43" s="182"/>
      <c r="AA43" s="182"/>
    </row>
    <row r="44" spans="1:27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238" t="s">
        <v>113</v>
      </c>
      <c r="N44" s="11">
        <f t="shared" si="35"/>
        <v>0</v>
      </c>
      <c r="O44" s="11">
        <f t="shared" si="36"/>
        <v>0</v>
      </c>
      <c r="P44" s="11">
        <f t="shared" si="4"/>
        <v>0</v>
      </c>
      <c r="Q44" s="11">
        <v>0</v>
      </c>
      <c r="R44" s="11">
        <f t="shared" si="37"/>
        <v>0</v>
      </c>
      <c r="S44" s="11"/>
      <c r="T44" s="11"/>
      <c r="U44" s="11">
        <v>0</v>
      </c>
      <c r="V44" s="11">
        <f t="shared" si="6"/>
        <v>0</v>
      </c>
      <c r="W44" s="11"/>
      <c r="X44" s="218">
        <f t="shared" si="8"/>
        <v>0</v>
      </c>
      <c r="Z44" s="182"/>
      <c r="AA44" s="182"/>
    </row>
    <row r="45" spans="1:27" x14ac:dyDescent="0.3">
      <c r="A45" s="8"/>
      <c r="B45" s="86"/>
      <c r="C45" s="86"/>
      <c r="D45" s="85"/>
      <c r="E45" s="83"/>
      <c r="F45" s="83"/>
      <c r="G45" s="83"/>
      <c r="H45" s="83"/>
      <c r="I45" s="83"/>
      <c r="J45" s="83"/>
      <c r="K45" s="84"/>
      <c r="L45" s="84"/>
      <c r="M45" s="13"/>
      <c r="N45" s="83">
        <f t="shared" si="16"/>
        <v>0</v>
      </c>
      <c r="O45" s="83">
        <f t="shared" si="17"/>
        <v>0</v>
      </c>
      <c r="P45" s="83">
        <f t="shared" si="4"/>
        <v>0</v>
      </c>
      <c r="Q45" s="86">
        <v>0</v>
      </c>
      <c r="R45" s="86"/>
      <c r="S45" s="86"/>
      <c r="T45" s="86"/>
      <c r="U45" s="86">
        <v>0</v>
      </c>
      <c r="V45" s="86">
        <f t="shared" si="6"/>
        <v>0</v>
      </c>
      <c r="W45" s="86"/>
      <c r="X45" s="229">
        <f t="shared" si="8"/>
        <v>0</v>
      </c>
      <c r="Z45" s="182"/>
      <c r="AA45" s="182"/>
    </row>
    <row r="46" spans="1:27" x14ac:dyDescent="0.3">
      <c r="A46" s="4">
        <f>SUM(A30:A44)</f>
        <v>0</v>
      </c>
      <c r="B46" s="4">
        <f t="shared" ref="B46:L46" si="38">SUM(B30:B44)</f>
        <v>0</v>
      </c>
      <c r="C46" s="4">
        <f t="shared" si="38"/>
        <v>0</v>
      </c>
      <c r="D46" s="4">
        <f t="shared" si="38"/>
        <v>0</v>
      </c>
      <c r="E46" s="4">
        <f t="shared" si="38"/>
        <v>0</v>
      </c>
      <c r="F46" s="4">
        <f t="shared" si="38"/>
        <v>0</v>
      </c>
      <c r="G46" s="4">
        <f t="shared" si="38"/>
        <v>0</v>
      </c>
      <c r="H46" s="4">
        <f t="shared" si="38"/>
        <v>0</v>
      </c>
      <c r="I46" s="4">
        <f t="shared" si="38"/>
        <v>0</v>
      </c>
      <c r="J46" s="4">
        <f t="shared" si="38"/>
        <v>0</v>
      </c>
      <c r="K46" s="4">
        <f t="shared" si="38"/>
        <v>0</v>
      </c>
      <c r="L46" s="4">
        <f t="shared" si="38"/>
        <v>0</v>
      </c>
      <c r="M46" s="13" t="s">
        <v>114</v>
      </c>
      <c r="N46" s="4">
        <f t="shared" ref="N46:O46" si="39">SUM(N30:N44)</f>
        <v>0</v>
      </c>
      <c r="O46" s="4">
        <f t="shared" si="39"/>
        <v>0</v>
      </c>
      <c r="P46" s="4">
        <f t="shared" ref="P46:Q46" si="40">SUM(P30:P44)</f>
        <v>0</v>
      </c>
      <c r="Q46" s="4">
        <f t="shared" si="40"/>
        <v>0</v>
      </c>
      <c r="R46" s="4">
        <f t="shared" ref="R46:W46" si="41">SUM(R30:R44)</f>
        <v>0</v>
      </c>
      <c r="S46" s="4"/>
      <c r="T46" s="4">
        <v>0</v>
      </c>
      <c r="U46" s="4">
        <v>0</v>
      </c>
      <c r="V46" s="4">
        <f t="shared" si="6"/>
        <v>0</v>
      </c>
      <c r="W46" s="4">
        <f t="shared" si="41"/>
        <v>0</v>
      </c>
      <c r="X46" s="225">
        <f t="shared" si="8"/>
        <v>0</v>
      </c>
      <c r="Z46" s="182"/>
      <c r="AA46" s="182"/>
    </row>
    <row r="47" spans="1:27" x14ac:dyDescent="0.3">
      <c r="A47" s="81"/>
      <c r="B47" s="81"/>
      <c r="C47" s="81"/>
      <c r="D47" s="82"/>
      <c r="E47" s="86"/>
      <c r="F47" s="86"/>
      <c r="G47" s="86"/>
      <c r="H47" s="87"/>
      <c r="I47" s="87"/>
      <c r="J47" s="87"/>
      <c r="K47" s="84"/>
      <c r="L47" s="84"/>
      <c r="M47" s="80"/>
      <c r="N47" s="86">
        <f t="shared" si="16"/>
        <v>0</v>
      </c>
      <c r="O47" s="86">
        <f t="shared" si="17"/>
        <v>0</v>
      </c>
      <c r="P47" s="86">
        <f t="shared" si="4"/>
        <v>0</v>
      </c>
      <c r="Q47" s="81">
        <v>0</v>
      </c>
      <c r="R47" s="81"/>
      <c r="S47" s="81"/>
      <c r="T47" s="81"/>
      <c r="U47" s="81">
        <v>0</v>
      </c>
      <c r="V47" s="81">
        <f t="shared" si="6"/>
        <v>0</v>
      </c>
      <c r="W47" s="81"/>
      <c r="X47" s="223"/>
      <c r="Z47" s="182"/>
      <c r="AA47" s="182"/>
    </row>
    <row r="48" spans="1:27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238" t="s">
        <v>445</v>
      </c>
      <c r="N48" s="8">
        <f t="shared" ref="N48:N63" si="42">SUM(0)</f>
        <v>0</v>
      </c>
      <c r="O48" s="8">
        <f t="shared" ref="O48:O63" si="43">SUM(A48:L48)</f>
        <v>0</v>
      </c>
      <c r="P48" s="8">
        <f t="shared" si="4"/>
        <v>0</v>
      </c>
      <c r="Q48" s="8">
        <v>0</v>
      </c>
      <c r="R48" s="8">
        <f t="shared" ref="R48:R63" si="44">Q48-P48</f>
        <v>0</v>
      </c>
      <c r="S48" s="8"/>
      <c r="T48" s="8"/>
      <c r="U48" s="8">
        <v>0</v>
      </c>
      <c r="V48" s="8">
        <f t="shared" si="6"/>
        <v>0</v>
      </c>
      <c r="W48" s="8"/>
      <c r="X48" s="215">
        <f t="shared" si="8"/>
        <v>0</v>
      </c>
      <c r="Z48" s="182"/>
      <c r="AA48" s="182"/>
    </row>
    <row r="49" spans="1:27" x14ac:dyDescent="0.3">
      <c r="A49" s="7"/>
      <c r="B49" s="7"/>
      <c r="C49" s="7">
        <f>1000*1.048</f>
        <v>1048</v>
      </c>
      <c r="D49" s="7"/>
      <c r="E49" s="7"/>
      <c r="F49" s="7"/>
      <c r="G49" s="7">
        <f>1000*1.048</f>
        <v>1048</v>
      </c>
      <c r="H49" s="7"/>
      <c r="I49" s="7"/>
      <c r="J49" s="7"/>
      <c r="K49" s="7"/>
      <c r="L49" s="7"/>
      <c r="M49" s="13" t="s">
        <v>446</v>
      </c>
      <c r="N49" s="7">
        <f t="shared" si="42"/>
        <v>0</v>
      </c>
      <c r="O49" s="7">
        <f t="shared" si="43"/>
        <v>2096</v>
      </c>
      <c r="P49" s="7">
        <f t="shared" si="4"/>
        <v>2096</v>
      </c>
      <c r="Q49" s="7">
        <v>2096</v>
      </c>
      <c r="R49" s="7">
        <f t="shared" si="44"/>
        <v>0</v>
      </c>
      <c r="S49" s="7"/>
      <c r="T49" s="7"/>
      <c r="U49" s="7">
        <v>2000</v>
      </c>
      <c r="V49" s="7">
        <f t="shared" si="6"/>
        <v>-96</v>
      </c>
      <c r="W49" s="202" t="s">
        <v>282</v>
      </c>
      <c r="X49" s="216">
        <f t="shared" si="8"/>
        <v>0</v>
      </c>
      <c r="Z49" s="182"/>
      <c r="AA49" s="182"/>
    </row>
    <row r="50" spans="1:27" x14ac:dyDescent="0.3">
      <c r="A50" s="7"/>
      <c r="B50" s="7">
        <f>1113*1.048</f>
        <v>1166.424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13" t="s">
        <v>447</v>
      </c>
      <c r="N50" s="7">
        <f t="shared" si="42"/>
        <v>0</v>
      </c>
      <c r="O50" s="7">
        <f t="shared" si="43"/>
        <v>1166.424</v>
      </c>
      <c r="P50" s="7">
        <f t="shared" si="4"/>
        <v>1166.424</v>
      </c>
      <c r="Q50" s="7">
        <v>1166.424</v>
      </c>
      <c r="R50" s="7">
        <f t="shared" si="44"/>
        <v>0</v>
      </c>
      <c r="S50" s="7"/>
      <c r="T50" s="7"/>
      <c r="U50" s="7">
        <v>1113.021</v>
      </c>
      <c r="V50" s="7">
        <f t="shared" si="6"/>
        <v>-53.40300000000002</v>
      </c>
      <c r="W50" s="7"/>
      <c r="X50" s="216">
        <f t="shared" si="8"/>
        <v>0</v>
      </c>
      <c r="Z50" s="182"/>
      <c r="AA50" s="182"/>
    </row>
    <row r="51" spans="1:27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13" t="s">
        <v>448</v>
      </c>
      <c r="N51" s="7">
        <f t="shared" si="42"/>
        <v>0</v>
      </c>
      <c r="O51" s="7">
        <f t="shared" si="43"/>
        <v>0</v>
      </c>
      <c r="P51" s="7">
        <f t="shared" si="4"/>
        <v>0</v>
      </c>
      <c r="Q51" s="7">
        <v>0</v>
      </c>
      <c r="R51" s="7">
        <f t="shared" si="44"/>
        <v>0</v>
      </c>
      <c r="S51" s="7"/>
      <c r="T51" s="7"/>
      <c r="U51" s="7">
        <v>0</v>
      </c>
      <c r="V51" s="7">
        <f t="shared" si="6"/>
        <v>0</v>
      </c>
      <c r="W51" s="7"/>
      <c r="X51" s="216">
        <f t="shared" si="8"/>
        <v>0</v>
      </c>
      <c r="Z51" s="182"/>
      <c r="AA51" s="182"/>
    </row>
    <row r="52" spans="1:27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13" t="s">
        <v>449</v>
      </c>
      <c r="N52" s="7">
        <f t="shared" si="42"/>
        <v>0</v>
      </c>
      <c r="O52" s="7">
        <f t="shared" si="43"/>
        <v>0</v>
      </c>
      <c r="P52" s="7">
        <f t="shared" si="4"/>
        <v>0</v>
      </c>
      <c r="Q52" s="7">
        <v>0</v>
      </c>
      <c r="R52" s="7">
        <f t="shared" si="44"/>
        <v>0</v>
      </c>
      <c r="S52" s="7"/>
      <c r="T52" s="7"/>
      <c r="U52" s="7">
        <v>0</v>
      </c>
      <c r="V52" s="7">
        <f t="shared" si="6"/>
        <v>0</v>
      </c>
      <c r="W52" s="7"/>
      <c r="X52" s="216">
        <f t="shared" si="8"/>
        <v>0</v>
      </c>
      <c r="Z52" s="182"/>
      <c r="AA52" s="182"/>
    </row>
    <row r="53" spans="1:27" x14ac:dyDescent="0.3">
      <c r="A53" s="7"/>
      <c r="B53" s="7">
        <f>2000*1.048</f>
        <v>2096</v>
      </c>
      <c r="C53" s="7"/>
      <c r="D53" s="7"/>
      <c r="E53" s="7">
        <f>2000*1.048</f>
        <v>2096</v>
      </c>
      <c r="F53" s="7"/>
      <c r="G53" s="7"/>
      <c r="H53" s="7">
        <f>2437*1.048</f>
        <v>2553.9760000000001</v>
      </c>
      <c r="I53" s="7"/>
      <c r="J53" s="7"/>
      <c r="K53" s="7"/>
      <c r="L53" s="7"/>
      <c r="M53" s="13" t="s">
        <v>450</v>
      </c>
      <c r="N53" s="7">
        <f t="shared" si="42"/>
        <v>0</v>
      </c>
      <c r="O53" s="7">
        <f t="shared" si="43"/>
        <v>6745.9760000000006</v>
      </c>
      <c r="P53" s="7">
        <f t="shared" si="4"/>
        <v>6745.9760000000006</v>
      </c>
      <c r="Q53" s="7">
        <v>6745.9760000000006</v>
      </c>
      <c r="R53" s="7">
        <f t="shared" si="44"/>
        <v>0</v>
      </c>
      <c r="S53" s="7"/>
      <c r="T53" s="7"/>
      <c r="U53" s="7">
        <v>6437</v>
      </c>
      <c r="V53" s="7">
        <f t="shared" si="6"/>
        <v>-308.97600000000057</v>
      </c>
      <c r="W53" s="7"/>
      <c r="X53" s="216">
        <f t="shared" si="8"/>
        <v>0</v>
      </c>
      <c r="Z53" s="182"/>
      <c r="AA53" s="182"/>
    </row>
    <row r="54" spans="1:27" x14ac:dyDescent="0.3">
      <c r="A54" s="7"/>
      <c r="B54" s="7"/>
      <c r="C54" s="7">
        <v>0</v>
      </c>
      <c r="D54" s="7"/>
      <c r="E54" s="7"/>
      <c r="F54" s="7"/>
      <c r="G54" s="7">
        <v>0</v>
      </c>
      <c r="H54" s="7"/>
      <c r="I54" s="7"/>
      <c r="J54" s="7"/>
      <c r="K54" s="7"/>
      <c r="L54" s="7"/>
      <c r="M54" s="13" t="s">
        <v>451</v>
      </c>
      <c r="N54" s="7">
        <f t="shared" si="42"/>
        <v>0</v>
      </c>
      <c r="O54" s="7">
        <f t="shared" si="43"/>
        <v>0</v>
      </c>
      <c r="P54" s="7">
        <f t="shared" si="4"/>
        <v>0</v>
      </c>
      <c r="Q54" s="7">
        <v>0</v>
      </c>
      <c r="R54" s="7">
        <f t="shared" si="44"/>
        <v>0</v>
      </c>
      <c r="S54" s="7"/>
      <c r="T54" s="7"/>
      <c r="U54" s="7">
        <v>0</v>
      </c>
      <c r="V54" s="7">
        <f t="shared" si="6"/>
        <v>0</v>
      </c>
      <c r="W54" s="7"/>
      <c r="X54" s="216">
        <f t="shared" si="8"/>
        <v>0</v>
      </c>
      <c r="Z54" s="182"/>
      <c r="AA54" s="182"/>
    </row>
    <row r="55" spans="1:27" x14ac:dyDescent="0.3">
      <c r="A55" s="7"/>
      <c r="B55" s="7"/>
      <c r="C55" s="7"/>
      <c r="D55" s="7"/>
      <c r="E55" s="7"/>
      <c r="F55" s="7"/>
      <c r="G55" s="7"/>
      <c r="H55" s="7"/>
      <c r="I55" s="7">
        <f>(3000*1.048)--119.943549164811</f>
        <v>3263.943549164811</v>
      </c>
      <c r="J55" s="7"/>
      <c r="K55" s="7"/>
      <c r="L55" s="7"/>
      <c r="M55" s="238" t="s">
        <v>452</v>
      </c>
      <c r="N55" s="7">
        <f t="shared" si="42"/>
        <v>0</v>
      </c>
      <c r="O55" s="7">
        <f t="shared" si="43"/>
        <v>3263.943549164811</v>
      </c>
      <c r="P55" s="7">
        <f t="shared" si="4"/>
        <v>3263.943549164811</v>
      </c>
      <c r="Q55" s="7">
        <v>3263.943549164811</v>
      </c>
      <c r="R55" s="7">
        <f t="shared" si="44"/>
        <v>0</v>
      </c>
      <c r="S55" s="7"/>
      <c r="T55" s="7"/>
      <c r="U55" s="7">
        <v>3000</v>
      </c>
      <c r="V55" s="7">
        <f t="shared" si="6"/>
        <v>-263.94354916481097</v>
      </c>
      <c r="W55" s="7"/>
      <c r="X55" s="216">
        <f t="shared" si="8"/>
        <v>0</v>
      </c>
      <c r="Z55" s="182"/>
      <c r="AA55" s="182"/>
    </row>
    <row r="56" spans="1:27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13" t="s">
        <v>453</v>
      </c>
      <c r="N56" s="7">
        <f t="shared" si="42"/>
        <v>0</v>
      </c>
      <c r="O56" s="7">
        <f t="shared" si="43"/>
        <v>0</v>
      </c>
      <c r="P56" s="7">
        <f t="shared" si="4"/>
        <v>0</v>
      </c>
      <c r="Q56" s="7">
        <v>0</v>
      </c>
      <c r="R56" s="7">
        <f t="shared" si="44"/>
        <v>0</v>
      </c>
      <c r="S56" s="7"/>
      <c r="T56" s="7"/>
      <c r="U56" s="7">
        <v>0</v>
      </c>
      <c r="V56" s="7">
        <f t="shared" si="6"/>
        <v>0</v>
      </c>
      <c r="W56" s="7"/>
      <c r="X56" s="216">
        <f t="shared" si="8"/>
        <v>0</v>
      </c>
      <c r="Z56" s="182"/>
      <c r="AA56" s="182"/>
    </row>
    <row r="57" spans="1:27" x14ac:dyDescent="0.3">
      <c r="A57" s="7"/>
      <c r="B57" s="7"/>
      <c r="C57" s="7">
        <v>0</v>
      </c>
      <c r="D57" s="7"/>
      <c r="E57" s="7"/>
      <c r="F57" s="7"/>
      <c r="G57" s="7"/>
      <c r="H57" s="7"/>
      <c r="I57" s="7"/>
      <c r="J57" s="7"/>
      <c r="K57" s="7"/>
      <c r="L57" s="7"/>
      <c r="M57" s="13" t="s">
        <v>454</v>
      </c>
      <c r="N57" s="7">
        <f t="shared" si="42"/>
        <v>0</v>
      </c>
      <c r="O57" s="7">
        <f t="shared" si="43"/>
        <v>0</v>
      </c>
      <c r="P57" s="7">
        <f t="shared" si="4"/>
        <v>0</v>
      </c>
      <c r="Q57" s="7">
        <v>0</v>
      </c>
      <c r="R57" s="7">
        <f t="shared" si="44"/>
        <v>0</v>
      </c>
      <c r="S57" s="7"/>
      <c r="T57" s="7"/>
      <c r="U57" s="7">
        <v>0</v>
      </c>
      <c r="V57" s="7">
        <f t="shared" si="6"/>
        <v>0</v>
      </c>
      <c r="W57" s="7"/>
      <c r="X57" s="216">
        <f t="shared" si="8"/>
        <v>0</v>
      </c>
      <c r="Z57" s="182"/>
      <c r="AA57" s="182"/>
    </row>
    <row r="58" spans="1:27" x14ac:dyDescent="0.3">
      <c r="A58" s="7"/>
      <c r="B58" s="7"/>
      <c r="C58" s="7"/>
      <c r="D58" s="7"/>
      <c r="E58" s="7"/>
      <c r="F58" s="7"/>
      <c r="G58" s="7"/>
      <c r="H58" s="7">
        <v>2000</v>
      </c>
      <c r="I58" s="7"/>
      <c r="J58" s="7"/>
      <c r="K58" s="7"/>
      <c r="L58" s="7"/>
      <c r="M58" s="13" t="s">
        <v>455</v>
      </c>
      <c r="N58" s="7">
        <f t="shared" si="42"/>
        <v>0</v>
      </c>
      <c r="O58" s="7">
        <f t="shared" si="43"/>
        <v>2000</v>
      </c>
      <c r="P58" s="7">
        <f t="shared" si="4"/>
        <v>2000</v>
      </c>
      <c r="Q58" s="7">
        <v>2000</v>
      </c>
      <c r="R58" s="7">
        <f t="shared" si="44"/>
        <v>0</v>
      </c>
      <c r="S58" s="7"/>
      <c r="T58" s="7"/>
      <c r="U58" s="7">
        <v>2000</v>
      </c>
      <c r="V58" s="7">
        <f t="shared" si="6"/>
        <v>0</v>
      </c>
      <c r="W58" s="7"/>
      <c r="X58" s="216">
        <f t="shared" si="8"/>
        <v>0</v>
      </c>
      <c r="Z58" s="182"/>
      <c r="AA58" s="182"/>
    </row>
    <row r="59" spans="1:27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13" t="s">
        <v>456</v>
      </c>
      <c r="N59" s="7">
        <f t="shared" si="42"/>
        <v>0</v>
      </c>
      <c r="O59" s="7">
        <f t="shared" si="43"/>
        <v>0</v>
      </c>
      <c r="P59" s="7">
        <f t="shared" si="4"/>
        <v>0</v>
      </c>
      <c r="Q59" s="7">
        <v>0</v>
      </c>
      <c r="R59" s="7">
        <f t="shared" si="44"/>
        <v>0</v>
      </c>
      <c r="S59" s="7"/>
      <c r="T59" s="7"/>
      <c r="U59" s="7">
        <v>0</v>
      </c>
      <c r="V59" s="7">
        <f t="shared" si="6"/>
        <v>0</v>
      </c>
      <c r="W59" s="7"/>
      <c r="X59" s="216">
        <f t="shared" si="8"/>
        <v>0</v>
      </c>
      <c r="Z59" s="182"/>
      <c r="AA59" s="182"/>
    </row>
    <row r="60" spans="1:27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13" t="s">
        <v>457</v>
      </c>
      <c r="N60" s="7">
        <f t="shared" si="42"/>
        <v>0</v>
      </c>
      <c r="O60" s="7">
        <f t="shared" si="43"/>
        <v>0</v>
      </c>
      <c r="P60" s="7">
        <f t="shared" si="4"/>
        <v>0</v>
      </c>
      <c r="Q60" s="7">
        <v>0</v>
      </c>
      <c r="R60" s="7">
        <f t="shared" si="44"/>
        <v>0</v>
      </c>
      <c r="S60" s="7"/>
      <c r="T60" s="7"/>
      <c r="U60" s="7">
        <v>0</v>
      </c>
      <c r="V60" s="7">
        <f t="shared" si="6"/>
        <v>0</v>
      </c>
      <c r="W60" s="7"/>
      <c r="X60" s="216">
        <f t="shared" si="8"/>
        <v>0</v>
      </c>
      <c r="Z60" s="182"/>
      <c r="AA60" s="182"/>
    </row>
    <row r="61" spans="1:27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13" t="s">
        <v>458</v>
      </c>
      <c r="N61" s="7">
        <f t="shared" si="42"/>
        <v>0</v>
      </c>
      <c r="O61" s="7">
        <f t="shared" si="43"/>
        <v>0</v>
      </c>
      <c r="P61" s="7">
        <f t="shared" si="4"/>
        <v>0</v>
      </c>
      <c r="Q61" s="7">
        <v>0</v>
      </c>
      <c r="R61" s="7">
        <f t="shared" si="44"/>
        <v>0</v>
      </c>
      <c r="S61" s="7"/>
      <c r="T61" s="7"/>
      <c r="U61" s="7">
        <v>0</v>
      </c>
      <c r="V61" s="7">
        <f t="shared" si="6"/>
        <v>0</v>
      </c>
      <c r="W61" s="7"/>
      <c r="X61" s="216">
        <f t="shared" si="8"/>
        <v>0</v>
      </c>
      <c r="Z61" s="182"/>
      <c r="AA61" s="182"/>
    </row>
    <row r="62" spans="1:27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238" t="s">
        <v>459</v>
      </c>
      <c r="N62" s="7">
        <f t="shared" si="42"/>
        <v>0</v>
      </c>
      <c r="O62" s="7">
        <f t="shared" si="43"/>
        <v>0</v>
      </c>
      <c r="P62" s="7">
        <f t="shared" si="4"/>
        <v>0</v>
      </c>
      <c r="Q62" s="7">
        <v>0</v>
      </c>
      <c r="R62" s="7">
        <f t="shared" si="44"/>
        <v>0</v>
      </c>
      <c r="S62" s="7"/>
      <c r="T62" s="7"/>
      <c r="U62" s="7">
        <v>0</v>
      </c>
      <c r="V62" s="7">
        <f t="shared" si="6"/>
        <v>0</v>
      </c>
      <c r="W62" s="7"/>
      <c r="X62" s="216">
        <f t="shared" si="8"/>
        <v>0</v>
      </c>
      <c r="Z62" s="182"/>
      <c r="AA62" s="182"/>
    </row>
    <row r="63" spans="1:27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238" t="s">
        <v>460</v>
      </c>
      <c r="N63" s="11">
        <f t="shared" si="42"/>
        <v>0</v>
      </c>
      <c r="O63" s="11">
        <f t="shared" si="43"/>
        <v>0</v>
      </c>
      <c r="P63" s="11">
        <f t="shared" si="4"/>
        <v>0</v>
      </c>
      <c r="Q63" s="11">
        <v>0</v>
      </c>
      <c r="R63" s="11">
        <f t="shared" si="44"/>
        <v>0</v>
      </c>
      <c r="S63" s="11"/>
      <c r="T63" s="11"/>
      <c r="U63" s="11">
        <v>0</v>
      </c>
      <c r="V63" s="11">
        <f t="shared" si="6"/>
        <v>0</v>
      </c>
      <c r="W63" s="11"/>
      <c r="X63" s="218">
        <f t="shared" si="8"/>
        <v>0</v>
      </c>
      <c r="Z63" s="182"/>
      <c r="AA63" s="182"/>
    </row>
    <row r="64" spans="1:27" ht="15" thickBot="1" x14ac:dyDescent="0.35">
      <c r="A64" s="89"/>
      <c r="B64" s="89"/>
      <c r="C64" s="89"/>
      <c r="D64" s="90"/>
      <c r="E64" s="91"/>
      <c r="F64" s="91"/>
      <c r="G64" s="91"/>
      <c r="H64" s="91"/>
      <c r="I64" s="91"/>
      <c r="J64" s="91"/>
      <c r="K64" s="92"/>
      <c r="L64" s="92"/>
      <c r="M64" s="13"/>
      <c r="N64" s="91">
        <f t="shared" si="16"/>
        <v>0</v>
      </c>
      <c r="O64" s="91">
        <f t="shared" si="17"/>
        <v>0</v>
      </c>
      <c r="P64" s="91">
        <f t="shared" si="4"/>
        <v>0</v>
      </c>
      <c r="Q64" s="89">
        <v>0</v>
      </c>
      <c r="R64" s="89"/>
      <c r="S64" s="89"/>
      <c r="T64" s="89"/>
      <c r="U64" s="89">
        <v>0</v>
      </c>
      <c r="V64" s="89">
        <f t="shared" si="6"/>
        <v>0</v>
      </c>
      <c r="W64" s="89"/>
      <c r="X64" s="233"/>
      <c r="Z64" s="182"/>
      <c r="AA64" s="182"/>
    </row>
    <row r="65" spans="1:27" x14ac:dyDescent="0.3">
      <c r="A65" s="4">
        <f>SUM(A48:A63)</f>
        <v>0</v>
      </c>
      <c r="B65" s="4">
        <f t="shared" ref="B65:L65" si="45">SUM(B48:B63)</f>
        <v>3262.424</v>
      </c>
      <c r="C65" s="4">
        <f t="shared" si="45"/>
        <v>1048</v>
      </c>
      <c r="D65" s="4">
        <f t="shared" si="45"/>
        <v>0</v>
      </c>
      <c r="E65" s="4">
        <f t="shared" si="45"/>
        <v>2096</v>
      </c>
      <c r="F65" s="4">
        <f t="shared" si="45"/>
        <v>0</v>
      </c>
      <c r="G65" s="4">
        <f t="shared" si="45"/>
        <v>1048</v>
      </c>
      <c r="H65" s="4">
        <f t="shared" si="45"/>
        <v>4553.9760000000006</v>
      </c>
      <c r="I65" s="4">
        <f t="shared" si="45"/>
        <v>3263.943549164811</v>
      </c>
      <c r="J65" s="4">
        <f t="shared" si="45"/>
        <v>0</v>
      </c>
      <c r="K65" s="4">
        <f t="shared" si="45"/>
        <v>0</v>
      </c>
      <c r="L65" s="4">
        <f t="shared" si="45"/>
        <v>0</v>
      </c>
      <c r="M65" s="13" t="s">
        <v>132</v>
      </c>
      <c r="N65" s="4">
        <f t="shared" ref="N65:O65" si="46">SUM(N48:N63)</f>
        <v>0</v>
      </c>
      <c r="O65" s="4">
        <f t="shared" si="46"/>
        <v>15272.343549164812</v>
      </c>
      <c r="P65" s="4">
        <f>SUM(P48:P63)</f>
        <v>15272.343549164812</v>
      </c>
      <c r="Q65" s="4">
        <f>SUM(Q48:Q63)</f>
        <v>15272.343549164812</v>
      </c>
      <c r="R65" s="4">
        <f t="shared" ref="R65:W65" si="47">SUM(R48:R63)</f>
        <v>0</v>
      </c>
      <c r="S65" s="4"/>
      <c r="T65" s="4">
        <v>0</v>
      </c>
      <c r="U65" s="4">
        <v>14550.021000000001</v>
      </c>
      <c r="V65" s="4">
        <f t="shared" si="6"/>
        <v>-722.32254916481179</v>
      </c>
      <c r="W65" s="4">
        <f t="shared" si="47"/>
        <v>0</v>
      </c>
      <c r="X65" s="225">
        <f t="shared" si="8"/>
        <v>0</v>
      </c>
      <c r="Z65" s="182"/>
      <c r="AA65" s="182"/>
    </row>
    <row r="66" spans="1:27" x14ac:dyDescent="0.3">
      <c r="A66" s="81"/>
      <c r="B66" s="81"/>
      <c r="C66" s="81"/>
      <c r="D66" s="82"/>
      <c r="E66" s="86"/>
      <c r="F66" s="86"/>
      <c r="G66" s="86"/>
      <c r="H66" s="87"/>
      <c r="I66" s="87"/>
      <c r="J66" s="87"/>
      <c r="K66" s="84"/>
      <c r="L66" s="84"/>
      <c r="M66" s="80"/>
      <c r="N66" s="86">
        <f t="shared" si="16"/>
        <v>0</v>
      </c>
      <c r="O66" s="86">
        <f t="shared" si="17"/>
        <v>0</v>
      </c>
      <c r="P66" s="86">
        <f t="shared" si="4"/>
        <v>0</v>
      </c>
      <c r="Q66" s="81"/>
      <c r="R66" s="81"/>
      <c r="S66" s="81"/>
      <c r="T66" s="81"/>
      <c r="U66" s="81">
        <v>0</v>
      </c>
      <c r="V66" s="81">
        <f t="shared" si="6"/>
        <v>0</v>
      </c>
      <c r="W66" s="81"/>
      <c r="X66" s="223"/>
      <c r="Z66" s="182"/>
      <c r="AA66" s="182"/>
    </row>
    <row r="67" spans="1:27" x14ac:dyDescent="0.3">
      <c r="A67" s="8">
        <f t="shared" ref="A67:L82" si="48">$Q67/12</f>
        <v>0</v>
      </c>
      <c r="B67" s="8">
        <f t="shared" si="48"/>
        <v>0</v>
      </c>
      <c r="C67" s="8">
        <f t="shared" si="48"/>
        <v>0</v>
      </c>
      <c r="D67" s="8">
        <f t="shared" si="48"/>
        <v>0</v>
      </c>
      <c r="E67" s="8">
        <f t="shared" si="48"/>
        <v>0</v>
      </c>
      <c r="F67" s="8">
        <f t="shared" si="48"/>
        <v>0</v>
      </c>
      <c r="G67" s="8">
        <f t="shared" si="48"/>
        <v>0</v>
      </c>
      <c r="H67" s="8">
        <f t="shared" si="48"/>
        <v>0</v>
      </c>
      <c r="I67" s="8">
        <f t="shared" si="48"/>
        <v>0</v>
      </c>
      <c r="J67" s="8">
        <f t="shared" si="48"/>
        <v>0</v>
      </c>
      <c r="K67" s="8">
        <f t="shared" si="48"/>
        <v>0</v>
      </c>
      <c r="L67" s="8">
        <f>$Q67/12</f>
        <v>0</v>
      </c>
      <c r="M67" s="238" t="s">
        <v>461</v>
      </c>
      <c r="N67" s="8">
        <f t="shared" ref="N67:N89" si="49">SUM(0)</f>
        <v>0</v>
      </c>
      <c r="O67" s="8">
        <f t="shared" ref="O67:O89" si="50">SUM(A67:L67)</f>
        <v>0</v>
      </c>
      <c r="P67" s="8">
        <f t="shared" si="4"/>
        <v>0</v>
      </c>
      <c r="Q67" s="8">
        <v>0</v>
      </c>
      <c r="R67" s="8">
        <f t="shared" ref="R67:R89" si="51">Q67-P67</f>
        <v>0</v>
      </c>
      <c r="S67" s="8"/>
      <c r="T67" s="8"/>
      <c r="U67" s="8">
        <v>0</v>
      </c>
      <c r="V67" s="8">
        <f t="shared" si="6"/>
        <v>0</v>
      </c>
      <c r="W67" s="8"/>
      <c r="X67" s="215">
        <f t="shared" si="8"/>
        <v>0</v>
      </c>
      <c r="Z67" s="182"/>
      <c r="AA67" s="182"/>
    </row>
    <row r="68" spans="1:27" x14ac:dyDescent="0.3">
      <c r="A68" s="7">
        <f t="shared" si="48"/>
        <v>0</v>
      </c>
      <c r="B68" s="7">
        <f t="shared" si="48"/>
        <v>0</v>
      </c>
      <c r="C68" s="7">
        <f t="shared" si="48"/>
        <v>0</v>
      </c>
      <c r="D68" s="7">
        <f t="shared" si="48"/>
        <v>0</v>
      </c>
      <c r="E68" s="7">
        <f t="shared" si="48"/>
        <v>0</v>
      </c>
      <c r="F68" s="7">
        <f t="shared" si="48"/>
        <v>0</v>
      </c>
      <c r="G68" s="7">
        <f t="shared" si="48"/>
        <v>0</v>
      </c>
      <c r="H68" s="7">
        <f t="shared" si="48"/>
        <v>0</v>
      </c>
      <c r="I68" s="7">
        <f t="shared" si="48"/>
        <v>0</v>
      </c>
      <c r="J68" s="7">
        <f t="shared" si="48"/>
        <v>0</v>
      </c>
      <c r="K68" s="7">
        <f t="shared" si="48"/>
        <v>0</v>
      </c>
      <c r="L68" s="7">
        <f t="shared" si="48"/>
        <v>0</v>
      </c>
      <c r="M68" s="13" t="s">
        <v>462</v>
      </c>
      <c r="N68" s="7">
        <f t="shared" si="49"/>
        <v>0</v>
      </c>
      <c r="O68" s="7">
        <f t="shared" si="50"/>
        <v>0</v>
      </c>
      <c r="P68" s="7">
        <f t="shared" si="4"/>
        <v>0</v>
      </c>
      <c r="Q68" s="7">
        <v>0</v>
      </c>
      <c r="R68" s="7">
        <f t="shared" si="51"/>
        <v>0</v>
      </c>
      <c r="S68" s="7"/>
      <c r="T68" s="7"/>
      <c r="U68" s="7">
        <v>0</v>
      </c>
      <c r="V68" s="7">
        <f t="shared" si="6"/>
        <v>0</v>
      </c>
      <c r="W68" s="7"/>
      <c r="X68" s="216">
        <f t="shared" si="8"/>
        <v>0</v>
      </c>
      <c r="Z68" s="182"/>
      <c r="AA68" s="182"/>
    </row>
    <row r="69" spans="1:27" x14ac:dyDescent="0.3">
      <c r="A69" s="7">
        <f t="shared" si="48"/>
        <v>0</v>
      </c>
      <c r="B69" s="7">
        <f t="shared" si="48"/>
        <v>0</v>
      </c>
      <c r="C69" s="7">
        <f t="shared" si="48"/>
        <v>0</v>
      </c>
      <c r="D69" s="7">
        <f t="shared" si="48"/>
        <v>0</v>
      </c>
      <c r="E69" s="7">
        <f t="shared" si="48"/>
        <v>0</v>
      </c>
      <c r="F69" s="7">
        <f t="shared" si="48"/>
        <v>0</v>
      </c>
      <c r="G69" s="7">
        <f t="shared" si="48"/>
        <v>0</v>
      </c>
      <c r="H69" s="7">
        <f t="shared" si="48"/>
        <v>0</v>
      </c>
      <c r="I69" s="7">
        <f t="shared" si="48"/>
        <v>0</v>
      </c>
      <c r="J69" s="7">
        <f t="shared" si="48"/>
        <v>0</v>
      </c>
      <c r="K69" s="7">
        <f t="shared" si="48"/>
        <v>0</v>
      </c>
      <c r="L69" s="7">
        <f t="shared" si="48"/>
        <v>0</v>
      </c>
      <c r="M69" s="13" t="s">
        <v>463</v>
      </c>
      <c r="N69" s="7">
        <f t="shared" si="49"/>
        <v>0</v>
      </c>
      <c r="O69" s="7">
        <f t="shared" si="50"/>
        <v>0</v>
      </c>
      <c r="P69" s="7">
        <f t="shared" si="4"/>
        <v>0</v>
      </c>
      <c r="Q69" s="7">
        <v>0</v>
      </c>
      <c r="R69" s="7">
        <f t="shared" si="51"/>
        <v>0</v>
      </c>
      <c r="S69" s="7"/>
      <c r="T69" s="7"/>
      <c r="U69" s="7">
        <v>0</v>
      </c>
      <c r="V69" s="7">
        <f t="shared" si="6"/>
        <v>0</v>
      </c>
      <c r="W69" s="7"/>
      <c r="X69" s="216">
        <f t="shared" si="8"/>
        <v>0</v>
      </c>
      <c r="Z69" s="182"/>
      <c r="AA69" s="182"/>
    </row>
    <row r="70" spans="1:27" x14ac:dyDescent="0.3">
      <c r="A70" s="7">
        <f t="shared" si="48"/>
        <v>0</v>
      </c>
      <c r="B70" s="7">
        <f t="shared" si="48"/>
        <v>0</v>
      </c>
      <c r="C70" s="7">
        <f t="shared" si="48"/>
        <v>0</v>
      </c>
      <c r="D70" s="7">
        <f t="shared" si="48"/>
        <v>0</v>
      </c>
      <c r="E70" s="7">
        <f t="shared" si="48"/>
        <v>0</v>
      </c>
      <c r="F70" s="7">
        <f t="shared" si="48"/>
        <v>0</v>
      </c>
      <c r="G70" s="7">
        <f t="shared" si="48"/>
        <v>0</v>
      </c>
      <c r="H70" s="7">
        <f t="shared" si="48"/>
        <v>0</v>
      </c>
      <c r="I70" s="7">
        <f t="shared" si="48"/>
        <v>0</v>
      </c>
      <c r="J70" s="7">
        <f t="shared" si="48"/>
        <v>0</v>
      </c>
      <c r="K70" s="7">
        <f t="shared" si="48"/>
        <v>0</v>
      </c>
      <c r="L70" s="7">
        <f t="shared" si="48"/>
        <v>0</v>
      </c>
      <c r="M70" s="13" t="s">
        <v>464</v>
      </c>
      <c r="N70" s="7">
        <f t="shared" si="49"/>
        <v>0</v>
      </c>
      <c r="O70" s="7">
        <f t="shared" si="50"/>
        <v>0</v>
      </c>
      <c r="P70" s="7">
        <f t="shared" si="4"/>
        <v>0</v>
      </c>
      <c r="Q70" s="7">
        <v>0</v>
      </c>
      <c r="R70" s="7">
        <f t="shared" si="51"/>
        <v>0</v>
      </c>
      <c r="S70" s="7"/>
      <c r="T70" s="7"/>
      <c r="U70" s="7">
        <v>0</v>
      </c>
      <c r="V70" s="7">
        <f t="shared" si="6"/>
        <v>0</v>
      </c>
      <c r="W70" s="7"/>
      <c r="X70" s="216">
        <f t="shared" si="8"/>
        <v>0</v>
      </c>
      <c r="Z70" s="182"/>
      <c r="AA70" s="182"/>
    </row>
    <row r="71" spans="1:27" x14ac:dyDescent="0.3">
      <c r="A71" s="7">
        <f t="shared" si="48"/>
        <v>0</v>
      </c>
      <c r="B71" s="7">
        <f t="shared" si="48"/>
        <v>0</v>
      </c>
      <c r="C71" s="7">
        <f t="shared" si="48"/>
        <v>0</v>
      </c>
      <c r="D71" s="7">
        <f t="shared" si="48"/>
        <v>0</v>
      </c>
      <c r="E71" s="7">
        <f t="shared" si="48"/>
        <v>0</v>
      </c>
      <c r="F71" s="7">
        <f t="shared" si="48"/>
        <v>0</v>
      </c>
      <c r="G71" s="7">
        <f t="shared" si="48"/>
        <v>0</v>
      </c>
      <c r="H71" s="7">
        <f t="shared" si="48"/>
        <v>0</v>
      </c>
      <c r="I71" s="7">
        <f t="shared" si="48"/>
        <v>0</v>
      </c>
      <c r="J71" s="7">
        <f t="shared" si="48"/>
        <v>0</v>
      </c>
      <c r="K71" s="7">
        <f t="shared" si="48"/>
        <v>0</v>
      </c>
      <c r="L71" s="7">
        <f t="shared" si="48"/>
        <v>0</v>
      </c>
      <c r="M71" s="13" t="s">
        <v>465</v>
      </c>
      <c r="N71" s="7">
        <f t="shared" si="49"/>
        <v>0</v>
      </c>
      <c r="O71" s="7">
        <f t="shared" si="50"/>
        <v>0</v>
      </c>
      <c r="P71" s="7">
        <f t="shared" si="4"/>
        <v>0</v>
      </c>
      <c r="Q71" s="7">
        <v>0</v>
      </c>
      <c r="R71" s="7">
        <f t="shared" si="51"/>
        <v>0</v>
      </c>
      <c r="S71" s="7"/>
      <c r="T71" s="7"/>
      <c r="U71" s="7">
        <v>0</v>
      </c>
      <c r="V71" s="7">
        <f t="shared" si="6"/>
        <v>0</v>
      </c>
      <c r="W71" s="7"/>
      <c r="X71" s="216">
        <f t="shared" si="8"/>
        <v>0</v>
      </c>
      <c r="Z71" s="182"/>
      <c r="AA71" s="182"/>
    </row>
    <row r="72" spans="1:27" x14ac:dyDescent="0.3">
      <c r="A72" s="7">
        <f>2271*1.048</f>
        <v>2380.0080000000003</v>
      </c>
      <c r="B72" s="7">
        <f t="shared" ref="B72:K72" si="52">2271*1.048</f>
        <v>2380.0080000000003</v>
      </c>
      <c r="C72" s="7">
        <f t="shared" si="52"/>
        <v>2380.0080000000003</v>
      </c>
      <c r="D72" s="7">
        <f t="shared" si="52"/>
        <v>2380.0080000000003</v>
      </c>
      <c r="E72" s="7">
        <f t="shared" si="52"/>
        <v>2380.0080000000003</v>
      </c>
      <c r="F72" s="7">
        <f t="shared" si="52"/>
        <v>2380.0080000000003</v>
      </c>
      <c r="G72" s="7">
        <f t="shared" si="52"/>
        <v>2380.0080000000003</v>
      </c>
      <c r="H72" s="7">
        <f t="shared" si="52"/>
        <v>2380.0080000000003</v>
      </c>
      <c r="I72" s="7">
        <f t="shared" si="52"/>
        <v>2380.0080000000003</v>
      </c>
      <c r="J72" s="7">
        <f t="shared" si="52"/>
        <v>2380.0080000000003</v>
      </c>
      <c r="K72" s="7">
        <f t="shared" si="52"/>
        <v>2380.0080000000003</v>
      </c>
      <c r="L72" s="7">
        <f>2271*1.048-1</f>
        <v>2379.0080000000003</v>
      </c>
      <c r="M72" s="13" t="s">
        <v>466</v>
      </c>
      <c r="N72" s="7">
        <f t="shared" si="49"/>
        <v>0</v>
      </c>
      <c r="O72" s="7">
        <f t="shared" si="50"/>
        <v>28559.096000000009</v>
      </c>
      <c r="P72" s="7">
        <f t="shared" ref="P72:P128" si="53">SUM(N72:O72)</f>
        <v>28559.096000000009</v>
      </c>
      <c r="Q72" s="7">
        <v>28559.096000000009</v>
      </c>
      <c r="R72" s="7">
        <f t="shared" si="51"/>
        <v>0</v>
      </c>
      <c r="S72" s="7"/>
      <c r="T72" s="7"/>
      <c r="U72" s="7">
        <v>27251</v>
      </c>
      <c r="V72" s="7">
        <f t="shared" ref="V72:V129" si="54">U72-P72</f>
        <v>-1308.0960000000086</v>
      </c>
      <c r="W72" s="7"/>
      <c r="X72" s="216">
        <f t="shared" si="8"/>
        <v>0</v>
      </c>
      <c r="Z72" s="182"/>
      <c r="AA72" s="182"/>
    </row>
    <row r="73" spans="1:27" x14ac:dyDescent="0.3">
      <c r="A73" s="7">
        <f t="shared" si="48"/>
        <v>0</v>
      </c>
      <c r="B73" s="7">
        <f t="shared" si="48"/>
        <v>0</v>
      </c>
      <c r="C73" s="7">
        <f t="shared" si="48"/>
        <v>0</v>
      </c>
      <c r="D73" s="7">
        <f t="shared" si="48"/>
        <v>0</v>
      </c>
      <c r="E73" s="7">
        <f t="shared" si="48"/>
        <v>0</v>
      </c>
      <c r="F73" s="7">
        <f t="shared" si="48"/>
        <v>0</v>
      </c>
      <c r="G73" s="7">
        <f t="shared" si="48"/>
        <v>0</v>
      </c>
      <c r="H73" s="7">
        <f t="shared" si="48"/>
        <v>0</v>
      </c>
      <c r="I73" s="7">
        <f t="shared" si="48"/>
        <v>0</v>
      </c>
      <c r="J73" s="7">
        <f t="shared" si="48"/>
        <v>0</v>
      </c>
      <c r="K73" s="7">
        <f t="shared" si="48"/>
        <v>0</v>
      </c>
      <c r="L73" s="7">
        <f t="shared" si="48"/>
        <v>0</v>
      </c>
      <c r="M73" s="13" t="s">
        <v>453</v>
      </c>
      <c r="N73" s="7">
        <f t="shared" si="49"/>
        <v>0</v>
      </c>
      <c r="O73" s="7">
        <f t="shared" si="50"/>
        <v>0</v>
      </c>
      <c r="P73" s="7">
        <f t="shared" si="53"/>
        <v>0</v>
      </c>
      <c r="Q73" s="7">
        <v>0</v>
      </c>
      <c r="R73" s="7">
        <f t="shared" si="51"/>
        <v>0</v>
      </c>
      <c r="S73" s="7"/>
      <c r="T73" s="7"/>
      <c r="U73" s="7">
        <v>0</v>
      </c>
      <c r="V73" s="7">
        <f t="shared" si="54"/>
        <v>0</v>
      </c>
      <c r="W73" s="7"/>
      <c r="X73" s="216">
        <f t="shared" ref="X73:X127" si="55">IFERROR(N73/Q73,0)</f>
        <v>0</v>
      </c>
      <c r="Z73" s="182"/>
      <c r="AA73" s="182"/>
    </row>
    <row r="74" spans="1:27" x14ac:dyDescent="0.3">
      <c r="A74" s="7">
        <f>280032*1.048</f>
        <v>293473.53600000002</v>
      </c>
      <c r="B74" s="7">
        <f t="shared" ref="B74:K74" si="56">280032*1.048</f>
        <v>293473.53600000002</v>
      </c>
      <c r="C74" s="7">
        <f t="shared" si="56"/>
        <v>293473.53600000002</v>
      </c>
      <c r="D74" s="7">
        <f t="shared" si="56"/>
        <v>293473.53600000002</v>
      </c>
      <c r="E74" s="7">
        <f t="shared" si="56"/>
        <v>293473.53600000002</v>
      </c>
      <c r="F74" s="7">
        <f t="shared" si="56"/>
        <v>293473.53600000002</v>
      </c>
      <c r="G74" s="7">
        <f t="shared" si="56"/>
        <v>293473.53600000002</v>
      </c>
      <c r="H74" s="7">
        <f t="shared" si="56"/>
        <v>293473.53600000002</v>
      </c>
      <c r="I74" s="7">
        <f t="shared" si="56"/>
        <v>293473.53600000002</v>
      </c>
      <c r="J74" s="7">
        <f t="shared" si="56"/>
        <v>293473.53600000002</v>
      </c>
      <c r="K74" s="7">
        <f t="shared" si="56"/>
        <v>293473.53600000002</v>
      </c>
      <c r="L74" s="7">
        <f>280032*1.048+6</f>
        <v>293479.53600000002</v>
      </c>
      <c r="M74" s="238" t="s">
        <v>467</v>
      </c>
      <c r="N74" s="7">
        <f t="shared" si="49"/>
        <v>0</v>
      </c>
      <c r="O74" s="7">
        <f t="shared" si="50"/>
        <v>3521688.4319999996</v>
      </c>
      <c r="P74" s="7">
        <f t="shared" si="53"/>
        <v>3521688.4319999996</v>
      </c>
      <c r="Q74" s="7">
        <v>3521688.4319999996</v>
      </c>
      <c r="R74" s="7">
        <f t="shared" si="51"/>
        <v>0</v>
      </c>
      <c r="S74" s="7"/>
      <c r="T74" s="7"/>
      <c r="U74" s="7">
        <v>3462666.8296299996</v>
      </c>
      <c r="V74" s="7">
        <f t="shared" si="54"/>
        <v>-59021.602369999979</v>
      </c>
      <c r="W74" s="7"/>
      <c r="X74" s="216">
        <f t="shared" si="55"/>
        <v>0</v>
      </c>
      <c r="Z74" s="182"/>
      <c r="AA74" s="182"/>
    </row>
    <row r="75" spans="1:27" x14ac:dyDescent="0.3">
      <c r="A75" s="7">
        <f>11681*1.048</f>
        <v>12241.688</v>
      </c>
      <c r="B75" s="7">
        <f t="shared" ref="B75:K75" si="57">11681*1.048</f>
        <v>12241.688</v>
      </c>
      <c r="C75" s="7">
        <f t="shared" si="57"/>
        <v>12241.688</v>
      </c>
      <c r="D75" s="7">
        <f t="shared" si="57"/>
        <v>12241.688</v>
      </c>
      <c r="E75" s="7">
        <f t="shared" si="57"/>
        <v>12241.688</v>
      </c>
      <c r="F75" s="7">
        <f t="shared" si="57"/>
        <v>12241.688</v>
      </c>
      <c r="G75" s="7">
        <f t="shared" si="57"/>
        <v>12241.688</v>
      </c>
      <c r="H75" s="7">
        <f t="shared" si="57"/>
        <v>12241.688</v>
      </c>
      <c r="I75" s="7">
        <f t="shared" si="57"/>
        <v>12241.688</v>
      </c>
      <c r="J75" s="7">
        <f t="shared" si="57"/>
        <v>12241.688</v>
      </c>
      <c r="K75" s="7">
        <f t="shared" si="57"/>
        <v>12241.688</v>
      </c>
      <c r="L75" s="7">
        <f>(11681*1.048)+3</f>
        <v>12244.688</v>
      </c>
      <c r="M75" s="13" t="s">
        <v>468</v>
      </c>
      <c r="N75" s="7">
        <f t="shared" si="49"/>
        <v>0</v>
      </c>
      <c r="O75" s="7">
        <f t="shared" si="50"/>
        <v>146903.25599999996</v>
      </c>
      <c r="P75" s="7">
        <f t="shared" si="53"/>
        <v>146903.25599999996</v>
      </c>
      <c r="Q75" s="7">
        <v>146903.25599999996</v>
      </c>
      <c r="R75" s="7">
        <f t="shared" si="51"/>
        <v>0</v>
      </c>
      <c r="S75" s="7"/>
      <c r="T75" s="7">
        <v>-9320.1090000000004</v>
      </c>
      <c r="U75" s="7">
        <v>229721.011</v>
      </c>
      <c r="V75" s="7">
        <f t="shared" si="54"/>
        <v>82817.755000000034</v>
      </c>
      <c r="W75" s="7" t="s">
        <v>395</v>
      </c>
      <c r="X75" s="216">
        <f t="shared" si="55"/>
        <v>0</v>
      </c>
      <c r="Z75" s="182"/>
      <c r="AA75" s="182"/>
    </row>
    <row r="76" spans="1:27" x14ac:dyDescent="0.3">
      <c r="A76" s="7">
        <f>2249*1.048</f>
        <v>2356.9520000000002</v>
      </c>
      <c r="B76" s="7">
        <f t="shared" ref="B76:K76" si="58">2249*1.048</f>
        <v>2356.9520000000002</v>
      </c>
      <c r="C76" s="7">
        <f t="shared" si="58"/>
        <v>2356.9520000000002</v>
      </c>
      <c r="D76" s="7">
        <f t="shared" si="58"/>
        <v>2356.9520000000002</v>
      </c>
      <c r="E76" s="7">
        <f t="shared" si="58"/>
        <v>2356.9520000000002</v>
      </c>
      <c r="F76" s="7">
        <f t="shared" si="58"/>
        <v>2356.9520000000002</v>
      </c>
      <c r="G76" s="7">
        <f t="shared" si="58"/>
        <v>2356.9520000000002</v>
      </c>
      <c r="H76" s="7">
        <f t="shared" si="58"/>
        <v>2356.9520000000002</v>
      </c>
      <c r="I76" s="7">
        <f t="shared" si="58"/>
        <v>2356.9520000000002</v>
      </c>
      <c r="J76" s="7">
        <f t="shared" si="58"/>
        <v>2356.9520000000002</v>
      </c>
      <c r="K76" s="7">
        <f t="shared" si="58"/>
        <v>2356.9520000000002</v>
      </c>
      <c r="L76" s="7">
        <f>(2249*1.048)-4</f>
        <v>2352.9520000000002</v>
      </c>
      <c r="M76" s="13" t="s">
        <v>469</v>
      </c>
      <c r="N76" s="7">
        <f t="shared" si="49"/>
        <v>0</v>
      </c>
      <c r="O76" s="7">
        <f t="shared" si="50"/>
        <v>28279.42400000001</v>
      </c>
      <c r="P76" s="7">
        <f t="shared" si="53"/>
        <v>28279.42400000001</v>
      </c>
      <c r="Q76" s="7">
        <v>28279.42400000001</v>
      </c>
      <c r="R76" s="7">
        <f t="shared" si="51"/>
        <v>0</v>
      </c>
      <c r="S76" s="7"/>
      <c r="T76" s="7">
        <v>9320.1089999999967</v>
      </c>
      <c r="U76" s="7">
        <v>26983.749999999996</v>
      </c>
      <c r="V76" s="7">
        <f t="shared" si="54"/>
        <v>-1295.6740000000136</v>
      </c>
      <c r="W76" s="7" t="s">
        <v>395</v>
      </c>
      <c r="X76" s="216">
        <f t="shared" si="55"/>
        <v>0</v>
      </c>
      <c r="Z76" s="182"/>
      <c r="AA76" s="182"/>
    </row>
    <row r="77" spans="1:27" x14ac:dyDescent="0.3">
      <c r="A77" s="7">
        <f t="shared" si="48"/>
        <v>0</v>
      </c>
      <c r="B77" s="7">
        <f t="shared" si="48"/>
        <v>0</v>
      </c>
      <c r="C77" s="7">
        <f t="shared" si="48"/>
        <v>0</v>
      </c>
      <c r="D77" s="7">
        <f t="shared" si="48"/>
        <v>0</v>
      </c>
      <c r="E77" s="7">
        <f t="shared" si="48"/>
        <v>0</v>
      </c>
      <c r="F77" s="7">
        <f t="shared" si="48"/>
        <v>0</v>
      </c>
      <c r="G77" s="7">
        <f t="shared" si="48"/>
        <v>0</v>
      </c>
      <c r="H77" s="7">
        <f t="shared" si="48"/>
        <v>0</v>
      </c>
      <c r="I77" s="7">
        <f t="shared" si="48"/>
        <v>0</v>
      </c>
      <c r="J77" s="7">
        <f t="shared" si="48"/>
        <v>0</v>
      </c>
      <c r="K77" s="7">
        <f t="shared" si="48"/>
        <v>0</v>
      </c>
      <c r="L77" s="7">
        <f t="shared" si="48"/>
        <v>0</v>
      </c>
      <c r="M77" s="13" t="s">
        <v>470</v>
      </c>
      <c r="N77" s="7">
        <f t="shared" si="49"/>
        <v>0</v>
      </c>
      <c r="O77" s="7">
        <f t="shared" si="50"/>
        <v>0</v>
      </c>
      <c r="P77" s="7">
        <f t="shared" si="53"/>
        <v>0</v>
      </c>
      <c r="Q77" s="7">
        <v>0</v>
      </c>
      <c r="R77" s="7">
        <f t="shared" si="51"/>
        <v>0</v>
      </c>
      <c r="S77" s="7"/>
      <c r="T77" s="7"/>
      <c r="U77" s="7">
        <v>0</v>
      </c>
      <c r="V77" s="7">
        <f t="shared" si="54"/>
        <v>0</v>
      </c>
      <c r="W77" s="7"/>
      <c r="X77" s="216">
        <f t="shared" si="55"/>
        <v>0</v>
      </c>
      <c r="Z77" s="182"/>
      <c r="AA77" s="182"/>
    </row>
    <row r="78" spans="1:27" x14ac:dyDescent="0.3">
      <c r="A78" s="7">
        <f t="shared" si="48"/>
        <v>0</v>
      </c>
      <c r="B78" s="7">
        <f t="shared" si="48"/>
        <v>0</v>
      </c>
      <c r="C78" s="7">
        <f t="shared" si="48"/>
        <v>0</v>
      </c>
      <c r="D78" s="7">
        <f t="shared" si="48"/>
        <v>0</v>
      </c>
      <c r="E78" s="7">
        <f t="shared" si="48"/>
        <v>0</v>
      </c>
      <c r="F78" s="7">
        <f t="shared" si="48"/>
        <v>0</v>
      </c>
      <c r="G78" s="7">
        <f t="shared" si="48"/>
        <v>0</v>
      </c>
      <c r="H78" s="7">
        <f t="shared" si="48"/>
        <v>0</v>
      </c>
      <c r="I78" s="7">
        <f t="shared" si="48"/>
        <v>0</v>
      </c>
      <c r="J78" s="7">
        <f t="shared" si="48"/>
        <v>0</v>
      </c>
      <c r="K78" s="7">
        <f t="shared" si="48"/>
        <v>0</v>
      </c>
      <c r="L78" s="7">
        <f t="shared" si="48"/>
        <v>0</v>
      </c>
      <c r="M78" s="13" t="s">
        <v>471</v>
      </c>
      <c r="N78" s="7">
        <f t="shared" si="49"/>
        <v>0</v>
      </c>
      <c r="O78" s="7">
        <f t="shared" si="50"/>
        <v>0</v>
      </c>
      <c r="P78" s="7">
        <f t="shared" si="53"/>
        <v>0</v>
      </c>
      <c r="Q78" s="7">
        <v>0</v>
      </c>
      <c r="R78" s="7">
        <f t="shared" si="51"/>
        <v>0</v>
      </c>
      <c r="S78" s="7"/>
      <c r="T78" s="7"/>
      <c r="U78" s="7">
        <v>0</v>
      </c>
      <c r="V78" s="7">
        <f t="shared" si="54"/>
        <v>0</v>
      </c>
      <c r="W78" s="7"/>
      <c r="X78" s="216">
        <f t="shared" si="55"/>
        <v>0</v>
      </c>
      <c r="Z78" s="182"/>
      <c r="AA78" s="182"/>
    </row>
    <row r="79" spans="1:27" x14ac:dyDescent="0.3">
      <c r="A79" s="7">
        <f>8333*1.048</f>
        <v>8732.9840000000004</v>
      </c>
      <c r="B79" s="7">
        <f t="shared" ref="B79:K79" si="59">8333*1.048</f>
        <v>8732.9840000000004</v>
      </c>
      <c r="C79" s="7">
        <f t="shared" si="59"/>
        <v>8732.9840000000004</v>
      </c>
      <c r="D79" s="7">
        <f t="shared" si="59"/>
        <v>8732.9840000000004</v>
      </c>
      <c r="E79" s="7">
        <f t="shared" si="59"/>
        <v>8732.9840000000004</v>
      </c>
      <c r="F79" s="7">
        <f t="shared" si="59"/>
        <v>8732.9840000000004</v>
      </c>
      <c r="G79" s="7">
        <f t="shared" si="59"/>
        <v>8732.9840000000004</v>
      </c>
      <c r="H79" s="7">
        <f t="shared" si="59"/>
        <v>8732.9840000000004</v>
      </c>
      <c r="I79" s="7">
        <f t="shared" si="59"/>
        <v>8732.9840000000004</v>
      </c>
      <c r="J79" s="7">
        <f t="shared" si="59"/>
        <v>8732.9840000000004</v>
      </c>
      <c r="K79" s="7">
        <f t="shared" si="59"/>
        <v>8732.9840000000004</v>
      </c>
      <c r="L79" s="7">
        <f>8333*1.048+4</f>
        <v>8736.9840000000004</v>
      </c>
      <c r="M79" s="13" t="s">
        <v>472</v>
      </c>
      <c r="N79" s="7">
        <f t="shared" si="49"/>
        <v>0</v>
      </c>
      <c r="O79" s="7">
        <f t="shared" si="50"/>
        <v>104799.80799999998</v>
      </c>
      <c r="P79" s="7">
        <f t="shared" si="53"/>
        <v>104799.80799999998</v>
      </c>
      <c r="Q79" s="7">
        <v>104799.80799999998</v>
      </c>
      <c r="R79" s="7">
        <f t="shared" si="51"/>
        <v>0</v>
      </c>
      <c r="S79" s="7"/>
      <c r="T79" s="7"/>
      <c r="U79" s="7">
        <v>100000</v>
      </c>
      <c r="V79" s="7">
        <f t="shared" si="54"/>
        <v>-4799.8079999999754</v>
      </c>
      <c r="W79" s="7"/>
      <c r="X79" s="216">
        <f t="shared" si="55"/>
        <v>0</v>
      </c>
      <c r="Z79" s="182"/>
      <c r="AA79" s="182"/>
    </row>
    <row r="80" spans="1:27" x14ac:dyDescent="0.3">
      <c r="A80" s="7">
        <f t="shared" si="48"/>
        <v>0</v>
      </c>
      <c r="B80" s="7">
        <f t="shared" si="48"/>
        <v>0</v>
      </c>
      <c r="C80" s="7">
        <f t="shared" si="48"/>
        <v>0</v>
      </c>
      <c r="D80" s="7">
        <f t="shared" si="48"/>
        <v>0</v>
      </c>
      <c r="E80" s="7">
        <f t="shared" si="48"/>
        <v>0</v>
      </c>
      <c r="F80" s="7">
        <f t="shared" si="48"/>
        <v>0</v>
      </c>
      <c r="G80" s="7">
        <f t="shared" si="48"/>
        <v>0</v>
      </c>
      <c r="H80" s="7">
        <f t="shared" si="48"/>
        <v>0</v>
      </c>
      <c r="I80" s="7">
        <f t="shared" si="48"/>
        <v>0</v>
      </c>
      <c r="J80" s="7">
        <f t="shared" si="48"/>
        <v>0</v>
      </c>
      <c r="K80" s="7">
        <f t="shared" si="48"/>
        <v>0</v>
      </c>
      <c r="L80" s="7">
        <f t="shared" si="48"/>
        <v>0</v>
      </c>
      <c r="M80" s="13" t="s">
        <v>145</v>
      </c>
      <c r="N80" s="7">
        <f t="shared" si="49"/>
        <v>0</v>
      </c>
      <c r="O80" s="7">
        <f t="shared" si="50"/>
        <v>0</v>
      </c>
      <c r="P80" s="7">
        <f t="shared" si="53"/>
        <v>0</v>
      </c>
      <c r="Q80" s="7">
        <v>0</v>
      </c>
      <c r="R80" s="7">
        <f t="shared" si="51"/>
        <v>0</v>
      </c>
      <c r="S80" s="7"/>
      <c r="T80" s="7"/>
      <c r="U80" s="7">
        <v>0</v>
      </c>
      <c r="V80" s="7">
        <f t="shared" si="54"/>
        <v>0</v>
      </c>
      <c r="W80" s="7"/>
      <c r="X80" s="216">
        <f t="shared" si="55"/>
        <v>0</v>
      </c>
      <c r="Z80" s="182"/>
      <c r="AA80" s="182"/>
    </row>
    <row r="81" spans="1:27" x14ac:dyDescent="0.3">
      <c r="A81" s="7">
        <f t="shared" si="48"/>
        <v>0</v>
      </c>
      <c r="B81" s="7">
        <f t="shared" si="48"/>
        <v>0</v>
      </c>
      <c r="C81" s="7">
        <f t="shared" si="48"/>
        <v>0</v>
      </c>
      <c r="D81" s="7">
        <f t="shared" si="48"/>
        <v>0</v>
      </c>
      <c r="E81" s="7">
        <f t="shared" si="48"/>
        <v>0</v>
      </c>
      <c r="F81" s="7">
        <f t="shared" si="48"/>
        <v>0</v>
      </c>
      <c r="G81" s="7">
        <f t="shared" si="48"/>
        <v>0</v>
      </c>
      <c r="H81" s="7">
        <f t="shared" si="48"/>
        <v>0</v>
      </c>
      <c r="I81" s="7">
        <f t="shared" si="48"/>
        <v>0</v>
      </c>
      <c r="J81" s="7">
        <f t="shared" si="48"/>
        <v>0</v>
      </c>
      <c r="K81" s="7">
        <f t="shared" si="48"/>
        <v>0</v>
      </c>
      <c r="L81" s="7">
        <f t="shared" si="48"/>
        <v>0</v>
      </c>
      <c r="M81" s="238" t="s">
        <v>473</v>
      </c>
      <c r="N81" s="7">
        <f t="shared" si="49"/>
        <v>0</v>
      </c>
      <c r="O81" s="7">
        <f t="shared" si="50"/>
        <v>0</v>
      </c>
      <c r="P81" s="7">
        <f t="shared" si="53"/>
        <v>0</v>
      </c>
      <c r="Q81" s="7">
        <v>0</v>
      </c>
      <c r="R81" s="7">
        <f t="shared" si="51"/>
        <v>0</v>
      </c>
      <c r="S81" s="7"/>
      <c r="T81" s="7"/>
      <c r="U81" s="7">
        <v>0</v>
      </c>
      <c r="V81" s="7">
        <f t="shared" si="54"/>
        <v>0</v>
      </c>
      <c r="W81" s="7"/>
      <c r="X81" s="216">
        <f t="shared" si="55"/>
        <v>0</v>
      </c>
      <c r="Z81" s="182"/>
      <c r="AA81" s="182"/>
    </row>
    <row r="82" spans="1:27" x14ac:dyDescent="0.3">
      <c r="A82" s="7">
        <f t="shared" si="48"/>
        <v>0</v>
      </c>
      <c r="B82" s="7">
        <f t="shared" si="48"/>
        <v>0</v>
      </c>
      <c r="C82" s="7">
        <f t="shared" si="48"/>
        <v>0</v>
      </c>
      <c r="D82" s="7">
        <f t="shared" si="48"/>
        <v>0</v>
      </c>
      <c r="E82" s="7">
        <f t="shared" si="48"/>
        <v>0</v>
      </c>
      <c r="F82" s="7">
        <f t="shared" si="48"/>
        <v>0</v>
      </c>
      <c r="G82" s="7">
        <f t="shared" si="48"/>
        <v>0</v>
      </c>
      <c r="H82" s="7">
        <f t="shared" si="48"/>
        <v>0</v>
      </c>
      <c r="I82" s="7">
        <f t="shared" si="48"/>
        <v>0</v>
      </c>
      <c r="J82" s="7">
        <f t="shared" si="48"/>
        <v>0</v>
      </c>
      <c r="K82" s="7">
        <f t="shared" si="48"/>
        <v>0</v>
      </c>
      <c r="L82" s="7">
        <f t="shared" si="48"/>
        <v>0</v>
      </c>
      <c r="M82" s="238" t="s">
        <v>474</v>
      </c>
      <c r="N82" s="7">
        <f t="shared" si="49"/>
        <v>0</v>
      </c>
      <c r="O82" s="7">
        <f t="shared" si="50"/>
        <v>0</v>
      </c>
      <c r="P82" s="7">
        <f t="shared" si="53"/>
        <v>0</v>
      </c>
      <c r="Q82" s="7">
        <v>0</v>
      </c>
      <c r="R82" s="7">
        <f t="shared" si="51"/>
        <v>0</v>
      </c>
      <c r="S82" s="7"/>
      <c r="T82" s="7"/>
      <c r="U82" s="7">
        <v>0</v>
      </c>
      <c r="V82" s="7">
        <f t="shared" si="54"/>
        <v>0</v>
      </c>
      <c r="W82" s="7"/>
      <c r="X82" s="216">
        <f t="shared" si="55"/>
        <v>0</v>
      </c>
      <c r="Z82" s="182"/>
      <c r="AA82" s="182"/>
    </row>
    <row r="83" spans="1:27" x14ac:dyDescent="0.3">
      <c r="A83" s="7">
        <f t="shared" ref="A83:L89" si="60">$Q83/12</f>
        <v>0</v>
      </c>
      <c r="B83" s="7">
        <f t="shared" si="60"/>
        <v>0</v>
      </c>
      <c r="C83" s="7">
        <f t="shared" si="60"/>
        <v>0</v>
      </c>
      <c r="D83" s="7">
        <f t="shared" si="60"/>
        <v>0</v>
      </c>
      <c r="E83" s="7">
        <f t="shared" si="60"/>
        <v>0</v>
      </c>
      <c r="F83" s="7">
        <f t="shared" si="60"/>
        <v>0</v>
      </c>
      <c r="G83" s="7">
        <f t="shared" si="60"/>
        <v>0</v>
      </c>
      <c r="H83" s="7">
        <f t="shared" si="60"/>
        <v>0</v>
      </c>
      <c r="I83" s="7">
        <f t="shared" si="60"/>
        <v>0</v>
      </c>
      <c r="J83" s="7">
        <f t="shared" si="60"/>
        <v>0</v>
      </c>
      <c r="K83" s="7">
        <f t="shared" si="60"/>
        <v>0</v>
      </c>
      <c r="L83" s="7">
        <f t="shared" si="60"/>
        <v>0</v>
      </c>
      <c r="M83" s="238" t="s">
        <v>148</v>
      </c>
      <c r="N83" s="7">
        <f t="shared" si="49"/>
        <v>0</v>
      </c>
      <c r="O83" s="7">
        <f t="shared" si="50"/>
        <v>0</v>
      </c>
      <c r="P83" s="7">
        <f t="shared" si="53"/>
        <v>0</v>
      </c>
      <c r="Q83" s="7">
        <v>0</v>
      </c>
      <c r="R83" s="7">
        <f t="shared" si="51"/>
        <v>0</v>
      </c>
      <c r="S83" s="7"/>
      <c r="T83" s="7"/>
      <c r="U83" s="7">
        <v>0</v>
      </c>
      <c r="V83" s="7">
        <f t="shared" si="54"/>
        <v>0</v>
      </c>
      <c r="W83" s="7"/>
      <c r="X83" s="216">
        <f t="shared" si="55"/>
        <v>0</v>
      </c>
      <c r="Z83" s="182"/>
      <c r="AA83" s="182"/>
    </row>
    <row r="84" spans="1:27" x14ac:dyDescent="0.3">
      <c r="A84" s="7">
        <f t="shared" si="60"/>
        <v>0</v>
      </c>
      <c r="B84" s="7">
        <f t="shared" si="60"/>
        <v>0</v>
      </c>
      <c r="C84" s="7">
        <f t="shared" si="60"/>
        <v>0</v>
      </c>
      <c r="D84" s="7">
        <f t="shared" si="60"/>
        <v>0</v>
      </c>
      <c r="E84" s="7">
        <f t="shared" si="60"/>
        <v>0</v>
      </c>
      <c r="F84" s="7">
        <f t="shared" si="60"/>
        <v>0</v>
      </c>
      <c r="G84" s="7">
        <f t="shared" si="60"/>
        <v>0</v>
      </c>
      <c r="H84" s="7">
        <f t="shared" si="60"/>
        <v>0</v>
      </c>
      <c r="I84" s="7">
        <f t="shared" si="60"/>
        <v>0</v>
      </c>
      <c r="J84" s="7">
        <f t="shared" si="60"/>
        <v>0</v>
      </c>
      <c r="K84" s="7">
        <f t="shared" si="60"/>
        <v>0</v>
      </c>
      <c r="L84" s="7">
        <f t="shared" si="60"/>
        <v>0</v>
      </c>
      <c r="M84" s="13" t="s">
        <v>475</v>
      </c>
      <c r="N84" s="7">
        <f t="shared" si="49"/>
        <v>0</v>
      </c>
      <c r="O84" s="7">
        <f t="shared" si="50"/>
        <v>0</v>
      </c>
      <c r="P84" s="7">
        <f t="shared" si="53"/>
        <v>0</v>
      </c>
      <c r="Q84" s="7">
        <v>0</v>
      </c>
      <c r="R84" s="7">
        <f t="shared" si="51"/>
        <v>0</v>
      </c>
      <c r="S84" s="7"/>
      <c r="T84" s="7"/>
      <c r="U84" s="7">
        <v>0</v>
      </c>
      <c r="V84" s="7">
        <f t="shared" si="54"/>
        <v>0</v>
      </c>
      <c r="W84" s="7"/>
      <c r="X84" s="216">
        <f t="shared" si="55"/>
        <v>0</v>
      </c>
      <c r="Z84" s="182"/>
      <c r="AA84" s="182"/>
    </row>
    <row r="85" spans="1:27" x14ac:dyDescent="0.3">
      <c r="A85" s="7">
        <f t="shared" si="60"/>
        <v>0</v>
      </c>
      <c r="B85" s="7">
        <f t="shared" si="60"/>
        <v>0</v>
      </c>
      <c r="C85" s="7">
        <f t="shared" si="60"/>
        <v>0</v>
      </c>
      <c r="D85" s="7">
        <f t="shared" si="60"/>
        <v>0</v>
      </c>
      <c r="E85" s="7">
        <f t="shared" si="60"/>
        <v>0</v>
      </c>
      <c r="F85" s="7">
        <f t="shared" si="60"/>
        <v>0</v>
      </c>
      <c r="G85" s="7">
        <f t="shared" si="60"/>
        <v>0</v>
      </c>
      <c r="H85" s="7">
        <f t="shared" si="60"/>
        <v>0</v>
      </c>
      <c r="I85" s="7">
        <f t="shared" si="60"/>
        <v>0</v>
      </c>
      <c r="J85" s="7">
        <f t="shared" si="60"/>
        <v>0</v>
      </c>
      <c r="K85" s="7">
        <f t="shared" si="60"/>
        <v>0</v>
      </c>
      <c r="L85" s="7">
        <f t="shared" si="60"/>
        <v>0</v>
      </c>
      <c r="M85" s="13" t="s">
        <v>476</v>
      </c>
      <c r="N85" s="7">
        <f t="shared" si="49"/>
        <v>0</v>
      </c>
      <c r="O85" s="7">
        <f t="shared" si="50"/>
        <v>0</v>
      </c>
      <c r="P85" s="7">
        <f t="shared" si="53"/>
        <v>0</v>
      </c>
      <c r="Q85" s="7">
        <v>0</v>
      </c>
      <c r="R85" s="7">
        <f t="shared" si="51"/>
        <v>0</v>
      </c>
      <c r="S85" s="7"/>
      <c r="T85" s="7"/>
      <c r="U85" s="7">
        <v>16103.362572296999</v>
      </c>
      <c r="V85" s="7">
        <f t="shared" si="54"/>
        <v>16103.362572296999</v>
      </c>
      <c r="W85" s="7"/>
      <c r="X85" s="216">
        <f t="shared" si="55"/>
        <v>0</v>
      </c>
      <c r="Z85" s="182"/>
      <c r="AA85" s="182"/>
    </row>
    <row r="86" spans="1:27" x14ac:dyDescent="0.3">
      <c r="A86" s="7">
        <f t="shared" si="60"/>
        <v>0</v>
      </c>
      <c r="B86" s="7">
        <f t="shared" si="60"/>
        <v>0</v>
      </c>
      <c r="C86" s="7">
        <f t="shared" si="60"/>
        <v>0</v>
      </c>
      <c r="D86" s="7">
        <f t="shared" si="60"/>
        <v>0</v>
      </c>
      <c r="E86" s="7">
        <f t="shared" si="60"/>
        <v>0</v>
      </c>
      <c r="F86" s="7">
        <f t="shared" si="60"/>
        <v>0</v>
      </c>
      <c r="G86" s="7">
        <f t="shared" si="60"/>
        <v>0</v>
      </c>
      <c r="H86" s="7">
        <f t="shared" si="60"/>
        <v>0</v>
      </c>
      <c r="I86" s="7">
        <f t="shared" si="60"/>
        <v>0</v>
      </c>
      <c r="J86" s="7">
        <f t="shared" si="60"/>
        <v>0</v>
      </c>
      <c r="K86" s="7">
        <f t="shared" si="60"/>
        <v>0</v>
      </c>
      <c r="L86" s="7">
        <f t="shared" si="60"/>
        <v>0</v>
      </c>
      <c r="M86" s="13" t="s">
        <v>151</v>
      </c>
      <c r="N86" s="7">
        <f t="shared" si="49"/>
        <v>0</v>
      </c>
      <c r="O86" s="7">
        <f t="shared" si="50"/>
        <v>0</v>
      </c>
      <c r="P86" s="7">
        <f t="shared" si="53"/>
        <v>0</v>
      </c>
      <c r="Q86" s="7">
        <v>0</v>
      </c>
      <c r="R86" s="7">
        <f t="shared" si="51"/>
        <v>0</v>
      </c>
      <c r="S86" s="7"/>
      <c r="T86" s="7"/>
      <c r="U86" s="7">
        <v>0</v>
      </c>
      <c r="V86" s="7">
        <f t="shared" si="54"/>
        <v>0</v>
      </c>
      <c r="W86" s="7"/>
      <c r="X86" s="216">
        <f t="shared" si="55"/>
        <v>0</v>
      </c>
      <c r="Z86" s="182"/>
      <c r="AA86" s="182"/>
    </row>
    <row r="87" spans="1:27" x14ac:dyDescent="0.3">
      <c r="A87" s="7">
        <f t="shared" si="60"/>
        <v>0</v>
      </c>
      <c r="B87" s="7">
        <f t="shared" si="60"/>
        <v>0</v>
      </c>
      <c r="C87" s="7">
        <f t="shared" si="60"/>
        <v>0</v>
      </c>
      <c r="D87" s="7">
        <f t="shared" si="60"/>
        <v>0</v>
      </c>
      <c r="E87" s="7">
        <f t="shared" si="60"/>
        <v>0</v>
      </c>
      <c r="F87" s="7">
        <f t="shared" si="60"/>
        <v>0</v>
      </c>
      <c r="G87" s="7">
        <f t="shared" si="60"/>
        <v>0</v>
      </c>
      <c r="H87" s="7">
        <f t="shared" si="60"/>
        <v>0</v>
      </c>
      <c r="I87" s="7">
        <f t="shared" si="60"/>
        <v>0</v>
      </c>
      <c r="J87" s="7">
        <f t="shared" si="60"/>
        <v>0</v>
      </c>
      <c r="K87" s="7">
        <f t="shared" si="60"/>
        <v>0</v>
      </c>
      <c r="L87" s="7">
        <f t="shared" si="60"/>
        <v>0</v>
      </c>
      <c r="M87" s="13" t="s">
        <v>477</v>
      </c>
      <c r="N87" s="7">
        <f t="shared" si="49"/>
        <v>0</v>
      </c>
      <c r="O87" s="7">
        <f t="shared" si="50"/>
        <v>0</v>
      </c>
      <c r="P87" s="7">
        <f t="shared" si="53"/>
        <v>0</v>
      </c>
      <c r="Q87" s="7">
        <v>0</v>
      </c>
      <c r="R87" s="7">
        <f t="shared" si="51"/>
        <v>0</v>
      </c>
      <c r="S87" s="7"/>
      <c r="T87" s="7"/>
      <c r="U87" s="7">
        <v>0</v>
      </c>
      <c r="V87" s="7">
        <f t="shared" si="54"/>
        <v>0</v>
      </c>
      <c r="W87" s="7"/>
      <c r="X87" s="216">
        <f t="shared" si="55"/>
        <v>0</v>
      </c>
      <c r="Z87" s="182"/>
      <c r="AA87" s="182"/>
    </row>
    <row r="88" spans="1:27" x14ac:dyDescent="0.3">
      <c r="A88" s="7">
        <f t="shared" si="60"/>
        <v>0</v>
      </c>
      <c r="B88" s="7">
        <f t="shared" si="60"/>
        <v>0</v>
      </c>
      <c r="C88" s="7">
        <f t="shared" si="60"/>
        <v>0</v>
      </c>
      <c r="D88" s="7">
        <f t="shared" si="60"/>
        <v>0</v>
      </c>
      <c r="E88" s="7">
        <f t="shared" si="60"/>
        <v>0</v>
      </c>
      <c r="F88" s="7">
        <f t="shared" si="60"/>
        <v>0</v>
      </c>
      <c r="G88" s="7">
        <f t="shared" si="60"/>
        <v>0</v>
      </c>
      <c r="H88" s="7">
        <f t="shared" si="60"/>
        <v>0</v>
      </c>
      <c r="I88" s="7">
        <f t="shared" si="60"/>
        <v>0</v>
      </c>
      <c r="J88" s="7">
        <f t="shared" si="60"/>
        <v>0</v>
      </c>
      <c r="K88" s="7">
        <f t="shared" si="60"/>
        <v>0</v>
      </c>
      <c r="L88" s="7">
        <f t="shared" si="60"/>
        <v>0</v>
      </c>
      <c r="M88" s="13" t="s">
        <v>478</v>
      </c>
      <c r="N88" s="7">
        <f t="shared" si="49"/>
        <v>0</v>
      </c>
      <c r="O88" s="7">
        <f t="shared" si="50"/>
        <v>0</v>
      </c>
      <c r="P88" s="7">
        <f t="shared" si="53"/>
        <v>0</v>
      </c>
      <c r="Q88" s="7">
        <v>0</v>
      </c>
      <c r="R88" s="7">
        <f t="shared" si="51"/>
        <v>0</v>
      </c>
      <c r="S88" s="7"/>
      <c r="T88" s="7"/>
      <c r="U88" s="7">
        <v>0</v>
      </c>
      <c r="V88" s="7">
        <f t="shared" si="54"/>
        <v>0</v>
      </c>
      <c r="W88" s="7"/>
      <c r="X88" s="216">
        <f t="shared" si="55"/>
        <v>0</v>
      </c>
      <c r="Z88" s="182"/>
      <c r="AA88" s="182"/>
    </row>
    <row r="89" spans="1:27" x14ac:dyDescent="0.3">
      <c r="A89" s="11">
        <f t="shared" si="60"/>
        <v>0</v>
      </c>
      <c r="B89" s="11">
        <f t="shared" si="60"/>
        <v>0</v>
      </c>
      <c r="C89" s="11">
        <f t="shared" si="60"/>
        <v>0</v>
      </c>
      <c r="D89" s="11">
        <f t="shared" si="60"/>
        <v>0</v>
      </c>
      <c r="E89" s="11">
        <f t="shared" si="60"/>
        <v>0</v>
      </c>
      <c r="F89" s="11">
        <f t="shared" si="60"/>
        <v>0</v>
      </c>
      <c r="G89" s="11">
        <f t="shared" si="60"/>
        <v>0</v>
      </c>
      <c r="H89" s="11">
        <f t="shared" si="60"/>
        <v>0</v>
      </c>
      <c r="I89" s="11">
        <f t="shared" si="60"/>
        <v>0</v>
      </c>
      <c r="J89" s="11">
        <f t="shared" si="60"/>
        <v>0</v>
      </c>
      <c r="K89" s="11">
        <f t="shared" si="60"/>
        <v>0</v>
      </c>
      <c r="L89" s="11">
        <f t="shared" si="60"/>
        <v>0</v>
      </c>
      <c r="M89" s="238" t="s">
        <v>479</v>
      </c>
      <c r="N89" s="11">
        <f t="shared" si="49"/>
        <v>0</v>
      </c>
      <c r="O89" s="11">
        <f t="shared" si="50"/>
        <v>0</v>
      </c>
      <c r="P89" s="11">
        <f t="shared" si="53"/>
        <v>0</v>
      </c>
      <c r="Q89" s="11">
        <v>0</v>
      </c>
      <c r="R89" s="11">
        <f t="shared" si="51"/>
        <v>0</v>
      </c>
      <c r="S89" s="11"/>
      <c r="T89" s="11"/>
      <c r="U89" s="11">
        <v>0</v>
      </c>
      <c r="V89" s="11">
        <f t="shared" si="54"/>
        <v>0</v>
      </c>
      <c r="W89" s="11"/>
      <c r="X89" s="218">
        <f t="shared" si="55"/>
        <v>0</v>
      </c>
      <c r="Z89" s="182"/>
      <c r="AA89" s="182"/>
    </row>
    <row r="90" spans="1:27" ht="15" thickBot="1" x14ac:dyDescent="0.35">
      <c r="A90" s="93"/>
      <c r="B90" s="93"/>
      <c r="C90" s="93"/>
      <c r="D90" s="94"/>
      <c r="E90" s="91"/>
      <c r="F90" s="91"/>
      <c r="G90" s="91"/>
      <c r="H90" s="91"/>
      <c r="I90" s="91"/>
      <c r="J90" s="91"/>
      <c r="K90" s="92"/>
      <c r="L90" s="92"/>
      <c r="M90" s="13"/>
      <c r="N90" s="91">
        <f t="shared" ref="N90:N128" si="61">SUM(A90:J90)</f>
        <v>0</v>
      </c>
      <c r="O90" s="91">
        <f t="shared" ref="O90:O128" si="62">SUM(K90:L90)</f>
        <v>0</v>
      </c>
      <c r="P90" s="91">
        <f t="shared" si="53"/>
        <v>0</v>
      </c>
      <c r="Q90" s="93">
        <v>0</v>
      </c>
      <c r="R90" s="93"/>
      <c r="S90" s="93"/>
      <c r="T90" s="93"/>
      <c r="U90" s="93">
        <v>0</v>
      </c>
      <c r="V90" s="93">
        <f t="shared" si="54"/>
        <v>0</v>
      </c>
      <c r="W90" s="93"/>
      <c r="X90" s="235">
        <f t="shared" si="55"/>
        <v>0</v>
      </c>
      <c r="Z90" s="182"/>
      <c r="AA90" s="182"/>
    </row>
    <row r="91" spans="1:27" x14ac:dyDescent="0.3">
      <c r="A91" s="4">
        <f>SUM(A67:A89)</f>
        <v>319185.16800000001</v>
      </c>
      <c r="B91" s="4">
        <f t="shared" ref="B91:L91" si="63">SUM(B67:B89)</f>
        <v>319185.16800000001</v>
      </c>
      <c r="C91" s="4">
        <f t="shared" si="63"/>
        <v>319185.16800000001</v>
      </c>
      <c r="D91" s="4">
        <f t="shared" si="63"/>
        <v>319185.16800000001</v>
      </c>
      <c r="E91" s="4">
        <f t="shared" si="63"/>
        <v>319185.16800000001</v>
      </c>
      <c r="F91" s="4">
        <f t="shared" si="63"/>
        <v>319185.16800000001</v>
      </c>
      <c r="G91" s="4">
        <f t="shared" si="63"/>
        <v>319185.16800000001</v>
      </c>
      <c r="H91" s="4">
        <f t="shared" si="63"/>
        <v>319185.16800000001</v>
      </c>
      <c r="I91" s="4">
        <f t="shared" si="63"/>
        <v>319185.16800000001</v>
      </c>
      <c r="J91" s="4">
        <f t="shared" si="63"/>
        <v>319185.16800000001</v>
      </c>
      <c r="K91" s="4">
        <f t="shared" si="63"/>
        <v>319185.16800000001</v>
      </c>
      <c r="L91" s="4">
        <f t="shared" si="63"/>
        <v>319193.16800000001</v>
      </c>
      <c r="M91" s="13" t="s">
        <v>155</v>
      </c>
      <c r="N91" s="4">
        <f t="shared" ref="N91:O91" si="64">SUM(N67:N89)</f>
        <v>0</v>
      </c>
      <c r="O91" s="4">
        <f t="shared" si="64"/>
        <v>3830230.0159999998</v>
      </c>
      <c r="P91" s="4">
        <f t="shared" ref="P91:Q91" si="65">SUM(P67:P89)</f>
        <v>3830230.0159999998</v>
      </c>
      <c r="Q91" s="4">
        <f t="shared" si="65"/>
        <v>3830230.0159999998</v>
      </c>
      <c r="R91" s="4">
        <f t="shared" ref="R91:W91" si="66">SUM(R67:R89)</f>
        <v>0</v>
      </c>
      <c r="S91" s="4"/>
      <c r="T91" s="4">
        <v>0</v>
      </c>
      <c r="U91" s="4">
        <v>3862725.9532022965</v>
      </c>
      <c r="V91" s="4">
        <f t="shared" si="54"/>
        <v>32495.937202296685</v>
      </c>
      <c r="W91" s="4">
        <f t="shared" si="66"/>
        <v>0</v>
      </c>
      <c r="X91" s="225">
        <f t="shared" si="55"/>
        <v>0</v>
      </c>
      <c r="Z91" s="182"/>
      <c r="AA91" s="182"/>
    </row>
    <row r="92" spans="1:27" x14ac:dyDescent="0.3">
      <c r="A92" s="81"/>
      <c r="B92" s="81"/>
      <c r="C92" s="81"/>
      <c r="D92" s="82"/>
      <c r="E92" s="86"/>
      <c r="F92" s="86"/>
      <c r="G92" s="86"/>
      <c r="H92" s="87"/>
      <c r="I92" s="87"/>
      <c r="J92" s="87"/>
      <c r="K92" s="84"/>
      <c r="L92" s="84"/>
      <c r="M92" s="80"/>
      <c r="N92" s="86">
        <f t="shared" si="61"/>
        <v>0</v>
      </c>
      <c r="O92" s="86">
        <f t="shared" si="62"/>
        <v>0</v>
      </c>
      <c r="P92" s="86">
        <f t="shared" si="53"/>
        <v>0</v>
      </c>
      <c r="Q92" s="81">
        <v>0</v>
      </c>
      <c r="R92" s="81"/>
      <c r="S92" s="81"/>
      <c r="T92" s="81"/>
      <c r="U92" s="81">
        <v>0</v>
      </c>
      <c r="V92" s="81">
        <f t="shared" si="54"/>
        <v>0</v>
      </c>
      <c r="W92" s="81"/>
      <c r="X92" s="223"/>
      <c r="Z92" s="182"/>
      <c r="AA92" s="182"/>
    </row>
    <row r="93" spans="1:27" x14ac:dyDescent="0.3">
      <c r="A93" s="8">
        <f>$Q$93/12</f>
        <v>0</v>
      </c>
      <c r="B93" s="8">
        <f t="shared" ref="B93:L93" si="67">$Q$93/12</f>
        <v>0</v>
      </c>
      <c r="C93" s="8">
        <f t="shared" si="67"/>
        <v>0</v>
      </c>
      <c r="D93" s="8">
        <f t="shared" si="67"/>
        <v>0</v>
      </c>
      <c r="E93" s="8">
        <f t="shared" si="67"/>
        <v>0</v>
      </c>
      <c r="F93" s="8">
        <f t="shared" si="67"/>
        <v>0</v>
      </c>
      <c r="G93" s="8">
        <f t="shared" si="67"/>
        <v>0</v>
      </c>
      <c r="H93" s="8">
        <f t="shared" si="67"/>
        <v>0</v>
      </c>
      <c r="I93" s="8">
        <f t="shared" si="67"/>
        <v>0</v>
      </c>
      <c r="J93" s="8"/>
      <c r="K93" s="8">
        <f t="shared" si="67"/>
        <v>0</v>
      </c>
      <c r="L93" s="8">
        <f t="shared" si="67"/>
        <v>0</v>
      </c>
      <c r="M93" s="238" t="s">
        <v>480</v>
      </c>
      <c r="N93" s="8">
        <f t="shared" ref="N93:N100" si="68">SUM(0)</f>
        <v>0</v>
      </c>
      <c r="O93" s="8">
        <f t="shared" ref="O93:O100" si="69">SUM(A93:L93)</f>
        <v>0</v>
      </c>
      <c r="P93" s="8">
        <f t="shared" si="53"/>
        <v>0</v>
      </c>
      <c r="Q93" s="8">
        <v>0</v>
      </c>
      <c r="R93" s="8">
        <f t="shared" ref="R93:R100" si="70">Q93-P93</f>
        <v>0</v>
      </c>
      <c r="S93" s="8"/>
      <c r="T93" s="8"/>
      <c r="U93" s="8">
        <v>0</v>
      </c>
      <c r="V93" s="8">
        <f t="shared" si="54"/>
        <v>0</v>
      </c>
      <c r="W93" s="8"/>
      <c r="X93" s="215">
        <f t="shared" si="55"/>
        <v>0</v>
      </c>
      <c r="Z93" s="182"/>
      <c r="AA93" s="182"/>
    </row>
    <row r="94" spans="1:27" x14ac:dyDescent="0.3">
      <c r="A94" s="7">
        <f>$Q$94/12</f>
        <v>0</v>
      </c>
      <c r="B94" s="7">
        <f t="shared" ref="B94:L94" si="71">$Q$94/12</f>
        <v>0</v>
      </c>
      <c r="C94" s="7">
        <f t="shared" si="71"/>
        <v>0</v>
      </c>
      <c r="D94" s="7">
        <f t="shared" si="71"/>
        <v>0</v>
      </c>
      <c r="E94" s="7">
        <f t="shared" si="71"/>
        <v>0</v>
      </c>
      <c r="F94" s="7">
        <f t="shared" si="71"/>
        <v>0</v>
      </c>
      <c r="G94" s="7">
        <f t="shared" si="71"/>
        <v>0</v>
      </c>
      <c r="H94" s="7">
        <f t="shared" si="71"/>
        <v>0</v>
      </c>
      <c r="I94" s="7">
        <f t="shared" si="71"/>
        <v>0</v>
      </c>
      <c r="J94" s="7"/>
      <c r="K94" s="7">
        <f t="shared" si="71"/>
        <v>0</v>
      </c>
      <c r="L94" s="7">
        <f t="shared" si="71"/>
        <v>0</v>
      </c>
      <c r="M94" s="13" t="s">
        <v>481</v>
      </c>
      <c r="N94" s="7">
        <f t="shared" si="68"/>
        <v>0</v>
      </c>
      <c r="O94" s="7">
        <f t="shared" si="69"/>
        <v>0</v>
      </c>
      <c r="P94" s="7">
        <f t="shared" si="53"/>
        <v>0</v>
      </c>
      <c r="Q94" s="7">
        <v>0</v>
      </c>
      <c r="R94" s="7">
        <f t="shared" si="70"/>
        <v>0</v>
      </c>
      <c r="S94" s="7"/>
      <c r="T94" s="7"/>
      <c r="U94" s="7">
        <v>0</v>
      </c>
      <c r="V94" s="7">
        <f t="shared" si="54"/>
        <v>0</v>
      </c>
      <c r="W94" s="7"/>
      <c r="X94" s="216">
        <f t="shared" si="55"/>
        <v>0</v>
      </c>
      <c r="Z94" s="182"/>
      <c r="AA94" s="182"/>
    </row>
    <row r="95" spans="1:27" x14ac:dyDescent="0.3">
      <c r="A95" s="7">
        <f>$Q$95/12</f>
        <v>0</v>
      </c>
      <c r="B95" s="7">
        <f t="shared" ref="B95:L95" si="72">$Q$95/12</f>
        <v>0</v>
      </c>
      <c r="C95" s="7">
        <f t="shared" si="72"/>
        <v>0</v>
      </c>
      <c r="D95" s="7">
        <f t="shared" si="72"/>
        <v>0</v>
      </c>
      <c r="E95" s="7">
        <f t="shared" si="72"/>
        <v>0</v>
      </c>
      <c r="F95" s="7">
        <f t="shared" si="72"/>
        <v>0</v>
      </c>
      <c r="G95" s="7">
        <f t="shared" si="72"/>
        <v>0</v>
      </c>
      <c r="H95" s="7">
        <f t="shared" si="72"/>
        <v>0</v>
      </c>
      <c r="I95" s="7">
        <f t="shared" si="72"/>
        <v>0</v>
      </c>
      <c r="J95" s="7"/>
      <c r="K95" s="7">
        <f t="shared" si="72"/>
        <v>0</v>
      </c>
      <c r="L95" s="7">
        <f t="shared" si="72"/>
        <v>0</v>
      </c>
      <c r="M95" s="13" t="s">
        <v>482</v>
      </c>
      <c r="N95" s="7">
        <f t="shared" si="68"/>
        <v>0</v>
      </c>
      <c r="O95" s="7">
        <f t="shared" si="69"/>
        <v>0</v>
      </c>
      <c r="P95" s="7">
        <f t="shared" si="53"/>
        <v>0</v>
      </c>
      <c r="Q95" s="7">
        <v>0</v>
      </c>
      <c r="R95" s="7">
        <f t="shared" si="70"/>
        <v>0</v>
      </c>
      <c r="S95" s="7"/>
      <c r="T95" s="7"/>
      <c r="U95" s="7">
        <v>0</v>
      </c>
      <c r="V95" s="7">
        <f t="shared" si="54"/>
        <v>0</v>
      </c>
      <c r="W95" s="7"/>
      <c r="X95" s="216">
        <f t="shared" si="55"/>
        <v>0</v>
      </c>
      <c r="Z95" s="182"/>
      <c r="AA95" s="182"/>
    </row>
    <row r="96" spans="1:27" x14ac:dyDescent="0.3">
      <c r="A96" s="7">
        <f>$Q$96/12</f>
        <v>0</v>
      </c>
      <c r="B96" s="7">
        <f t="shared" ref="B96:L96" si="73">$Q$96/12</f>
        <v>0</v>
      </c>
      <c r="C96" s="7">
        <f t="shared" si="73"/>
        <v>0</v>
      </c>
      <c r="D96" s="7">
        <f t="shared" si="73"/>
        <v>0</v>
      </c>
      <c r="E96" s="7">
        <f t="shared" si="73"/>
        <v>0</v>
      </c>
      <c r="F96" s="7">
        <f t="shared" si="73"/>
        <v>0</v>
      </c>
      <c r="G96" s="7">
        <f t="shared" si="73"/>
        <v>0</v>
      </c>
      <c r="H96" s="7">
        <f t="shared" si="73"/>
        <v>0</v>
      </c>
      <c r="I96" s="7">
        <f t="shared" si="73"/>
        <v>0</v>
      </c>
      <c r="J96" s="7"/>
      <c r="K96" s="7">
        <f t="shared" si="73"/>
        <v>0</v>
      </c>
      <c r="L96" s="7">
        <f t="shared" si="73"/>
        <v>0</v>
      </c>
      <c r="M96" s="13" t="s">
        <v>483</v>
      </c>
      <c r="N96" s="7">
        <f t="shared" si="68"/>
        <v>0</v>
      </c>
      <c r="O96" s="7">
        <f t="shared" si="69"/>
        <v>0</v>
      </c>
      <c r="P96" s="7">
        <f t="shared" si="53"/>
        <v>0</v>
      </c>
      <c r="Q96" s="7">
        <v>0</v>
      </c>
      <c r="R96" s="7">
        <f t="shared" si="70"/>
        <v>0</v>
      </c>
      <c r="S96" s="7"/>
      <c r="T96" s="7"/>
      <c r="U96" s="7">
        <v>0</v>
      </c>
      <c r="V96" s="7">
        <f t="shared" si="54"/>
        <v>0</v>
      </c>
      <c r="W96" s="7"/>
      <c r="X96" s="216">
        <f t="shared" si="55"/>
        <v>0</v>
      </c>
      <c r="Z96" s="182"/>
      <c r="AA96" s="182"/>
    </row>
    <row r="97" spans="1:27" x14ac:dyDescent="0.3">
      <c r="A97" s="7">
        <f>$Q$97/12</f>
        <v>0</v>
      </c>
      <c r="B97" s="7">
        <f t="shared" ref="B97:L97" si="74">$Q$97/12</f>
        <v>0</v>
      </c>
      <c r="C97" s="7">
        <f t="shared" si="74"/>
        <v>0</v>
      </c>
      <c r="D97" s="7">
        <f t="shared" si="74"/>
        <v>0</v>
      </c>
      <c r="E97" s="7">
        <f t="shared" si="74"/>
        <v>0</v>
      </c>
      <c r="F97" s="7">
        <f t="shared" si="74"/>
        <v>0</v>
      </c>
      <c r="G97" s="7">
        <f t="shared" si="74"/>
        <v>0</v>
      </c>
      <c r="H97" s="7">
        <f t="shared" si="74"/>
        <v>0</v>
      </c>
      <c r="I97" s="7">
        <f t="shared" si="74"/>
        <v>0</v>
      </c>
      <c r="J97" s="7"/>
      <c r="K97" s="7">
        <f t="shared" si="74"/>
        <v>0</v>
      </c>
      <c r="L97" s="7">
        <f t="shared" si="74"/>
        <v>0</v>
      </c>
      <c r="M97" s="13" t="s">
        <v>484</v>
      </c>
      <c r="N97" s="7">
        <f t="shared" si="68"/>
        <v>0</v>
      </c>
      <c r="O97" s="7">
        <f t="shared" si="69"/>
        <v>0</v>
      </c>
      <c r="P97" s="7">
        <f t="shared" si="53"/>
        <v>0</v>
      </c>
      <c r="Q97" s="7">
        <v>0</v>
      </c>
      <c r="R97" s="7">
        <f t="shared" si="70"/>
        <v>0</v>
      </c>
      <c r="S97" s="7"/>
      <c r="T97" s="7"/>
      <c r="U97" s="7">
        <v>0</v>
      </c>
      <c r="V97" s="7">
        <f t="shared" si="54"/>
        <v>0</v>
      </c>
      <c r="W97" s="7"/>
      <c r="X97" s="216">
        <f t="shared" si="55"/>
        <v>0</v>
      </c>
      <c r="Z97" s="182"/>
      <c r="AA97" s="182"/>
    </row>
    <row r="98" spans="1:27" x14ac:dyDescent="0.3">
      <c r="A98" s="7">
        <f>$Q$98/12</f>
        <v>0</v>
      </c>
      <c r="B98" s="7">
        <f t="shared" ref="B98:L98" si="75">$Q$98/12</f>
        <v>0</v>
      </c>
      <c r="C98" s="7">
        <f t="shared" si="75"/>
        <v>0</v>
      </c>
      <c r="D98" s="7">
        <f t="shared" si="75"/>
        <v>0</v>
      </c>
      <c r="E98" s="7">
        <f t="shared" si="75"/>
        <v>0</v>
      </c>
      <c r="F98" s="7">
        <f t="shared" si="75"/>
        <v>0</v>
      </c>
      <c r="G98" s="7">
        <f t="shared" si="75"/>
        <v>0</v>
      </c>
      <c r="H98" s="7">
        <f t="shared" si="75"/>
        <v>0</v>
      </c>
      <c r="I98" s="7">
        <f t="shared" si="75"/>
        <v>0</v>
      </c>
      <c r="J98" s="7"/>
      <c r="K98" s="7">
        <f t="shared" si="75"/>
        <v>0</v>
      </c>
      <c r="L98" s="7">
        <f t="shared" si="75"/>
        <v>0</v>
      </c>
      <c r="M98" s="13" t="s">
        <v>485</v>
      </c>
      <c r="N98" s="7">
        <f t="shared" si="68"/>
        <v>0</v>
      </c>
      <c r="O98" s="7">
        <f t="shared" si="69"/>
        <v>0</v>
      </c>
      <c r="P98" s="7">
        <f t="shared" si="53"/>
        <v>0</v>
      </c>
      <c r="Q98" s="7">
        <v>0</v>
      </c>
      <c r="R98" s="7">
        <f t="shared" si="70"/>
        <v>0</v>
      </c>
      <c r="S98" s="7"/>
      <c r="T98" s="7"/>
      <c r="U98" s="7">
        <v>0</v>
      </c>
      <c r="V98" s="7">
        <f t="shared" si="54"/>
        <v>0</v>
      </c>
      <c r="W98" s="7"/>
      <c r="X98" s="216">
        <f>IFERROR(N98/Q98,0)</f>
        <v>0</v>
      </c>
      <c r="Z98" s="182"/>
      <c r="AA98" s="182"/>
    </row>
    <row r="99" spans="1:27" x14ac:dyDescent="0.3">
      <c r="A99" s="7">
        <f>$Q$99/12</f>
        <v>0</v>
      </c>
      <c r="B99" s="7">
        <f t="shared" ref="B99:L99" si="76">$Q$99/12</f>
        <v>0</v>
      </c>
      <c r="C99" s="7">
        <f t="shared" si="76"/>
        <v>0</v>
      </c>
      <c r="D99" s="7">
        <f t="shared" si="76"/>
        <v>0</v>
      </c>
      <c r="E99" s="7">
        <f t="shared" si="76"/>
        <v>0</v>
      </c>
      <c r="F99" s="7">
        <f t="shared" si="76"/>
        <v>0</v>
      </c>
      <c r="G99" s="7">
        <f t="shared" si="76"/>
        <v>0</v>
      </c>
      <c r="H99" s="7">
        <f t="shared" si="76"/>
        <v>0</v>
      </c>
      <c r="I99" s="7">
        <f t="shared" si="76"/>
        <v>0</v>
      </c>
      <c r="J99" s="7"/>
      <c r="K99" s="7">
        <f t="shared" si="76"/>
        <v>0</v>
      </c>
      <c r="L99" s="7">
        <f t="shared" si="76"/>
        <v>0</v>
      </c>
      <c r="M99" s="13" t="s">
        <v>486</v>
      </c>
      <c r="N99" s="7">
        <f t="shared" si="68"/>
        <v>0</v>
      </c>
      <c r="O99" s="7">
        <f t="shared" si="69"/>
        <v>0</v>
      </c>
      <c r="P99" s="7">
        <f t="shared" si="53"/>
        <v>0</v>
      </c>
      <c r="Q99" s="7">
        <v>0</v>
      </c>
      <c r="R99" s="7">
        <f t="shared" si="70"/>
        <v>0</v>
      </c>
      <c r="S99" s="7"/>
      <c r="T99" s="7"/>
      <c r="U99" s="7">
        <v>0</v>
      </c>
      <c r="V99" s="7">
        <f t="shared" si="54"/>
        <v>0</v>
      </c>
      <c r="W99" s="7"/>
      <c r="X99" s="216">
        <f t="shared" si="55"/>
        <v>0</v>
      </c>
      <c r="Z99" s="182"/>
      <c r="AA99" s="182"/>
    </row>
    <row r="100" spans="1:27" x14ac:dyDescent="0.3">
      <c r="A100" s="11">
        <f>$Q$100/12</f>
        <v>0</v>
      </c>
      <c r="B100" s="11">
        <f t="shared" ref="B100:L100" si="77">$Q$100/12</f>
        <v>0</v>
      </c>
      <c r="C100" s="11">
        <f t="shared" si="77"/>
        <v>0</v>
      </c>
      <c r="D100" s="11">
        <f t="shared" si="77"/>
        <v>0</v>
      </c>
      <c r="E100" s="11">
        <f t="shared" si="77"/>
        <v>0</v>
      </c>
      <c r="F100" s="11">
        <f t="shared" si="77"/>
        <v>0</v>
      </c>
      <c r="G100" s="11">
        <f t="shared" si="77"/>
        <v>0</v>
      </c>
      <c r="H100" s="11">
        <f t="shared" si="77"/>
        <v>0</v>
      </c>
      <c r="I100" s="11">
        <f t="shared" si="77"/>
        <v>0</v>
      </c>
      <c r="J100" s="11"/>
      <c r="K100" s="11">
        <f t="shared" si="77"/>
        <v>0</v>
      </c>
      <c r="L100" s="11">
        <f t="shared" si="77"/>
        <v>0</v>
      </c>
      <c r="M100" s="238" t="s">
        <v>487</v>
      </c>
      <c r="N100" s="11">
        <f t="shared" si="68"/>
        <v>0</v>
      </c>
      <c r="O100" s="11">
        <f t="shared" si="69"/>
        <v>0</v>
      </c>
      <c r="P100" s="11">
        <f t="shared" si="53"/>
        <v>0</v>
      </c>
      <c r="Q100" s="11">
        <v>0</v>
      </c>
      <c r="R100" s="11">
        <f t="shared" si="70"/>
        <v>0</v>
      </c>
      <c r="S100" s="11"/>
      <c r="T100" s="11"/>
      <c r="U100" s="11">
        <v>0</v>
      </c>
      <c r="V100" s="11">
        <f t="shared" si="54"/>
        <v>0</v>
      </c>
      <c r="W100" s="11"/>
      <c r="X100" s="218">
        <f t="shared" si="55"/>
        <v>0</v>
      </c>
      <c r="Z100" s="182"/>
      <c r="AA100" s="182"/>
    </row>
    <row r="101" spans="1:27" ht="15" thickBot="1" x14ac:dyDescent="0.35">
      <c r="A101" s="89"/>
      <c r="B101" s="89"/>
      <c r="C101" s="89"/>
      <c r="D101" s="90"/>
      <c r="E101" s="91"/>
      <c r="F101" s="91"/>
      <c r="G101" s="91"/>
      <c r="H101" s="91"/>
      <c r="I101" s="91"/>
      <c r="J101" s="91"/>
      <c r="K101" s="92"/>
      <c r="L101" s="92"/>
      <c r="M101" s="13"/>
      <c r="N101" s="91">
        <f t="shared" si="61"/>
        <v>0</v>
      </c>
      <c r="O101" s="91">
        <f t="shared" si="62"/>
        <v>0</v>
      </c>
      <c r="P101" s="91">
        <f t="shared" si="53"/>
        <v>0</v>
      </c>
      <c r="Q101" s="89">
        <v>0</v>
      </c>
      <c r="R101" s="89"/>
      <c r="S101" s="89"/>
      <c r="T101" s="89"/>
      <c r="U101" s="89">
        <v>0</v>
      </c>
      <c r="V101" s="89">
        <f t="shared" si="54"/>
        <v>0</v>
      </c>
      <c r="W101" s="89"/>
      <c r="X101" s="233"/>
      <c r="Z101" s="182"/>
      <c r="AA101" s="182"/>
    </row>
    <row r="102" spans="1:27" x14ac:dyDescent="0.3">
      <c r="A102" s="4">
        <f>SUM(A93:A100)</f>
        <v>0</v>
      </c>
      <c r="B102" s="4">
        <f t="shared" ref="B102:L102" si="78">SUM(B93:B100)</f>
        <v>0</v>
      </c>
      <c r="C102" s="4">
        <f t="shared" si="78"/>
        <v>0</v>
      </c>
      <c r="D102" s="4">
        <f t="shared" si="78"/>
        <v>0</v>
      </c>
      <c r="E102" s="4">
        <f t="shared" si="78"/>
        <v>0</v>
      </c>
      <c r="F102" s="4">
        <f t="shared" si="78"/>
        <v>0</v>
      </c>
      <c r="G102" s="4">
        <f t="shared" si="78"/>
        <v>0</v>
      </c>
      <c r="H102" s="4">
        <f t="shared" si="78"/>
        <v>0</v>
      </c>
      <c r="I102" s="4">
        <f t="shared" si="78"/>
        <v>0</v>
      </c>
      <c r="J102" s="4">
        <f t="shared" si="78"/>
        <v>0</v>
      </c>
      <c r="K102" s="4">
        <f t="shared" si="78"/>
        <v>0</v>
      </c>
      <c r="L102" s="4">
        <f t="shared" si="78"/>
        <v>0</v>
      </c>
      <c r="M102" s="13" t="s">
        <v>166</v>
      </c>
      <c r="N102" s="4">
        <f t="shared" ref="N102:O102" si="79">SUM(N93:N100)</f>
        <v>0</v>
      </c>
      <c r="O102" s="4">
        <f t="shared" si="79"/>
        <v>0</v>
      </c>
      <c r="P102" s="4">
        <f t="shared" ref="P102:W102" si="80">SUM(P93:P100)</f>
        <v>0</v>
      </c>
      <c r="Q102" s="4">
        <f t="shared" si="80"/>
        <v>0</v>
      </c>
      <c r="R102" s="4">
        <f t="shared" si="80"/>
        <v>0</v>
      </c>
      <c r="S102" s="4">
        <f t="shared" si="80"/>
        <v>0</v>
      </c>
      <c r="T102" s="4">
        <f t="shared" si="80"/>
        <v>0</v>
      </c>
      <c r="U102" s="4">
        <f t="shared" si="80"/>
        <v>0</v>
      </c>
      <c r="V102" s="4">
        <f t="shared" si="80"/>
        <v>0</v>
      </c>
      <c r="W102" s="4">
        <f t="shared" si="80"/>
        <v>0</v>
      </c>
      <c r="X102" s="225">
        <f t="shared" si="55"/>
        <v>0</v>
      </c>
      <c r="Z102" s="182"/>
      <c r="AA102" s="182"/>
    </row>
    <row r="103" spans="1:27" x14ac:dyDescent="0.3">
      <c r="A103" s="81"/>
      <c r="B103" s="81"/>
      <c r="C103" s="81"/>
      <c r="D103" s="82"/>
      <c r="E103" s="86"/>
      <c r="F103" s="86"/>
      <c r="G103" s="86"/>
      <c r="H103" s="87"/>
      <c r="I103" s="87"/>
      <c r="J103" s="87"/>
      <c r="K103" s="84"/>
      <c r="L103" s="84"/>
      <c r="M103" s="80"/>
      <c r="N103" s="86">
        <f t="shared" si="61"/>
        <v>0</v>
      </c>
      <c r="O103" s="86">
        <f t="shared" si="62"/>
        <v>0</v>
      </c>
      <c r="P103" s="86">
        <f t="shared" si="53"/>
        <v>0</v>
      </c>
      <c r="Q103" s="81">
        <v>0</v>
      </c>
      <c r="R103" s="81"/>
      <c r="S103" s="81"/>
      <c r="T103" s="81"/>
      <c r="U103" s="81">
        <v>0</v>
      </c>
      <c r="V103" s="81">
        <f t="shared" si="54"/>
        <v>0</v>
      </c>
      <c r="W103" s="81"/>
      <c r="X103" s="223"/>
      <c r="Z103" s="182"/>
      <c r="AA103" s="182"/>
    </row>
    <row r="104" spans="1:27" x14ac:dyDescent="0.3">
      <c r="A104" s="8">
        <f>$Q$104/12</f>
        <v>0</v>
      </c>
      <c r="B104" s="8">
        <f t="shared" ref="B104:L104" si="81">$Q$104/12</f>
        <v>0</v>
      </c>
      <c r="C104" s="8">
        <f t="shared" si="81"/>
        <v>0</v>
      </c>
      <c r="D104" s="8">
        <f t="shared" si="81"/>
        <v>0</v>
      </c>
      <c r="E104" s="8">
        <f t="shared" si="81"/>
        <v>0</v>
      </c>
      <c r="F104" s="8">
        <f t="shared" si="81"/>
        <v>0</v>
      </c>
      <c r="G104" s="8">
        <f t="shared" si="81"/>
        <v>0</v>
      </c>
      <c r="H104" s="8">
        <f t="shared" si="81"/>
        <v>0</v>
      </c>
      <c r="I104" s="8">
        <f t="shared" si="81"/>
        <v>0</v>
      </c>
      <c r="J104" s="8"/>
      <c r="K104" s="8">
        <f t="shared" si="81"/>
        <v>0</v>
      </c>
      <c r="L104" s="8">
        <f t="shared" si="81"/>
        <v>0</v>
      </c>
      <c r="M104" s="238" t="s">
        <v>488</v>
      </c>
      <c r="N104" s="8">
        <f t="shared" ref="N104:N106" si="82">SUM(0)</f>
        <v>0</v>
      </c>
      <c r="O104" s="8">
        <f t="shared" ref="O104:O106" si="83">SUM(A104:L104)</f>
        <v>0</v>
      </c>
      <c r="P104" s="8">
        <f t="shared" si="53"/>
        <v>0</v>
      </c>
      <c r="Q104" s="8">
        <v>0</v>
      </c>
      <c r="R104" s="8">
        <f t="shared" ref="R104:R106" si="84">Q104-P104</f>
        <v>0</v>
      </c>
      <c r="S104" s="8"/>
      <c r="T104" s="8"/>
      <c r="U104" s="8">
        <v>0</v>
      </c>
      <c r="V104" s="8">
        <f t="shared" si="54"/>
        <v>0</v>
      </c>
      <c r="W104" s="8"/>
      <c r="X104" s="215">
        <f t="shared" si="55"/>
        <v>0</v>
      </c>
      <c r="Z104" s="182"/>
      <c r="AA104" s="182"/>
    </row>
    <row r="105" spans="1:27" x14ac:dyDescent="0.3">
      <c r="A105" s="7">
        <f>$Q$105/12</f>
        <v>0</v>
      </c>
      <c r="B105" s="7">
        <f t="shared" ref="B105:L105" si="85">$Q$105/12</f>
        <v>0</v>
      </c>
      <c r="C105" s="7">
        <f t="shared" si="85"/>
        <v>0</v>
      </c>
      <c r="D105" s="7">
        <f t="shared" si="85"/>
        <v>0</v>
      </c>
      <c r="E105" s="7">
        <f t="shared" si="85"/>
        <v>0</v>
      </c>
      <c r="F105" s="7">
        <f t="shared" si="85"/>
        <v>0</v>
      </c>
      <c r="G105" s="7">
        <f t="shared" si="85"/>
        <v>0</v>
      </c>
      <c r="H105" s="7">
        <f t="shared" si="85"/>
        <v>0</v>
      </c>
      <c r="I105" s="7">
        <f t="shared" si="85"/>
        <v>0</v>
      </c>
      <c r="J105" s="7"/>
      <c r="K105" s="7">
        <f t="shared" si="85"/>
        <v>0</v>
      </c>
      <c r="L105" s="7">
        <f t="shared" si="85"/>
        <v>0</v>
      </c>
      <c r="M105" s="13" t="s">
        <v>489</v>
      </c>
      <c r="N105" s="7">
        <f t="shared" si="82"/>
        <v>0</v>
      </c>
      <c r="O105" s="7">
        <f t="shared" si="83"/>
        <v>0</v>
      </c>
      <c r="P105" s="7">
        <f t="shared" si="53"/>
        <v>0</v>
      </c>
      <c r="Q105" s="7">
        <v>0</v>
      </c>
      <c r="R105" s="7">
        <f t="shared" si="84"/>
        <v>0</v>
      </c>
      <c r="S105" s="7"/>
      <c r="T105" s="7"/>
      <c r="U105" s="7">
        <v>0</v>
      </c>
      <c r="V105" s="7">
        <f t="shared" si="54"/>
        <v>0</v>
      </c>
      <c r="W105" s="7"/>
      <c r="X105" s="216">
        <f t="shared" si="55"/>
        <v>0</v>
      </c>
      <c r="Z105" s="182"/>
      <c r="AA105" s="182"/>
    </row>
    <row r="106" spans="1:27" x14ac:dyDescent="0.3">
      <c r="A106" s="11">
        <f>$Q$106/12</f>
        <v>0</v>
      </c>
      <c r="B106" s="11">
        <f t="shared" ref="B106:L106" si="86">$Q$106/12</f>
        <v>0</v>
      </c>
      <c r="C106" s="11">
        <f t="shared" si="86"/>
        <v>0</v>
      </c>
      <c r="D106" s="11">
        <f t="shared" si="86"/>
        <v>0</v>
      </c>
      <c r="E106" s="11">
        <f t="shared" si="86"/>
        <v>0</v>
      </c>
      <c r="F106" s="11">
        <f t="shared" si="86"/>
        <v>0</v>
      </c>
      <c r="G106" s="11">
        <f t="shared" si="86"/>
        <v>0</v>
      </c>
      <c r="H106" s="11">
        <f t="shared" si="86"/>
        <v>0</v>
      </c>
      <c r="I106" s="11">
        <f t="shared" si="86"/>
        <v>0</v>
      </c>
      <c r="J106" s="11"/>
      <c r="K106" s="11">
        <f t="shared" si="86"/>
        <v>0</v>
      </c>
      <c r="L106" s="11">
        <f t="shared" si="86"/>
        <v>0</v>
      </c>
      <c r="M106" s="13" t="s">
        <v>490</v>
      </c>
      <c r="N106" s="11">
        <f t="shared" si="82"/>
        <v>0</v>
      </c>
      <c r="O106" s="11">
        <f t="shared" si="83"/>
        <v>0</v>
      </c>
      <c r="P106" s="11">
        <f t="shared" si="53"/>
        <v>0</v>
      </c>
      <c r="Q106" s="11">
        <v>0</v>
      </c>
      <c r="R106" s="11">
        <f t="shared" si="84"/>
        <v>0</v>
      </c>
      <c r="S106" s="11"/>
      <c r="T106" s="11"/>
      <c r="U106" s="11">
        <v>0</v>
      </c>
      <c r="V106" s="11">
        <f t="shared" si="54"/>
        <v>0</v>
      </c>
      <c r="W106" s="11"/>
      <c r="X106" s="218">
        <f t="shared" si="55"/>
        <v>0</v>
      </c>
      <c r="Z106" s="182"/>
      <c r="AA106" s="182"/>
    </row>
    <row r="107" spans="1:27" ht="15" thickBot="1" x14ac:dyDescent="0.35">
      <c r="A107" s="89"/>
      <c r="B107" s="89"/>
      <c r="C107" s="89"/>
      <c r="D107" s="90"/>
      <c r="E107" s="91"/>
      <c r="F107" s="91"/>
      <c r="G107" s="91"/>
      <c r="H107" s="91"/>
      <c r="I107" s="91"/>
      <c r="J107" s="91"/>
      <c r="K107" s="92"/>
      <c r="L107" s="92"/>
      <c r="M107" s="13"/>
      <c r="N107" s="91">
        <f t="shared" si="61"/>
        <v>0</v>
      </c>
      <c r="O107" s="91">
        <f t="shared" si="62"/>
        <v>0</v>
      </c>
      <c r="P107" s="91">
        <f t="shared" si="53"/>
        <v>0</v>
      </c>
      <c r="Q107" s="91">
        <v>0</v>
      </c>
      <c r="R107" s="89"/>
      <c r="S107" s="89"/>
      <c r="T107" s="89"/>
      <c r="U107" s="89">
        <v>0</v>
      </c>
      <c r="V107" s="89">
        <f t="shared" si="54"/>
        <v>0</v>
      </c>
      <c r="W107" s="89"/>
      <c r="X107" s="233">
        <f t="shared" si="55"/>
        <v>0</v>
      </c>
      <c r="Z107" s="182"/>
      <c r="AA107" s="182"/>
    </row>
    <row r="108" spans="1:27" x14ac:dyDescent="0.3">
      <c r="A108" s="4">
        <f>SUM(A104:A106)</f>
        <v>0</v>
      </c>
      <c r="B108" s="4">
        <f t="shared" ref="B108:L108" si="87">SUM(B104:B106)</f>
        <v>0</v>
      </c>
      <c r="C108" s="4">
        <f t="shared" si="87"/>
        <v>0</v>
      </c>
      <c r="D108" s="4">
        <f t="shared" si="87"/>
        <v>0</v>
      </c>
      <c r="E108" s="4">
        <f t="shared" si="87"/>
        <v>0</v>
      </c>
      <c r="F108" s="4">
        <f t="shared" si="87"/>
        <v>0</v>
      </c>
      <c r="G108" s="4">
        <f t="shared" si="87"/>
        <v>0</v>
      </c>
      <c r="H108" s="4">
        <f t="shared" si="87"/>
        <v>0</v>
      </c>
      <c r="I108" s="4">
        <f t="shared" si="87"/>
        <v>0</v>
      </c>
      <c r="J108" s="4">
        <f t="shared" si="87"/>
        <v>0</v>
      </c>
      <c r="K108" s="4">
        <f t="shared" si="87"/>
        <v>0</v>
      </c>
      <c r="L108" s="4">
        <f t="shared" si="87"/>
        <v>0</v>
      </c>
      <c r="M108" s="13" t="s">
        <v>170</v>
      </c>
      <c r="N108" s="4">
        <f t="shared" ref="N108:O108" si="88">SUM(N104:N106)</f>
        <v>0</v>
      </c>
      <c r="O108" s="4">
        <f t="shared" si="88"/>
        <v>0</v>
      </c>
      <c r="P108" s="4">
        <f t="shared" ref="P108:Q108" si="89">SUM(P104:P106)</f>
        <v>0</v>
      </c>
      <c r="Q108" s="4">
        <f t="shared" si="89"/>
        <v>0</v>
      </c>
      <c r="R108" s="4">
        <f t="shared" ref="R108:W108" si="90">SUM(R104:R106)</f>
        <v>0</v>
      </c>
      <c r="S108" s="4"/>
      <c r="T108" s="4">
        <v>0</v>
      </c>
      <c r="U108" s="4">
        <v>0</v>
      </c>
      <c r="V108" s="4">
        <f t="shared" si="54"/>
        <v>0</v>
      </c>
      <c r="W108" s="4">
        <f t="shared" si="90"/>
        <v>0</v>
      </c>
      <c r="X108" s="225">
        <f t="shared" si="55"/>
        <v>0</v>
      </c>
      <c r="Z108" s="182"/>
      <c r="AA108" s="182"/>
    </row>
    <row r="109" spans="1:27" x14ac:dyDescent="0.3">
      <c r="A109" s="81"/>
      <c r="B109" s="81"/>
      <c r="C109" s="81"/>
      <c r="D109" s="82"/>
      <c r="E109" s="81"/>
      <c r="F109" s="81"/>
      <c r="G109" s="81"/>
      <c r="H109" s="87"/>
      <c r="I109" s="87"/>
      <c r="J109" s="87"/>
      <c r="K109" s="88"/>
      <c r="L109" s="88"/>
      <c r="M109" s="80"/>
      <c r="N109" s="81">
        <f t="shared" si="61"/>
        <v>0</v>
      </c>
      <c r="O109" s="81">
        <f t="shared" si="62"/>
        <v>0</v>
      </c>
      <c r="P109" s="81">
        <f t="shared" si="53"/>
        <v>0</v>
      </c>
      <c r="Q109" s="81">
        <v>0</v>
      </c>
      <c r="R109" s="81"/>
      <c r="S109" s="81"/>
      <c r="T109" s="81"/>
      <c r="U109" s="81">
        <v>0</v>
      </c>
      <c r="V109" s="81">
        <f t="shared" si="54"/>
        <v>0</v>
      </c>
      <c r="W109" s="81"/>
      <c r="X109" s="223"/>
      <c r="Z109" s="182"/>
      <c r="AA109" s="182"/>
    </row>
    <row r="110" spans="1:27" x14ac:dyDescent="0.3">
      <c r="A110" s="4">
        <f>A28+A46+A65+A91+A102+A108</f>
        <v>319185.16800000001</v>
      </c>
      <c r="B110" s="4">
        <f t="shared" ref="B110:L110" si="91">B28+B46+B65+B91+B102+B108</f>
        <v>322447.592</v>
      </c>
      <c r="C110" s="4">
        <f t="shared" si="91"/>
        <v>320233.16800000001</v>
      </c>
      <c r="D110" s="4">
        <f t="shared" si="91"/>
        <v>319185.16800000001</v>
      </c>
      <c r="E110" s="4">
        <f t="shared" si="91"/>
        <v>321281.16800000001</v>
      </c>
      <c r="F110" s="4">
        <f t="shared" si="91"/>
        <v>319185.16800000001</v>
      </c>
      <c r="G110" s="4">
        <f t="shared" si="91"/>
        <v>320233.16800000001</v>
      </c>
      <c r="H110" s="4">
        <f t="shared" si="91"/>
        <v>323739.14400000003</v>
      </c>
      <c r="I110" s="4">
        <f t="shared" si="91"/>
        <v>322449.11154916481</v>
      </c>
      <c r="J110" s="4">
        <f t="shared" si="91"/>
        <v>319185.16800000001</v>
      </c>
      <c r="K110" s="4">
        <f t="shared" si="91"/>
        <v>319185.16800000001</v>
      </c>
      <c r="L110" s="4">
        <f t="shared" si="91"/>
        <v>319193.16800000001</v>
      </c>
      <c r="M110" s="238" t="s">
        <v>171</v>
      </c>
      <c r="N110" s="4">
        <f t="shared" ref="N110:O110" si="92">N28+N46+N65+N91+N102+N108</f>
        <v>0</v>
      </c>
      <c r="O110" s="4">
        <f t="shared" si="92"/>
        <v>3845502.3595491648</v>
      </c>
      <c r="P110" s="4">
        <f>P28+P46+P65+P91+P102+P108</f>
        <v>3845502.3595491648</v>
      </c>
      <c r="Q110" s="4">
        <f>Q28+Q46+Q65+Q91+Q102+Q108</f>
        <v>3845502.3595491648</v>
      </c>
      <c r="R110" s="4">
        <f t="shared" ref="R110:W110" si="93">R28+R46+R65+R91+R102+R108</f>
        <v>0</v>
      </c>
      <c r="S110" s="4"/>
      <c r="T110" s="4">
        <v>0</v>
      </c>
      <c r="U110" s="4">
        <v>3877275.9742022967</v>
      </c>
      <c r="V110" s="4">
        <f t="shared" si="54"/>
        <v>31773.614653131925</v>
      </c>
      <c r="W110" s="4">
        <f t="shared" si="93"/>
        <v>0</v>
      </c>
      <c r="X110" s="225">
        <f>IFERROR(N110/Q110,0)</f>
        <v>0</v>
      </c>
      <c r="Z110" s="182"/>
      <c r="AA110" s="182"/>
    </row>
    <row r="111" spans="1:27" x14ac:dyDescent="0.3">
      <c r="A111" s="81"/>
      <c r="B111" s="81"/>
      <c r="C111" s="81"/>
      <c r="D111" s="82"/>
      <c r="E111" s="81"/>
      <c r="F111" s="81"/>
      <c r="G111" s="81"/>
      <c r="H111" s="87"/>
      <c r="I111" s="87"/>
      <c r="J111" s="87"/>
      <c r="K111" s="88"/>
      <c r="L111" s="88"/>
      <c r="M111" s="122"/>
      <c r="N111" s="81">
        <f t="shared" si="61"/>
        <v>0</v>
      </c>
      <c r="O111" s="81">
        <f t="shared" si="62"/>
        <v>0</v>
      </c>
      <c r="P111" s="81">
        <f t="shared" si="53"/>
        <v>0</v>
      </c>
      <c r="Q111" s="81">
        <v>0</v>
      </c>
      <c r="R111" s="81"/>
      <c r="S111" s="81"/>
      <c r="T111" s="81"/>
      <c r="U111" s="81">
        <v>0</v>
      </c>
      <c r="V111" s="81">
        <f t="shared" si="54"/>
        <v>0</v>
      </c>
      <c r="W111" s="81"/>
      <c r="X111" s="223"/>
      <c r="Z111" s="182"/>
      <c r="AA111" s="182"/>
    </row>
    <row r="112" spans="1:27" x14ac:dyDescent="0.3">
      <c r="A112" s="4">
        <f>A18+A110</f>
        <v>319185.16800000001</v>
      </c>
      <c r="B112" s="4">
        <f t="shared" ref="B112:L112" si="94">B18+B110</f>
        <v>322447.592</v>
      </c>
      <c r="C112" s="4">
        <f t="shared" si="94"/>
        <v>320233.16800000001</v>
      </c>
      <c r="D112" s="4">
        <f t="shared" si="94"/>
        <v>319185.16800000001</v>
      </c>
      <c r="E112" s="4">
        <f t="shared" si="94"/>
        <v>321281.16800000001</v>
      </c>
      <c r="F112" s="4">
        <f t="shared" si="94"/>
        <v>319185.16800000001</v>
      </c>
      <c r="G112" s="4">
        <f t="shared" si="94"/>
        <v>320233.16800000001</v>
      </c>
      <c r="H112" s="4">
        <f t="shared" si="94"/>
        <v>323739.14400000003</v>
      </c>
      <c r="I112" s="4">
        <f t="shared" si="94"/>
        <v>322449.11154916481</v>
      </c>
      <c r="J112" s="4">
        <f t="shared" si="94"/>
        <v>319185.16800000001</v>
      </c>
      <c r="K112" s="4">
        <f t="shared" si="94"/>
        <v>319185.16800000001</v>
      </c>
      <c r="L112" s="4">
        <f t="shared" si="94"/>
        <v>319193.16800000001</v>
      </c>
      <c r="M112" s="13" t="s">
        <v>240</v>
      </c>
      <c r="N112" s="4">
        <f t="shared" ref="N112:O112" si="95">N18+N110</f>
        <v>0</v>
      </c>
      <c r="O112" s="4">
        <f t="shared" si="95"/>
        <v>3845502.3595491648</v>
      </c>
      <c r="P112" s="4">
        <f t="shared" ref="P112:Q112" si="96">P18+P110</f>
        <v>3845502.3595491648</v>
      </c>
      <c r="Q112" s="4">
        <f t="shared" si="96"/>
        <v>3845502.3595491648</v>
      </c>
      <c r="R112" s="4">
        <f t="shared" ref="R112:W112" si="97">R18+R110</f>
        <v>0</v>
      </c>
      <c r="S112" s="4"/>
      <c r="T112" s="224">
        <v>0</v>
      </c>
      <c r="U112" s="224">
        <v>3877275.9742022967</v>
      </c>
      <c r="V112" s="224">
        <f t="shared" si="54"/>
        <v>31773.614653131925</v>
      </c>
      <c r="W112" s="4">
        <f t="shared" si="97"/>
        <v>0</v>
      </c>
      <c r="X112" s="225">
        <f t="shared" si="55"/>
        <v>0</v>
      </c>
      <c r="Z112" s="182"/>
      <c r="AA112" s="182"/>
    </row>
    <row r="113" spans="1:27" x14ac:dyDescent="0.3">
      <c r="A113" s="81"/>
      <c r="B113" s="81"/>
      <c r="C113" s="81"/>
      <c r="D113" s="82"/>
      <c r="E113" s="81"/>
      <c r="F113" s="81"/>
      <c r="G113" s="81"/>
      <c r="H113" s="87"/>
      <c r="I113" s="87"/>
      <c r="J113" s="87"/>
      <c r="K113" s="88"/>
      <c r="L113" s="88"/>
      <c r="M113" s="122"/>
      <c r="N113" s="81">
        <f t="shared" si="61"/>
        <v>0</v>
      </c>
      <c r="O113" s="81">
        <f t="shared" si="62"/>
        <v>0</v>
      </c>
      <c r="P113" s="81">
        <f t="shared" si="53"/>
        <v>0</v>
      </c>
      <c r="Q113" s="81">
        <v>0</v>
      </c>
      <c r="R113" s="81"/>
      <c r="S113" s="81"/>
      <c r="T113" s="81"/>
      <c r="U113" s="81">
        <v>0</v>
      </c>
      <c r="V113" s="81">
        <f t="shared" si="54"/>
        <v>0</v>
      </c>
      <c r="W113" s="81"/>
      <c r="X113" s="223"/>
      <c r="Z113" s="182"/>
      <c r="AA113" s="182"/>
    </row>
    <row r="114" spans="1:27" x14ac:dyDescent="0.3">
      <c r="A114" s="8">
        <f>$Q$114/12</f>
        <v>0</v>
      </c>
      <c r="B114" s="8">
        <f t="shared" ref="B114:L114" si="98">$Q$114/12</f>
        <v>0</v>
      </c>
      <c r="C114" s="8">
        <f t="shared" si="98"/>
        <v>0</v>
      </c>
      <c r="D114" s="8">
        <f t="shared" si="98"/>
        <v>0</v>
      </c>
      <c r="E114" s="8">
        <f t="shared" si="98"/>
        <v>0</v>
      </c>
      <c r="F114" s="8">
        <f t="shared" si="98"/>
        <v>0</v>
      </c>
      <c r="G114" s="8">
        <f t="shared" si="98"/>
        <v>0</v>
      </c>
      <c r="H114" s="8">
        <f t="shared" si="98"/>
        <v>0</v>
      </c>
      <c r="I114" s="8">
        <f t="shared" si="98"/>
        <v>0</v>
      </c>
      <c r="J114" s="8"/>
      <c r="K114" s="8">
        <f t="shared" si="98"/>
        <v>0</v>
      </c>
      <c r="L114" s="8">
        <f t="shared" si="98"/>
        <v>0</v>
      </c>
      <c r="M114" s="238" t="s">
        <v>491</v>
      </c>
      <c r="N114" s="8">
        <f t="shared" ref="N114:N125" si="99">SUM(0)</f>
        <v>0</v>
      </c>
      <c r="O114" s="8">
        <f t="shared" ref="O114:O125" si="100">SUM(A114:L114)</f>
        <v>0</v>
      </c>
      <c r="P114" s="8">
        <f t="shared" si="53"/>
        <v>0</v>
      </c>
      <c r="Q114" s="8">
        <v>0</v>
      </c>
      <c r="R114" s="8">
        <f t="shared" ref="R114:R125" si="101">Q114-P114</f>
        <v>0</v>
      </c>
      <c r="S114" s="8"/>
      <c r="T114" s="8"/>
      <c r="U114" s="8">
        <v>0</v>
      </c>
      <c r="V114" s="8">
        <f t="shared" si="54"/>
        <v>0</v>
      </c>
      <c r="W114" s="8"/>
      <c r="X114" s="215">
        <f t="shared" si="55"/>
        <v>0</v>
      </c>
      <c r="Z114" s="182"/>
      <c r="AA114" s="182"/>
    </row>
    <row r="115" spans="1:27" x14ac:dyDescent="0.3">
      <c r="A115" s="7">
        <f>$Q$115/12</f>
        <v>0</v>
      </c>
      <c r="B115" s="7">
        <f t="shared" ref="B115:L115" si="102">$Q$115/12</f>
        <v>0</v>
      </c>
      <c r="C115" s="7">
        <f t="shared" si="102"/>
        <v>0</v>
      </c>
      <c r="D115" s="7">
        <f t="shared" si="102"/>
        <v>0</v>
      </c>
      <c r="E115" s="7">
        <f t="shared" si="102"/>
        <v>0</v>
      </c>
      <c r="F115" s="7">
        <f t="shared" si="102"/>
        <v>0</v>
      </c>
      <c r="G115" s="7">
        <f t="shared" si="102"/>
        <v>0</v>
      </c>
      <c r="H115" s="7">
        <f t="shared" si="102"/>
        <v>0</v>
      </c>
      <c r="I115" s="7">
        <f t="shared" si="102"/>
        <v>0</v>
      </c>
      <c r="J115" s="7"/>
      <c r="K115" s="7">
        <f t="shared" si="102"/>
        <v>0</v>
      </c>
      <c r="L115" s="7">
        <f t="shared" si="102"/>
        <v>0</v>
      </c>
      <c r="M115" s="13" t="s">
        <v>492</v>
      </c>
      <c r="N115" s="7">
        <f t="shared" si="99"/>
        <v>0</v>
      </c>
      <c r="O115" s="7">
        <f t="shared" si="100"/>
        <v>0</v>
      </c>
      <c r="P115" s="7">
        <f t="shared" si="53"/>
        <v>0</v>
      </c>
      <c r="Q115" s="7">
        <v>0</v>
      </c>
      <c r="R115" s="7">
        <f t="shared" si="101"/>
        <v>0</v>
      </c>
      <c r="S115" s="7"/>
      <c r="T115" s="7"/>
      <c r="U115" s="7">
        <v>0</v>
      </c>
      <c r="V115" s="7">
        <f t="shared" si="54"/>
        <v>0</v>
      </c>
      <c r="W115" s="7"/>
      <c r="X115" s="216">
        <f t="shared" si="55"/>
        <v>0</v>
      </c>
      <c r="Z115" s="182"/>
      <c r="AA115" s="182"/>
    </row>
    <row r="116" spans="1:27" x14ac:dyDescent="0.3">
      <c r="A116" s="7">
        <f>$Q$116/12</f>
        <v>0</v>
      </c>
      <c r="B116" s="7">
        <f t="shared" ref="B116:L116" si="103">$Q$116/12</f>
        <v>0</v>
      </c>
      <c r="C116" s="7">
        <f t="shared" si="103"/>
        <v>0</v>
      </c>
      <c r="D116" s="7">
        <f t="shared" si="103"/>
        <v>0</v>
      </c>
      <c r="E116" s="7">
        <f t="shared" si="103"/>
        <v>0</v>
      </c>
      <c r="F116" s="7">
        <f t="shared" si="103"/>
        <v>0</v>
      </c>
      <c r="G116" s="7">
        <f t="shared" si="103"/>
        <v>0</v>
      </c>
      <c r="H116" s="7">
        <f t="shared" si="103"/>
        <v>0</v>
      </c>
      <c r="I116" s="7">
        <f t="shared" si="103"/>
        <v>0</v>
      </c>
      <c r="J116" s="7"/>
      <c r="K116" s="7">
        <f t="shared" si="103"/>
        <v>0</v>
      </c>
      <c r="L116" s="7">
        <f t="shared" si="103"/>
        <v>0</v>
      </c>
      <c r="M116" s="13" t="s">
        <v>493</v>
      </c>
      <c r="N116" s="7">
        <f t="shared" si="99"/>
        <v>0</v>
      </c>
      <c r="O116" s="7">
        <f t="shared" si="100"/>
        <v>0</v>
      </c>
      <c r="P116" s="7">
        <f t="shared" si="53"/>
        <v>0</v>
      </c>
      <c r="Q116" s="7">
        <v>0</v>
      </c>
      <c r="R116" s="7">
        <f t="shared" si="101"/>
        <v>0</v>
      </c>
      <c r="S116" s="7"/>
      <c r="T116" s="7"/>
      <c r="U116" s="7">
        <v>0</v>
      </c>
      <c r="V116" s="7">
        <f t="shared" si="54"/>
        <v>0</v>
      </c>
      <c r="W116" s="7"/>
      <c r="X116" s="216">
        <f t="shared" si="55"/>
        <v>0</v>
      </c>
      <c r="Z116" s="182"/>
      <c r="AA116" s="182"/>
    </row>
    <row r="117" spans="1:27" x14ac:dyDescent="0.3">
      <c r="A117" s="7">
        <f>$Q$117/12</f>
        <v>0</v>
      </c>
      <c r="B117" s="7">
        <f t="shared" ref="B117:L117" si="104">$Q$117/12</f>
        <v>0</v>
      </c>
      <c r="C117" s="7">
        <f t="shared" si="104"/>
        <v>0</v>
      </c>
      <c r="D117" s="7">
        <f t="shared" si="104"/>
        <v>0</v>
      </c>
      <c r="E117" s="7">
        <f t="shared" si="104"/>
        <v>0</v>
      </c>
      <c r="F117" s="7">
        <f t="shared" si="104"/>
        <v>0</v>
      </c>
      <c r="G117" s="7">
        <f t="shared" si="104"/>
        <v>0</v>
      </c>
      <c r="H117" s="7">
        <f t="shared" si="104"/>
        <v>0</v>
      </c>
      <c r="I117" s="7">
        <f t="shared" si="104"/>
        <v>0</v>
      </c>
      <c r="J117" s="7"/>
      <c r="K117" s="7">
        <f t="shared" si="104"/>
        <v>0</v>
      </c>
      <c r="L117" s="7">
        <f t="shared" si="104"/>
        <v>0</v>
      </c>
      <c r="M117" s="238" t="s">
        <v>494</v>
      </c>
      <c r="N117" s="7">
        <f t="shared" si="99"/>
        <v>0</v>
      </c>
      <c r="O117" s="7">
        <f t="shared" si="100"/>
        <v>0</v>
      </c>
      <c r="P117" s="7">
        <f t="shared" si="53"/>
        <v>0</v>
      </c>
      <c r="Q117" s="7">
        <v>0</v>
      </c>
      <c r="R117" s="7">
        <f t="shared" si="101"/>
        <v>0</v>
      </c>
      <c r="S117" s="7"/>
      <c r="T117" s="7"/>
      <c r="U117" s="7">
        <v>0</v>
      </c>
      <c r="V117" s="7">
        <f t="shared" si="54"/>
        <v>0</v>
      </c>
      <c r="W117" s="7"/>
      <c r="X117" s="216">
        <f t="shared" si="55"/>
        <v>0</v>
      </c>
      <c r="Z117" s="182"/>
      <c r="AA117" s="182"/>
    </row>
    <row r="118" spans="1:27" x14ac:dyDescent="0.3">
      <c r="A118" s="7">
        <f>$Q$118/12</f>
        <v>0</v>
      </c>
      <c r="B118" s="7">
        <f t="shared" ref="B118:L118" si="105">$Q$118/12</f>
        <v>0</v>
      </c>
      <c r="C118" s="7">
        <f t="shared" si="105"/>
        <v>0</v>
      </c>
      <c r="D118" s="7">
        <f t="shared" si="105"/>
        <v>0</v>
      </c>
      <c r="E118" s="7">
        <f t="shared" si="105"/>
        <v>0</v>
      </c>
      <c r="F118" s="7">
        <f t="shared" si="105"/>
        <v>0</v>
      </c>
      <c r="G118" s="7">
        <f t="shared" si="105"/>
        <v>0</v>
      </c>
      <c r="H118" s="7">
        <f t="shared" si="105"/>
        <v>0</v>
      </c>
      <c r="I118" s="7">
        <f t="shared" si="105"/>
        <v>0</v>
      </c>
      <c r="J118" s="7"/>
      <c r="K118" s="7">
        <f t="shared" si="105"/>
        <v>0</v>
      </c>
      <c r="L118" s="7">
        <f t="shared" si="105"/>
        <v>0</v>
      </c>
      <c r="M118" s="13" t="s">
        <v>495</v>
      </c>
      <c r="N118" s="7">
        <f t="shared" si="99"/>
        <v>0</v>
      </c>
      <c r="O118" s="7">
        <f t="shared" si="100"/>
        <v>0</v>
      </c>
      <c r="P118" s="7">
        <f t="shared" si="53"/>
        <v>0</v>
      </c>
      <c r="Q118" s="7">
        <v>0</v>
      </c>
      <c r="R118" s="7">
        <f t="shared" si="101"/>
        <v>0</v>
      </c>
      <c r="S118" s="7"/>
      <c r="T118" s="7"/>
      <c r="U118" s="7">
        <v>0</v>
      </c>
      <c r="V118" s="7">
        <f t="shared" si="54"/>
        <v>0</v>
      </c>
      <c r="W118" s="7"/>
      <c r="X118" s="216">
        <f t="shared" si="55"/>
        <v>0</v>
      </c>
      <c r="Z118" s="182"/>
      <c r="AA118" s="182"/>
    </row>
    <row r="119" spans="1:27" x14ac:dyDescent="0.3">
      <c r="A119" s="7">
        <f>$Q$119/12</f>
        <v>0</v>
      </c>
      <c r="B119" s="7">
        <f t="shared" ref="B119:L119" si="106">$Q$119/12</f>
        <v>0</v>
      </c>
      <c r="C119" s="7">
        <f t="shared" si="106"/>
        <v>0</v>
      </c>
      <c r="D119" s="7">
        <f t="shared" si="106"/>
        <v>0</v>
      </c>
      <c r="E119" s="7">
        <f t="shared" si="106"/>
        <v>0</v>
      </c>
      <c r="F119" s="7">
        <f t="shared" si="106"/>
        <v>0</v>
      </c>
      <c r="G119" s="7">
        <f t="shared" si="106"/>
        <v>0</v>
      </c>
      <c r="H119" s="7">
        <f t="shared" si="106"/>
        <v>0</v>
      </c>
      <c r="I119" s="7">
        <f t="shared" si="106"/>
        <v>0</v>
      </c>
      <c r="J119" s="7"/>
      <c r="K119" s="7">
        <f t="shared" si="106"/>
        <v>0</v>
      </c>
      <c r="L119" s="7">
        <f t="shared" si="106"/>
        <v>0</v>
      </c>
      <c r="M119" s="13" t="s">
        <v>496</v>
      </c>
      <c r="N119" s="7">
        <f t="shared" si="99"/>
        <v>0</v>
      </c>
      <c r="O119" s="7">
        <f t="shared" si="100"/>
        <v>0</v>
      </c>
      <c r="P119" s="7">
        <f t="shared" si="53"/>
        <v>0</v>
      </c>
      <c r="Q119" s="7">
        <v>0</v>
      </c>
      <c r="R119" s="7">
        <f t="shared" si="101"/>
        <v>0</v>
      </c>
      <c r="S119" s="7"/>
      <c r="T119" s="7"/>
      <c r="U119" s="7">
        <v>0</v>
      </c>
      <c r="V119" s="7">
        <f t="shared" si="54"/>
        <v>0</v>
      </c>
      <c r="W119" s="7"/>
      <c r="X119" s="216">
        <f t="shared" si="55"/>
        <v>0</v>
      </c>
      <c r="Z119" s="182"/>
      <c r="AA119" s="182"/>
    </row>
    <row r="120" spans="1:27" x14ac:dyDescent="0.3">
      <c r="A120" s="7">
        <f>$Q$120/12</f>
        <v>0</v>
      </c>
      <c r="B120" s="7">
        <f t="shared" ref="B120:L120" si="107">$Q$120/12</f>
        <v>0</v>
      </c>
      <c r="C120" s="7">
        <f t="shared" si="107"/>
        <v>0</v>
      </c>
      <c r="D120" s="7">
        <f t="shared" si="107"/>
        <v>0</v>
      </c>
      <c r="E120" s="7">
        <f t="shared" si="107"/>
        <v>0</v>
      </c>
      <c r="F120" s="7">
        <f t="shared" si="107"/>
        <v>0</v>
      </c>
      <c r="G120" s="7">
        <f t="shared" si="107"/>
        <v>0</v>
      </c>
      <c r="H120" s="7">
        <f t="shared" si="107"/>
        <v>0</v>
      </c>
      <c r="I120" s="7">
        <f t="shared" si="107"/>
        <v>0</v>
      </c>
      <c r="J120" s="7"/>
      <c r="K120" s="7">
        <f t="shared" si="107"/>
        <v>0</v>
      </c>
      <c r="L120" s="7">
        <f t="shared" si="107"/>
        <v>0</v>
      </c>
      <c r="M120" s="238" t="s">
        <v>497</v>
      </c>
      <c r="N120" s="7">
        <f t="shared" si="99"/>
        <v>0</v>
      </c>
      <c r="O120" s="7">
        <f t="shared" si="100"/>
        <v>0</v>
      </c>
      <c r="P120" s="7">
        <f t="shared" si="53"/>
        <v>0</v>
      </c>
      <c r="Q120" s="7">
        <v>0</v>
      </c>
      <c r="R120" s="7">
        <f t="shared" si="101"/>
        <v>0</v>
      </c>
      <c r="S120" s="7"/>
      <c r="T120" s="7"/>
      <c r="U120" s="7">
        <v>0</v>
      </c>
      <c r="V120" s="7">
        <f t="shared" si="54"/>
        <v>0</v>
      </c>
      <c r="W120" s="7"/>
      <c r="X120" s="216">
        <f t="shared" si="55"/>
        <v>0</v>
      </c>
      <c r="Z120" s="182"/>
      <c r="AA120" s="182"/>
    </row>
    <row r="121" spans="1:27" x14ac:dyDescent="0.3">
      <c r="A121" s="7">
        <f>$Q$121/12</f>
        <v>0</v>
      </c>
      <c r="B121" s="7">
        <f t="shared" ref="B121:L121" si="108">$Q$121/12</f>
        <v>0</v>
      </c>
      <c r="C121" s="7">
        <f t="shared" si="108"/>
        <v>0</v>
      </c>
      <c r="D121" s="7">
        <f t="shared" si="108"/>
        <v>0</v>
      </c>
      <c r="E121" s="7">
        <f t="shared" si="108"/>
        <v>0</v>
      </c>
      <c r="F121" s="7">
        <f t="shared" si="108"/>
        <v>0</v>
      </c>
      <c r="G121" s="7">
        <f t="shared" si="108"/>
        <v>0</v>
      </c>
      <c r="H121" s="7">
        <f t="shared" si="108"/>
        <v>0</v>
      </c>
      <c r="I121" s="7">
        <f t="shared" si="108"/>
        <v>0</v>
      </c>
      <c r="J121" s="7"/>
      <c r="K121" s="7">
        <f t="shared" si="108"/>
        <v>0</v>
      </c>
      <c r="L121" s="7">
        <f t="shared" si="108"/>
        <v>0</v>
      </c>
      <c r="M121" s="13" t="s">
        <v>498</v>
      </c>
      <c r="N121" s="7">
        <f t="shared" si="99"/>
        <v>0</v>
      </c>
      <c r="O121" s="7">
        <f t="shared" si="100"/>
        <v>0</v>
      </c>
      <c r="P121" s="7">
        <f t="shared" si="53"/>
        <v>0</v>
      </c>
      <c r="Q121" s="7">
        <v>0</v>
      </c>
      <c r="R121" s="7">
        <f t="shared" si="101"/>
        <v>0</v>
      </c>
      <c r="S121" s="7"/>
      <c r="T121" s="7"/>
      <c r="U121" s="7">
        <v>0</v>
      </c>
      <c r="V121" s="7">
        <f t="shared" si="54"/>
        <v>0</v>
      </c>
      <c r="W121" s="7"/>
      <c r="X121" s="216">
        <f t="shared" si="55"/>
        <v>0</v>
      </c>
      <c r="Z121" s="182"/>
      <c r="AA121" s="182"/>
    </row>
    <row r="122" spans="1:27" x14ac:dyDescent="0.3">
      <c r="A122" s="7">
        <f>$Q$122/12</f>
        <v>0</v>
      </c>
      <c r="B122" s="7">
        <f t="shared" ref="B122:L122" si="109">$Q$122/12</f>
        <v>0</v>
      </c>
      <c r="C122" s="7">
        <f t="shared" si="109"/>
        <v>0</v>
      </c>
      <c r="D122" s="7">
        <f t="shared" si="109"/>
        <v>0</v>
      </c>
      <c r="E122" s="7">
        <f t="shared" si="109"/>
        <v>0</v>
      </c>
      <c r="F122" s="7">
        <f t="shared" si="109"/>
        <v>0</v>
      </c>
      <c r="G122" s="7">
        <f t="shared" si="109"/>
        <v>0</v>
      </c>
      <c r="H122" s="7">
        <f t="shared" si="109"/>
        <v>0</v>
      </c>
      <c r="I122" s="7">
        <f t="shared" si="109"/>
        <v>0</v>
      </c>
      <c r="J122" s="7"/>
      <c r="K122" s="7">
        <f t="shared" si="109"/>
        <v>0</v>
      </c>
      <c r="L122" s="7">
        <f t="shared" si="109"/>
        <v>0</v>
      </c>
      <c r="M122" s="13" t="s">
        <v>499</v>
      </c>
      <c r="N122" s="7">
        <f t="shared" si="99"/>
        <v>0</v>
      </c>
      <c r="O122" s="7">
        <f t="shared" si="100"/>
        <v>0</v>
      </c>
      <c r="P122" s="7">
        <f t="shared" si="53"/>
        <v>0</v>
      </c>
      <c r="Q122" s="7">
        <v>0</v>
      </c>
      <c r="R122" s="7">
        <f t="shared" si="101"/>
        <v>0</v>
      </c>
      <c r="S122" s="7"/>
      <c r="T122" s="7"/>
      <c r="U122" s="7">
        <v>0</v>
      </c>
      <c r="V122" s="7">
        <f t="shared" si="54"/>
        <v>0</v>
      </c>
      <c r="W122" s="7"/>
      <c r="X122" s="216">
        <f t="shared" si="55"/>
        <v>0</v>
      </c>
      <c r="Z122" s="182"/>
      <c r="AA122" s="182"/>
    </row>
    <row r="123" spans="1:27" x14ac:dyDescent="0.3">
      <c r="A123" s="7">
        <f>$Q$123/12</f>
        <v>0</v>
      </c>
      <c r="B123" s="7">
        <f t="shared" ref="B123:L123" si="110">$Q$123/12</f>
        <v>0</v>
      </c>
      <c r="C123" s="7">
        <f t="shared" si="110"/>
        <v>0</v>
      </c>
      <c r="D123" s="7">
        <f t="shared" si="110"/>
        <v>0</v>
      </c>
      <c r="E123" s="7">
        <f t="shared" si="110"/>
        <v>0</v>
      </c>
      <c r="F123" s="7">
        <f t="shared" si="110"/>
        <v>0</v>
      </c>
      <c r="G123" s="7">
        <f t="shared" si="110"/>
        <v>0</v>
      </c>
      <c r="H123" s="7">
        <f t="shared" si="110"/>
        <v>0</v>
      </c>
      <c r="I123" s="7">
        <f t="shared" si="110"/>
        <v>0</v>
      </c>
      <c r="J123" s="7"/>
      <c r="K123" s="7">
        <f t="shared" si="110"/>
        <v>0</v>
      </c>
      <c r="L123" s="7">
        <f t="shared" si="110"/>
        <v>0</v>
      </c>
      <c r="M123" s="238" t="s">
        <v>500</v>
      </c>
      <c r="N123" s="7">
        <f t="shared" si="99"/>
        <v>0</v>
      </c>
      <c r="O123" s="7">
        <f t="shared" si="100"/>
        <v>0</v>
      </c>
      <c r="P123" s="7">
        <f t="shared" si="53"/>
        <v>0</v>
      </c>
      <c r="Q123" s="7">
        <v>0</v>
      </c>
      <c r="R123" s="7">
        <f t="shared" si="101"/>
        <v>0</v>
      </c>
      <c r="S123" s="7"/>
      <c r="T123" s="7"/>
      <c r="U123" s="7">
        <v>0</v>
      </c>
      <c r="V123" s="7">
        <f t="shared" si="54"/>
        <v>0</v>
      </c>
      <c r="W123" s="7"/>
      <c r="X123" s="216">
        <f t="shared" si="55"/>
        <v>0</v>
      </c>
      <c r="Z123" s="182"/>
      <c r="AA123" s="182"/>
    </row>
    <row r="124" spans="1:27" x14ac:dyDescent="0.3">
      <c r="A124" s="7">
        <f>$Q$124/12</f>
        <v>0</v>
      </c>
      <c r="B124" s="7">
        <f t="shared" ref="B124:L124" si="111">$Q$124/12</f>
        <v>0</v>
      </c>
      <c r="C124" s="7">
        <f t="shared" si="111"/>
        <v>0</v>
      </c>
      <c r="D124" s="7">
        <f t="shared" si="111"/>
        <v>0</v>
      </c>
      <c r="E124" s="7">
        <f t="shared" si="111"/>
        <v>0</v>
      </c>
      <c r="F124" s="7">
        <f t="shared" si="111"/>
        <v>0</v>
      </c>
      <c r="G124" s="7">
        <f t="shared" si="111"/>
        <v>0</v>
      </c>
      <c r="H124" s="7">
        <f t="shared" si="111"/>
        <v>0</v>
      </c>
      <c r="I124" s="7">
        <f t="shared" si="111"/>
        <v>0</v>
      </c>
      <c r="J124" s="7"/>
      <c r="K124" s="7">
        <f t="shared" si="111"/>
        <v>0</v>
      </c>
      <c r="L124" s="7">
        <f t="shared" si="111"/>
        <v>0</v>
      </c>
      <c r="M124" s="13" t="s">
        <v>501</v>
      </c>
      <c r="N124" s="7">
        <f t="shared" si="99"/>
        <v>0</v>
      </c>
      <c r="O124" s="7">
        <f t="shared" si="100"/>
        <v>0</v>
      </c>
      <c r="P124" s="7">
        <f t="shared" si="53"/>
        <v>0</v>
      </c>
      <c r="Q124" s="7">
        <v>0</v>
      </c>
      <c r="R124" s="7">
        <f t="shared" si="101"/>
        <v>0</v>
      </c>
      <c r="S124" s="7"/>
      <c r="T124" s="7"/>
      <c r="U124" s="7">
        <v>0</v>
      </c>
      <c r="V124" s="7">
        <f t="shared" si="54"/>
        <v>0</v>
      </c>
      <c r="W124" s="7"/>
      <c r="X124" s="216">
        <f t="shared" si="55"/>
        <v>0</v>
      </c>
      <c r="Z124" s="182"/>
      <c r="AA124" s="182"/>
    </row>
    <row r="125" spans="1:27" x14ac:dyDescent="0.3">
      <c r="A125" s="11">
        <f>$Q$125/12</f>
        <v>0</v>
      </c>
      <c r="B125" s="11">
        <f t="shared" ref="B125:L125" si="112">$Q$125/12</f>
        <v>0</v>
      </c>
      <c r="C125" s="11">
        <f t="shared" si="112"/>
        <v>0</v>
      </c>
      <c r="D125" s="11">
        <f t="shared" si="112"/>
        <v>0</v>
      </c>
      <c r="E125" s="11">
        <f t="shared" si="112"/>
        <v>0</v>
      </c>
      <c r="F125" s="11">
        <f t="shared" si="112"/>
        <v>0</v>
      </c>
      <c r="G125" s="11">
        <f t="shared" si="112"/>
        <v>0</v>
      </c>
      <c r="H125" s="11">
        <f t="shared" si="112"/>
        <v>0</v>
      </c>
      <c r="I125" s="11">
        <f t="shared" si="112"/>
        <v>0</v>
      </c>
      <c r="J125" s="11"/>
      <c r="K125" s="11">
        <f t="shared" si="112"/>
        <v>0</v>
      </c>
      <c r="L125" s="11">
        <f t="shared" si="112"/>
        <v>0</v>
      </c>
      <c r="M125" s="13" t="s">
        <v>184</v>
      </c>
      <c r="N125" s="11">
        <f t="shared" si="99"/>
        <v>0</v>
      </c>
      <c r="O125" s="11">
        <f t="shared" si="100"/>
        <v>0</v>
      </c>
      <c r="P125" s="11">
        <f t="shared" si="53"/>
        <v>0</v>
      </c>
      <c r="Q125" s="11">
        <v>0</v>
      </c>
      <c r="R125" s="11">
        <f t="shared" si="101"/>
        <v>0</v>
      </c>
      <c r="S125" s="11"/>
      <c r="T125" s="11"/>
      <c r="U125" s="11">
        <v>0</v>
      </c>
      <c r="V125" s="11">
        <f t="shared" si="54"/>
        <v>0</v>
      </c>
      <c r="W125" s="11"/>
      <c r="X125" s="218">
        <f t="shared" si="55"/>
        <v>0</v>
      </c>
      <c r="Z125" s="182"/>
      <c r="AA125" s="182"/>
    </row>
    <row r="126" spans="1:27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13"/>
      <c r="N126" s="7">
        <f t="shared" si="61"/>
        <v>0</v>
      </c>
      <c r="O126" s="7">
        <f t="shared" si="62"/>
        <v>0</v>
      </c>
      <c r="P126" s="7">
        <f t="shared" si="53"/>
        <v>0</v>
      </c>
      <c r="Q126" s="7">
        <v>0</v>
      </c>
      <c r="R126" s="7"/>
      <c r="S126" s="7"/>
      <c r="T126" s="7"/>
      <c r="U126" s="7">
        <v>0</v>
      </c>
      <c r="V126" s="7">
        <f t="shared" si="54"/>
        <v>0</v>
      </c>
      <c r="W126" s="7"/>
      <c r="X126" s="216"/>
      <c r="Z126" s="182"/>
      <c r="AA126" s="182"/>
    </row>
    <row r="127" spans="1:27" x14ac:dyDescent="0.3">
      <c r="A127" s="4">
        <f>SUM(A114:A125)</f>
        <v>0</v>
      </c>
      <c r="B127" s="4">
        <f t="shared" ref="B127:L127" si="113">SUM(B114:B125)</f>
        <v>0</v>
      </c>
      <c r="C127" s="4">
        <f t="shared" si="113"/>
        <v>0</v>
      </c>
      <c r="D127" s="4">
        <f t="shared" si="113"/>
        <v>0</v>
      </c>
      <c r="E127" s="4">
        <f t="shared" si="113"/>
        <v>0</v>
      </c>
      <c r="F127" s="4">
        <f t="shared" si="113"/>
        <v>0</v>
      </c>
      <c r="G127" s="4">
        <f t="shared" si="113"/>
        <v>0</v>
      </c>
      <c r="H127" s="4">
        <f t="shared" si="113"/>
        <v>0</v>
      </c>
      <c r="I127" s="4">
        <f t="shared" si="113"/>
        <v>0</v>
      </c>
      <c r="J127" s="4">
        <f t="shared" si="113"/>
        <v>0</v>
      </c>
      <c r="K127" s="4">
        <f t="shared" si="113"/>
        <v>0</v>
      </c>
      <c r="L127" s="4">
        <f t="shared" si="113"/>
        <v>0</v>
      </c>
      <c r="M127" s="13" t="s">
        <v>185</v>
      </c>
      <c r="N127" s="4">
        <f t="shared" ref="N127:O127" si="114">SUM(N114:N125)</f>
        <v>0</v>
      </c>
      <c r="O127" s="4">
        <f t="shared" si="114"/>
        <v>0</v>
      </c>
      <c r="P127" s="4">
        <f t="shared" ref="P127:W127" si="115">SUM(P114:P125)</f>
        <v>0</v>
      </c>
      <c r="Q127" s="4">
        <f t="shared" si="115"/>
        <v>0</v>
      </c>
      <c r="R127" s="4">
        <f t="shared" si="115"/>
        <v>0</v>
      </c>
      <c r="S127" s="4">
        <f t="shared" si="115"/>
        <v>0</v>
      </c>
      <c r="T127" s="4">
        <f t="shared" si="115"/>
        <v>0</v>
      </c>
      <c r="U127" s="4">
        <f t="shared" si="115"/>
        <v>0</v>
      </c>
      <c r="V127" s="4">
        <f t="shared" si="115"/>
        <v>0</v>
      </c>
      <c r="W127" s="4">
        <f t="shared" si="115"/>
        <v>0</v>
      </c>
      <c r="X127" s="225">
        <f t="shared" si="55"/>
        <v>0</v>
      </c>
      <c r="Z127" s="182"/>
      <c r="AA127" s="182"/>
    </row>
    <row r="128" spans="1:27" x14ac:dyDescent="0.3">
      <c r="A128" s="82"/>
      <c r="B128" s="81"/>
      <c r="C128" s="81"/>
      <c r="D128" s="82"/>
      <c r="E128" s="86"/>
      <c r="F128" s="86"/>
      <c r="G128" s="86"/>
      <c r="H128" s="86"/>
      <c r="I128" s="87"/>
      <c r="J128" s="87"/>
      <c r="K128" s="88"/>
      <c r="L128" s="88"/>
      <c r="M128" s="122"/>
      <c r="N128" s="86">
        <f t="shared" si="61"/>
        <v>0</v>
      </c>
      <c r="O128" s="86">
        <f t="shared" si="62"/>
        <v>0</v>
      </c>
      <c r="P128" s="86">
        <f t="shared" si="53"/>
        <v>0</v>
      </c>
      <c r="Q128" s="81">
        <v>0</v>
      </c>
      <c r="R128" s="81"/>
      <c r="S128" s="81"/>
      <c r="T128" s="81"/>
      <c r="U128" s="81">
        <v>0</v>
      </c>
      <c r="V128" s="81">
        <f t="shared" si="54"/>
        <v>0</v>
      </c>
      <c r="W128" s="81"/>
      <c r="X128" s="223"/>
      <c r="Z128" s="182"/>
      <c r="AA128" s="182"/>
    </row>
    <row r="129" spans="1:27" x14ac:dyDescent="0.3">
      <c r="A129" s="4">
        <f>A112+A127</f>
        <v>319185.16800000001</v>
      </c>
      <c r="B129" s="4">
        <f t="shared" ref="B129:L129" si="116">B112+B127</f>
        <v>322447.592</v>
      </c>
      <c r="C129" s="4">
        <f t="shared" si="116"/>
        <v>320233.16800000001</v>
      </c>
      <c r="D129" s="4">
        <f t="shared" si="116"/>
        <v>319185.16800000001</v>
      </c>
      <c r="E129" s="4">
        <f t="shared" si="116"/>
        <v>321281.16800000001</v>
      </c>
      <c r="F129" s="4">
        <f t="shared" si="116"/>
        <v>319185.16800000001</v>
      </c>
      <c r="G129" s="4">
        <f t="shared" si="116"/>
        <v>320233.16800000001</v>
      </c>
      <c r="H129" s="4">
        <f t="shared" si="116"/>
        <v>323739.14400000003</v>
      </c>
      <c r="I129" s="4">
        <f t="shared" si="116"/>
        <v>322449.11154916481</v>
      </c>
      <c r="J129" s="4">
        <f t="shared" si="116"/>
        <v>319185.16800000001</v>
      </c>
      <c r="K129" s="4">
        <f t="shared" si="116"/>
        <v>319185.16800000001</v>
      </c>
      <c r="L129" s="4">
        <f t="shared" si="116"/>
        <v>319193.16800000001</v>
      </c>
      <c r="M129" s="13" t="s">
        <v>186</v>
      </c>
      <c r="N129" s="4">
        <f t="shared" ref="N129:O129" si="117">N112+N127</f>
        <v>0</v>
      </c>
      <c r="O129" s="4">
        <f t="shared" si="117"/>
        <v>3845502.3595491648</v>
      </c>
      <c r="P129" s="4">
        <f>P112+P127</f>
        <v>3845502.3595491648</v>
      </c>
      <c r="Q129" s="4">
        <f>Q112+Q127</f>
        <v>3845502.3595491648</v>
      </c>
      <c r="R129" s="4">
        <f>R112+R127</f>
        <v>0</v>
      </c>
      <c r="S129" s="4"/>
      <c r="T129" s="4">
        <v>0</v>
      </c>
      <c r="U129" s="4">
        <v>3877275.9742022967</v>
      </c>
      <c r="V129" s="4">
        <f t="shared" si="54"/>
        <v>31773.614653131925</v>
      </c>
      <c r="W129" s="4">
        <f>W112+W127</f>
        <v>0</v>
      </c>
      <c r="X129" s="225">
        <f>IFERROR(N129/Q129,0)</f>
        <v>0</v>
      </c>
      <c r="Z129" s="182"/>
      <c r="AA129" s="182"/>
    </row>
    <row r="131" spans="1:27" x14ac:dyDescent="0.3">
      <c r="Q131" s="167"/>
    </row>
    <row r="132" spans="1:27" x14ac:dyDescent="0.3">
      <c r="Q132" s="167"/>
      <c r="R132" s="353"/>
      <c r="S132" s="353"/>
    </row>
  </sheetData>
  <mergeCells count="3">
    <mergeCell ref="A3:L3"/>
    <mergeCell ref="N3:W3"/>
    <mergeCell ref="M4:M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3:AA133"/>
  <sheetViews>
    <sheetView zoomScale="60" zoomScaleNormal="60" workbookViewId="0">
      <pane xSplit="13" ySplit="5" topLeftCell="N105" activePane="bottomRight" state="frozen"/>
      <selection pane="topRight" activeCell="N1" sqref="N1"/>
      <selection pane="bottomLeft" activeCell="A6" sqref="A6"/>
      <selection pane="bottomRight" activeCell="P129" sqref="P129:Q129"/>
    </sheetView>
  </sheetViews>
  <sheetFormatPr defaultRowHeight="14.4" x14ac:dyDescent="0.3"/>
  <cols>
    <col min="1" max="1" width="11.88671875" bestFit="1" customWidth="1"/>
    <col min="2" max="3" width="10.88671875" bestFit="1" customWidth="1"/>
    <col min="4" max="4" width="11.33203125" bestFit="1" customWidth="1"/>
    <col min="5" max="5" width="12.33203125" bestFit="1" customWidth="1"/>
    <col min="6" max="6" width="11.33203125" bestFit="1" customWidth="1"/>
    <col min="7" max="7" width="10.44140625" customWidth="1"/>
    <col min="8" max="8" width="13.88671875" customWidth="1"/>
    <col min="9" max="10" width="10.44140625" customWidth="1"/>
    <col min="11" max="11" width="11.33203125" bestFit="1" customWidth="1"/>
    <col min="12" max="12" width="13" bestFit="1" customWidth="1"/>
    <col min="13" max="13" width="61.33203125" bestFit="1" customWidth="1"/>
    <col min="14" max="16" width="13.6640625" customWidth="1"/>
    <col min="17" max="17" width="22.6640625" customWidth="1"/>
    <col min="18" max="18" width="13.6640625" hidden="1" customWidth="1"/>
    <col min="19" max="22" width="13.6640625" style="167" hidden="1" customWidth="1"/>
    <col min="23" max="23" width="17.33203125" hidden="1" customWidth="1"/>
    <col min="24" max="24" width="17.33203125" customWidth="1"/>
    <col min="26" max="27" width="13.33203125" style="167" customWidth="1"/>
  </cols>
  <sheetData>
    <row r="3" spans="1:27" x14ac:dyDescent="0.3">
      <c r="A3" s="408" t="s">
        <v>231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14" t="s">
        <v>69</v>
      </c>
      <c r="N3" s="424" t="s">
        <v>226</v>
      </c>
      <c r="O3" s="425"/>
      <c r="P3" s="425"/>
      <c r="Q3" s="425"/>
      <c r="R3" s="425"/>
      <c r="S3" s="425"/>
      <c r="T3" s="425"/>
      <c r="U3" s="425"/>
      <c r="V3" s="425"/>
      <c r="W3" s="425"/>
      <c r="X3" s="236"/>
    </row>
    <row r="4" spans="1:27" ht="62.25" customHeight="1" x14ac:dyDescent="0.3">
      <c r="A4" s="125">
        <v>44287</v>
      </c>
      <c r="B4" s="125">
        <v>44317</v>
      </c>
      <c r="C4" s="125">
        <v>44348</v>
      </c>
      <c r="D4" s="125">
        <v>44378</v>
      </c>
      <c r="E4" s="125">
        <v>44409</v>
      </c>
      <c r="F4" s="125">
        <v>44440</v>
      </c>
      <c r="G4" s="125">
        <v>44470</v>
      </c>
      <c r="H4" s="125">
        <v>44501</v>
      </c>
      <c r="I4" s="125">
        <v>44531</v>
      </c>
      <c r="J4" s="125">
        <v>44562</v>
      </c>
      <c r="K4" s="125">
        <v>44593</v>
      </c>
      <c r="L4" s="125">
        <v>44621</v>
      </c>
      <c r="M4" s="429" t="s">
        <v>283</v>
      </c>
      <c r="N4" s="243" t="s">
        <v>411</v>
      </c>
      <c r="O4" s="243" t="s">
        <v>413</v>
      </c>
      <c r="P4" s="243" t="s">
        <v>406</v>
      </c>
      <c r="Q4" s="243" t="s">
        <v>407</v>
      </c>
      <c r="R4" s="243" t="s">
        <v>228</v>
      </c>
      <c r="S4" s="243" t="s">
        <v>378</v>
      </c>
      <c r="T4" s="243" t="s">
        <v>294</v>
      </c>
      <c r="U4" s="243" t="s">
        <v>74</v>
      </c>
      <c r="V4" s="243" t="s">
        <v>295</v>
      </c>
      <c r="W4" s="243" t="s">
        <v>229</v>
      </c>
      <c r="X4" s="374" t="s">
        <v>271</v>
      </c>
    </row>
    <row r="5" spans="1:27" ht="27.6" x14ac:dyDescent="0.3">
      <c r="A5" s="10" t="s">
        <v>1</v>
      </c>
      <c r="B5" s="10" t="s">
        <v>1</v>
      </c>
      <c r="C5" s="10" t="s">
        <v>1</v>
      </c>
      <c r="D5" s="10" t="s">
        <v>1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430"/>
      <c r="N5" s="201" t="s">
        <v>2</v>
      </c>
      <c r="O5" s="10" t="s">
        <v>1</v>
      </c>
      <c r="P5" s="289" t="s">
        <v>502</v>
      </c>
      <c r="Q5" s="289" t="s">
        <v>241</v>
      </c>
      <c r="R5" s="10" t="s">
        <v>399</v>
      </c>
      <c r="S5" s="289" t="s">
        <v>235</v>
      </c>
      <c r="T5" s="289" t="s">
        <v>235</v>
      </c>
      <c r="U5" s="289" t="s">
        <v>235</v>
      </c>
      <c r="V5" s="10" t="s">
        <v>399</v>
      </c>
      <c r="W5" s="10" t="s">
        <v>400</v>
      </c>
      <c r="X5" s="10" t="s">
        <v>13</v>
      </c>
    </row>
    <row r="6" spans="1:27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24"/>
      <c r="N6" s="1"/>
      <c r="O6" s="1"/>
      <c r="P6" s="1"/>
      <c r="Q6" s="1"/>
      <c r="R6" s="1"/>
      <c r="S6" s="1"/>
      <c r="T6" s="1"/>
      <c r="U6" s="1"/>
      <c r="V6" s="1"/>
      <c r="W6" s="1"/>
      <c r="X6" s="3"/>
    </row>
    <row r="7" spans="1:27" x14ac:dyDescent="0.3">
      <c r="A7" s="183"/>
      <c r="B7" s="8">
        <f t="shared" ref="B7:L7" si="0">$Q7/6</f>
        <v>60109.515933333336</v>
      </c>
      <c r="C7" s="8"/>
      <c r="D7" s="8">
        <f t="shared" si="0"/>
        <v>60109.515933333336</v>
      </c>
      <c r="E7" s="8"/>
      <c r="F7" s="8"/>
      <c r="G7" s="8">
        <f t="shared" si="0"/>
        <v>60109.515933333336</v>
      </c>
      <c r="H7" s="8">
        <f t="shared" si="0"/>
        <v>60109.515933333336</v>
      </c>
      <c r="I7" s="8"/>
      <c r="J7" s="8">
        <f t="shared" si="0"/>
        <v>60109.515933333336</v>
      </c>
      <c r="K7" s="8"/>
      <c r="L7" s="8">
        <f t="shared" si="0"/>
        <v>60109.515933333336</v>
      </c>
      <c r="M7" s="238" t="s">
        <v>414</v>
      </c>
      <c r="N7" s="8">
        <f>SUM(0)</f>
        <v>0</v>
      </c>
      <c r="O7" s="8">
        <f>SUM(A7:L7)</f>
        <v>360657.0956</v>
      </c>
      <c r="P7" s="8">
        <f>SUM(N7:O7)</f>
        <v>360657.0956</v>
      </c>
      <c r="Q7" s="8">
        <v>360657.0956</v>
      </c>
      <c r="R7" s="8">
        <f>Q7-P7</f>
        <v>0</v>
      </c>
      <c r="S7" s="8"/>
      <c r="T7" s="8">
        <v>-5163.7524699999485</v>
      </c>
      <c r="U7" s="8">
        <f>Q7+T7</f>
        <v>355493.34313000005</v>
      </c>
      <c r="V7" s="8">
        <f>U7-P7</f>
        <v>-5163.7524699999485</v>
      </c>
      <c r="W7" s="8" t="s">
        <v>397</v>
      </c>
      <c r="X7" s="158">
        <f>IFERROR(N7/Q7,0)</f>
        <v>0</v>
      </c>
    </row>
    <row r="8" spans="1:27" ht="12.75" customHeight="1" x14ac:dyDescent="0.3">
      <c r="A8" s="7">
        <f>$Q$8/12</f>
        <v>0</v>
      </c>
      <c r="B8" s="7"/>
      <c r="C8" s="7"/>
      <c r="D8" s="7">
        <f t="shared" ref="D8:K8" si="1">$Q$8/12</f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  <c r="H8" s="7"/>
      <c r="I8" s="7"/>
      <c r="J8" s="7"/>
      <c r="K8" s="7">
        <f t="shared" si="1"/>
        <v>0</v>
      </c>
      <c r="L8" s="7">
        <f>$Q$8/12</f>
        <v>0</v>
      </c>
      <c r="M8" s="13" t="s">
        <v>415</v>
      </c>
      <c r="N8" s="7">
        <f t="shared" ref="N8:N16" si="2">SUM(0)</f>
        <v>0</v>
      </c>
      <c r="O8" s="7">
        <f t="shared" ref="O8:O16" si="3">SUM(A8:L8)</f>
        <v>0</v>
      </c>
      <c r="P8" s="7">
        <f t="shared" ref="P8:P71" si="4">SUM(N8:O8)</f>
        <v>0</v>
      </c>
      <c r="Q8" s="7">
        <v>0</v>
      </c>
      <c r="R8" s="7">
        <f t="shared" ref="R8:R16" si="5">Q8-P8</f>
        <v>0</v>
      </c>
      <c r="S8" s="7"/>
      <c r="T8" s="7"/>
      <c r="U8" s="7">
        <f>Q8+T8</f>
        <v>0</v>
      </c>
      <c r="V8" s="7">
        <f t="shared" ref="V8:V71" si="6">U8-P8</f>
        <v>0</v>
      </c>
      <c r="W8" s="7"/>
      <c r="X8" s="159">
        <f>IFERROR(N8/Q8,0)</f>
        <v>0</v>
      </c>
      <c r="Z8" s="182"/>
      <c r="AA8" s="182"/>
    </row>
    <row r="9" spans="1:27" x14ac:dyDescent="0.3">
      <c r="A9" s="7">
        <f>$Q$9/12</f>
        <v>0</v>
      </c>
      <c r="B9" s="7"/>
      <c r="C9" s="7"/>
      <c r="D9" s="7">
        <f t="shared" ref="D9:L9" si="7">$Q$9/12</f>
        <v>0</v>
      </c>
      <c r="E9" s="7">
        <f t="shared" si="7"/>
        <v>0</v>
      </c>
      <c r="F9" s="7">
        <f t="shared" si="7"/>
        <v>0</v>
      </c>
      <c r="G9" s="7">
        <f t="shared" si="7"/>
        <v>0</v>
      </c>
      <c r="H9" s="7"/>
      <c r="I9" s="7"/>
      <c r="J9" s="7"/>
      <c r="K9" s="7">
        <f t="shared" si="7"/>
        <v>0</v>
      </c>
      <c r="L9" s="7">
        <f t="shared" si="7"/>
        <v>0</v>
      </c>
      <c r="M9" s="13" t="s">
        <v>416</v>
      </c>
      <c r="N9" s="7">
        <f t="shared" si="2"/>
        <v>0</v>
      </c>
      <c r="O9" s="7">
        <f t="shared" si="3"/>
        <v>0</v>
      </c>
      <c r="P9" s="7">
        <f t="shared" si="4"/>
        <v>0</v>
      </c>
      <c r="Q9" s="7">
        <v>0</v>
      </c>
      <c r="R9" s="7">
        <f t="shared" si="5"/>
        <v>0</v>
      </c>
      <c r="S9" s="7"/>
      <c r="T9" s="7"/>
      <c r="U9" s="7">
        <f t="shared" ref="U9:U72" si="8">Q9+T9</f>
        <v>0</v>
      </c>
      <c r="V9" s="7">
        <f t="shared" si="6"/>
        <v>0</v>
      </c>
      <c r="W9" s="7"/>
      <c r="X9" s="159">
        <f t="shared" ref="X9:X72" si="9">IFERROR(N9/Q9,0)</f>
        <v>0</v>
      </c>
      <c r="Z9" s="182"/>
      <c r="AA9" s="182"/>
    </row>
    <row r="10" spans="1:27" x14ac:dyDescent="0.3">
      <c r="A10" s="7"/>
      <c r="B10" s="7">
        <v>9432.509909639999</v>
      </c>
      <c r="C10" s="7"/>
      <c r="D10" s="7">
        <v>9432.509909639999</v>
      </c>
      <c r="E10" s="7"/>
      <c r="F10" s="7"/>
      <c r="G10" s="7">
        <v>9432.509909639999</v>
      </c>
      <c r="H10" s="7">
        <v>9432.509909639999</v>
      </c>
      <c r="I10" s="7"/>
      <c r="J10" s="7">
        <v>9432.509909639999</v>
      </c>
      <c r="K10" s="7"/>
      <c r="L10" s="7">
        <v>9432.509909639999</v>
      </c>
      <c r="M10" s="13" t="s">
        <v>417</v>
      </c>
      <c r="N10" s="7">
        <f t="shared" si="2"/>
        <v>0</v>
      </c>
      <c r="O10" s="7">
        <f t="shared" si="3"/>
        <v>56595.059457839998</v>
      </c>
      <c r="P10" s="7">
        <f t="shared" si="4"/>
        <v>56595.059457839998</v>
      </c>
      <c r="Q10" s="7">
        <v>56595.059457839998</v>
      </c>
      <c r="R10" s="7">
        <f t="shared" si="5"/>
        <v>0</v>
      </c>
      <c r="S10" s="7"/>
      <c r="T10" s="7"/>
      <c r="U10" s="7">
        <f t="shared" si="8"/>
        <v>56595.059457839998</v>
      </c>
      <c r="V10" s="7">
        <f t="shared" si="6"/>
        <v>0</v>
      </c>
      <c r="W10" s="7"/>
      <c r="X10" s="159">
        <f t="shared" si="9"/>
        <v>0</v>
      </c>
      <c r="Z10" s="182"/>
      <c r="AA10" s="182"/>
    </row>
    <row r="11" spans="1:27" x14ac:dyDescent="0.3">
      <c r="A11" s="7">
        <v>0</v>
      </c>
      <c r="B11" s="7"/>
      <c r="C11" s="7"/>
      <c r="D11" s="7"/>
      <c r="E11" s="7">
        <v>0</v>
      </c>
      <c r="F11" s="7">
        <v>0</v>
      </c>
      <c r="G11" s="7">
        <v>0</v>
      </c>
      <c r="H11" s="7"/>
      <c r="I11" s="7"/>
      <c r="J11" s="7"/>
      <c r="K11" s="7"/>
      <c r="L11" s="7"/>
      <c r="M11" s="13" t="s">
        <v>418</v>
      </c>
      <c r="N11" s="7">
        <f t="shared" si="2"/>
        <v>0</v>
      </c>
      <c r="O11" s="7">
        <f t="shared" si="3"/>
        <v>0</v>
      </c>
      <c r="P11" s="7">
        <f t="shared" si="4"/>
        <v>0</v>
      </c>
      <c r="Q11" s="7">
        <v>0</v>
      </c>
      <c r="R11" s="7">
        <f t="shared" si="5"/>
        <v>0</v>
      </c>
      <c r="S11" s="7"/>
      <c r="T11" s="7"/>
      <c r="U11" s="7">
        <f t="shared" si="8"/>
        <v>0</v>
      </c>
      <c r="V11" s="7">
        <f t="shared" si="6"/>
        <v>0</v>
      </c>
      <c r="W11" s="7"/>
      <c r="X11" s="159">
        <f t="shared" si="9"/>
        <v>0</v>
      </c>
      <c r="Z11" s="182"/>
      <c r="AA11" s="182"/>
    </row>
    <row r="12" spans="1:27" x14ac:dyDescent="0.3">
      <c r="A12" s="7">
        <f>$Q$12/12</f>
        <v>0</v>
      </c>
      <c r="B12" s="7">
        <f t="shared" ref="B12:L12" si="10">$Q$12/12</f>
        <v>0</v>
      </c>
      <c r="C12" s="7">
        <f t="shared" si="10"/>
        <v>0</v>
      </c>
      <c r="D12" s="7">
        <f t="shared" si="10"/>
        <v>0</v>
      </c>
      <c r="E12" s="7">
        <f t="shared" si="10"/>
        <v>0</v>
      </c>
      <c r="F12" s="7">
        <f t="shared" si="10"/>
        <v>0</v>
      </c>
      <c r="G12" s="7">
        <f t="shared" si="10"/>
        <v>0</v>
      </c>
      <c r="H12" s="7"/>
      <c r="I12" s="7"/>
      <c r="J12" s="7"/>
      <c r="K12" s="7">
        <f t="shared" si="10"/>
        <v>0</v>
      </c>
      <c r="L12" s="7">
        <f t="shared" si="10"/>
        <v>0</v>
      </c>
      <c r="M12" s="13" t="s">
        <v>419</v>
      </c>
      <c r="N12" s="7">
        <f t="shared" si="2"/>
        <v>0</v>
      </c>
      <c r="O12" s="7">
        <f t="shared" si="3"/>
        <v>0</v>
      </c>
      <c r="P12" s="7">
        <f t="shared" si="4"/>
        <v>0</v>
      </c>
      <c r="Q12" s="7">
        <v>0</v>
      </c>
      <c r="R12" s="7">
        <f t="shared" si="5"/>
        <v>0</v>
      </c>
      <c r="S12" s="7"/>
      <c r="T12" s="7"/>
      <c r="U12" s="7">
        <f t="shared" si="8"/>
        <v>0</v>
      </c>
      <c r="V12" s="7">
        <f t="shared" si="6"/>
        <v>0</v>
      </c>
      <c r="W12" s="7"/>
      <c r="X12" s="159">
        <f t="shared" si="9"/>
        <v>0</v>
      </c>
      <c r="Z12" s="182"/>
      <c r="AA12" s="182"/>
    </row>
    <row r="13" spans="1:27" x14ac:dyDescent="0.3">
      <c r="A13" s="7">
        <f>$Q$13/12</f>
        <v>0</v>
      </c>
      <c r="B13" s="7">
        <f t="shared" ref="B13:L13" si="11">$Q$13/12</f>
        <v>0</v>
      </c>
      <c r="C13" s="7">
        <f t="shared" si="11"/>
        <v>0</v>
      </c>
      <c r="D13" s="7">
        <f t="shared" si="11"/>
        <v>0</v>
      </c>
      <c r="E13" s="7">
        <f t="shared" si="11"/>
        <v>0</v>
      </c>
      <c r="F13" s="7">
        <f t="shared" si="11"/>
        <v>0</v>
      </c>
      <c r="G13" s="7">
        <f t="shared" si="11"/>
        <v>0</v>
      </c>
      <c r="H13" s="7"/>
      <c r="I13" s="7"/>
      <c r="J13" s="7"/>
      <c r="K13" s="7">
        <f t="shared" si="11"/>
        <v>0</v>
      </c>
      <c r="L13" s="7">
        <f t="shared" si="11"/>
        <v>0</v>
      </c>
      <c r="M13" s="13" t="s">
        <v>420</v>
      </c>
      <c r="N13" s="7">
        <f t="shared" si="2"/>
        <v>0</v>
      </c>
      <c r="O13" s="7">
        <f t="shared" si="3"/>
        <v>0</v>
      </c>
      <c r="P13" s="7">
        <f t="shared" si="4"/>
        <v>0</v>
      </c>
      <c r="Q13" s="7">
        <v>0</v>
      </c>
      <c r="R13" s="7">
        <f t="shared" si="5"/>
        <v>0</v>
      </c>
      <c r="S13" s="7"/>
      <c r="T13" s="7"/>
      <c r="U13" s="7">
        <f t="shared" si="8"/>
        <v>0</v>
      </c>
      <c r="V13" s="7">
        <f t="shared" si="6"/>
        <v>0</v>
      </c>
      <c r="W13" s="7"/>
      <c r="X13" s="159">
        <f t="shared" si="9"/>
        <v>0</v>
      </c>
      <c r="Z13" s="182"/>
      <c r="AA13" s="182"/>
    </row>
    <row r="14" spans="1:27" x14ac:dyDescent="0.3">
      <c r="A14" s="7">
        <f>$Q$14/12</f>
        <v>0</v>
      </c>
      <c r="B14" s="7">
        <f t="shared" ref="B14:L14" si="12">$Q$14/12</f>
        <v>0</v>
      </c>
      <c r="C14" s="7">
        <f t="shared" si="12"/>
        <v>0</v>
      </c>
      <c r="D14" s="7">
        <f t="shared" si="12"/>
        <v>0</v>
      </c>
      <c r="E14" s="7">
        <f t="shared" si="12"/>
        <v>0</v>
      </c>
      <c r="F14" s="7">
        <f t="shared" si="12"/>
        <v>0</v>
      </c>
      <c r="G14" s="7">
        <f t="shared" si="12"/>
        <v>0</v>
      </c>
      <c r="H14" s="7"/>
      <c r="I14" s="7"/>
      <c r="J14" s="7"/>
      <c r="K14" s="7">
        <f t="shared" si="12"/>
        <v>0</v>
      </c>
      <c r="L14" s="7">
        <f t="shared" si="12"/>
        <v>0</v>
      </c>
      <c r="M14" s="13" t="s">
        <v>421</v>
      </c>
      <c r="N14" s="7">
        <f t="shared" si="2"/>
        <v>0</v>
      </c>
      <c r="O14" s="7">
        <f t="shared" si="3"/>
        <v>0</v>
      </c>
      <c r="P14" s="7">
        <f t="shared" si="4"/>
        <v>0</v>
      </c>
      <c r="Q14" s="7">
        <v>0</v>
      </c>
      <c r="R14" s="7">
        <f t="shared" si="5"/>
        <v>0</v>
      </c>
      <c r="S14" s="7"/>
      <c r="T14" s="7"/>
      <c r="U14" s="7">
        <f t="shared" si="8"/>
        <v>0</v>
      </c>
      <c r="V14" s="7">
        <f t="shared" si="6"/>
        <v>0</v>
      </c>
      <c r="W14" s="7"/>
      <c r="X14" s="159">
        <f t="shared" si="9"/>
        <v>0</v>
      </c>
      <c r="Z14" s="182"/>
      <c r="AA14" s="182"/>
    </row>
    <row r="15" spans="1:27" x14ac:dyDescent="0.3">
      <c r="A15" s="7">
        <f>$Q$15/12</f>
        <v>0</v>
      </c>
      <c r="B15" s="7">
        <f t="shared" ref="B15:L15" si="13">$Q$15/12</f>
        <v>0</v>
      </c>
      <c r="C15" s="7">
        <f t="shared" si="13"/>
        <v>0</v>
      </c>
      <c r="D15" s="7">
        <f t="shared" si="13"/>
        <v>0</v>
      </c>
      <c r="E15" s="7">
        <f t="shared" si="13"/>
        <v>0</v>
      </c>
      <c r="F15" s="7">
        <f t="shared" si="13"/>
        <v>0</v>
      </c>
      <c r="G15" s="7">
        <f t="shared" si="13"/>
        <v>0</v>
      </c>
      <c r="H15" s="7"/>
      <c r="I15" s="7"/>
      <c r="J15" s="7"/>
      <c r="K15" s="7">
        <f t="shared" si="13"/>
        <v>0</v>
      </c>
      <c r="L15" s="7">
        <f t="shared" si="13"/>
        <v>0</v>
      </c>
      <c r="M15" s="13" t="s">
        <v>422</v>
      </c>
      <c r="N15" s="7">
        <f t="shared" si="2"/>
        <v>0</v>
      </c>
      <c r="O15" s="7">
        <f t="shared" si="3"/>
        <v>0</v>
      </c>
      <c r="P15" s="7">
        <f t="shared" si="4"/>
        <v>0</v>
      </c>
      <c r="Q15" s="7">
        <v>0</v>
      </c>
      <c r="R15" s="7">
        <f t="shared" si="5"/>
        <v>0</v>
      </c>
      <c r="S15" s="7"/>
      <c r="T15" s="7"/>
      <c r="U15" s="7">
        <f t="shared" si="8"/>
        <v>0</v>
      </c>
      <c r="V15" s="7">
        <f t="shared" si="6"/>
        <v>0</v>
      </c>
      <c r="W15" s="7"/>
      <c r="X15" s="159">
        <f t="shared" si="9"/>
        <v>0</v>
      </c>
      <c r="Z15" s="182"/>
      <c r="AA15" s="182"/>
    </row>
    <row r="16" spans="1:27" x14ac:dyDescent="0.3">
      <c r="A16" s="11">
        <f>$Q$16/12</f>
        <v>0</v>
      </c>
      <c r="B16" s="11">
        <f t="shared" ref="B16:L16" si="14">$Q$16/12</f>
        <v>0</v>
      </c>
      <c r="C16" s="11">
        <f t="shared" si="14"/>
        <v>0</v>
      </c>
      <c r="D16" s="11">
        <f t="shared" si="14"/>
        <v>0</v>
      </c>
      <c r="E16" s="11">
        <f t="shared" si="14"/>
        <v>0</v>
      </c>
      <c r="F16" s="11">
        <f t="shared" si="14"/>
        <v>0</v>
      </c>
      <c r="G16" s="11">
        <f t="shared" si="14"/>
        <v>0</v>
      </c>
      <c r="H16" s="11"/>
      <c r="I16" s="11"/>
      <c r="J16" s="11"/>
      <c r="K16" s="11">
        <f t="shared" si="14"/>
        <v>0</v>
      </c>
      <c r="L16" s="11">
        <f t="shared" si="14"/>
        <v>0</v>
      </c>
      <c r="M16" s="13" t="s">
        <v>423</v>
      </c>
      <c r="N16" s="11">
        <f t="shared" si="2"/>
        <v>0</v>
      </c>
      <c r="O16" s="11">
        <f t="shared" si="3"/>
        <v>0</v>
      </c>
      <c r="P16" s="11">
        <f t="shared" si="4"/>
        <v>0</v>
      </c>
      <c r="Q16" s="11">
        <v>0</v>
      </c>
      <c r="R16" s="11">
        <f t="shared" si="5"/>
        <v>0</v>
      </c>
      <c r="S16" s="11"/>
      <c r="T16" s="11"/>
      <c r="U16" s="11">
        <f t="shared" si="8"/>
        <v>0</v>
      </c>
      <c r="V16" s="11">
        <f t="shared" si="6"/>
        <v>0</v>
      </c>
      <c r="W16" s="11"/>
      <c r="X16" s="160">
        <f t="shared" si="9"/>
        <v>0</v>
      </c>
      <c r="Z16" s="182"/>
      <c r="AA16" s="182"/>
    </row>
    <row r="17" spans="1:27" x14ac:dyDescent="0.3">
      <c r="A17" s="81"/>
      <c r="B17" s="81"/>
      <c r="C17" s="81"/>
      <c r="D17" s="85"/>
      <c r="E17" s="83"/>
      <c r="F17" s="83"/>
      <c r="G17" s="83"/>
      <c r="H17" s="83"/>
      <c r="I17" s="83"/>
      <c r="J17" s="83"/>
      <c r="K17" s="84"/>
      <c r="L17" s="84"/>
      <c r="M17" s="13"/>
      <c r="N17" s="83">
        <f t="shared" ref="N17:N66" si="15">SUM(A17:J17)</f>
        <v>0</v>
      </c>
      <c r="O17" s="83">
        <f t="shared" ref="O17:O66" si="16">SUM(K17:L17)</f>
        <v>0</v>
      </c>
      <c r="P17" s="83">
        <f t="shared" si="4"/>
        <v>0</v>
      </c>
      <c r="Q17" s="81"/>
      <c r="R17" s="81"/>
      <c r="S17" s="81"/>
      <c r="T17" s="81"/>
      <c r="U17" s="81">
        <f t="shared" si="8"/>
        <v>0</v>
      </c>
      <c r="V17" s="81">
        <f t="shared" si="6"/>
        <v>0</v>
      </c>
      <c r="W17" s="81"/>
      <c r="X17" s="204"/>
      <c r="Z17" s="182"/>
      <c r="AA17" s="182"/>
    </row>
    <row r="18" spans="1:27" x14ac:dyDescent="0.3">
      <c r="A18" s="4">
        <f>SUM(A7:A16)</f>
        <v>0</v>
      </c>
      <c r="B18" s="4">
        <f t="shared" ref="B18:L18" si="17">SUM(B7:B16)</f>
        <v>69542.025842973337</v>
      </c>
      <c r="C18" s="4">
        <f t="shared" si="17"/>
        <v>0</v>
      </c>
      <c r="D18" s="4">
        <f t="shared" si="17"/>
        <v>69542.025842973337</v>
      </c>
      <c r="E18" s="4">
        <f t="shared" si="17"/>
        <v>0</v>
      </c>
      <c r="F18" s="4">
        <f t="shared" si="17"/>
        <v>0</v>
      </c>
      <c r="G18" s="4">
        <f t="shared" si="17"/>
        <v>69542.025842973337</v>
      </c>
      <c r="H18" s="4">
        <f t="shared" si="17"/>
        <v>69542.025842973337</v>
      </c>
      <c r="I18" s="4">
        <f t="shared" si="17"/>
        <v>0</v>
      </c>
      <c r="J18" s="4">
        <f t="shared" si="17"/>
        <v>69542.025842973337</v>
      </c>
      <c r="K18" s="4">
        <f t="shared" si="17"/>
        <v>0</v>
      </c>
      <c r="L18" s="4">
        <f t="shared" si="17"/>
        <v>69542.025842973337</v>
      </c>
      <c r="M18" s="13" t="s">
        <v>89</v>
      </c>
      <c r="N18" s="4">
        <f t="shared" ref="N18:O18" si="18">SUM(N7:N17)</f>
        <v>0</v>
      </c>
      <c r="O18" s="4">
        <f t="shared" si="18"/>
        <v>417252.15505783999</v>
      </c>
      <c r="P18" s="4">
        <f>SUM(P7:P17)</f>
        <v>417252.15505783999</v>
      </c>
      <c r="Q18" s="4">
        <f>SUM(Q7:Q17)</f>
        <v>417252.15505783999</v>
      </c>
      <c r="R18" s="4">
        <f>SUM(R7:R16)</f>
        <v>0</v>
      </c>
      <c r="S18" s="4"/>
      <c r="T18" s="4">
        <f>SUM(T7:T16)</f>
        <v>-5163.7524699999485</v>
      </c>
      <c r="U18" s="4">
        <f t="shared" ref="U18" si="19">SUM(U7:U16)</f>
        <v>412088.40258784004</v>
      </c>
      <c r="V18" s="375">
        <f t="shared" si="6"/>
        <v>-5163.7524699999485</v>
      </c>
      <c r="W18" s="4">
        <f t="shared" ref="W18" si="20">SUM(W7:W16)</f>
        <v>0</v>
      </c>
      <c r="X18" s="162">
        <f t="shared" si="9"/>
        <v>0</v>
      </c>
      <c r="Z18" s="182"/>
      <c r="AA18" s="182"/>
    </row>
    <row r="19" spans="1:27" x14ac:dyDescent="0.3">
      <c r="A19" s="81"/>
      <c r="B19" s="81"/>
      <c r="C19" s="81"/>
      <c r="D19" s="82"/>
      <c r="E19" s="86"/>
      <c r="F19" s="86"/>
      <c r="G19" s="86"/>
      <c r="H19" s="87"/>
      <c r="I19" s="87"/>
      <c r="J19" s="87"/>
      <c r="K19" s="88"/>
      <c r="L19" s="88"/>
      <c r="M19" s="122"/>
      <c r="N19" s="86">
        <f t="shared" si="15"/>
        <v>0</v>
      </c>
      <c r="O19" s="86">
        <f t="shared" si="16"/>
        <v>0</v>
      </c>
      <c r="P19" s="86">
        <f t="shared" si="4"/>
        <v>0</v>
      </c>
      <c r="Q19" s="81"/>
      <c r="R19" s="81"/>
      <c r="S19" s="81"/>
      <c r="T19" s="81"/>
      <c r="U19" s="81">
        <f t="shared" si="8"/>
        <v>0</v>
      </c>
      <c r="V19" s="81">
        <f t="shared" si="6"/>
        <v>0</v>
      </c>
      <c r="W19" s="81"/>
      <c r="X19" s="204"/>
      <c r="Z19" s="182"/>
      <c r="AA19" s="182"/>
    </row>
    <row r="20" spans="1:27" x14ac:dyDescent="0.3">
      <c r="A20" s="183">
        <f>$Q$20/12</f>
        <v>0</v>
      </c>
      <c r="B20" s="183">
        <f t="shared" ref="B20:L20" si="21">$Q$20/12</f>
        <v>0</v>
      </c>
      <c r="C20" s="183">
        <f t="shared" si="21"/>
        <v>0</v>
      </c>
      <c r="D20" s="183">
        <f t="shared" si="21"/>
        <v>0</v>
      </c>
      <c r="E20" s="183">
        <f t="shared" si="21"/>
        <v>0</v>
      </c>
      <c r="F20" s="183">
        <f t="shared" si="21"/>
        <v>0</v>
      </c>
      <c r="G20" s="183">
        <f t="shared" si="21"/>
        <v>0</v>
      </c>
      <c r="H20" s="183">
        <f t="shared" si="21"/>
        <v>0</v>
      </c>
      <c r="I20" s="183">
        <f t="shared" si="21"/>
        <v>0</v>
      </c>
      <c r="J20" s="183"/>
      <c r="K20" s="183">
        <f t="shared" si="21"/>
        <v>0</v>
      </c>
      <c r="L20" s="183">
        <f t="shared" si="21"/>
        <v>0</v>
      </c>
      <c r="M20" s="238" t="s">
        <v>424</v>
      </c>
      <c r="N20" s="8">
        <f t="shared" ref="N20:N26" si="22">SUM(0)</f>
        <v>0</v>
      </c>
      <c r="O20" s="8">
        <f t="shared" ref="O20:O26" si="23">SUM(A20:L20)</f>
        <v>0</v>
      </c>
      <c r="P20" s="8">
        <f t="shared" si="4"/>
        <v>0</v>
      </c>
      <c r="Q20" s="8">
        <v>0</v>
      </c>
      <c r="R20" s="8">
        <f t="shared" ref="R20:R26" si="24">Q20-P20</f>
        <v>0</v>
      </c>
      <c r="S20" s="8"/>
      <c r="T20" s="8"/>
      <c r="U20" s="8">
        <f t="shared" si="8"/>
        <v>0</v>
      </c>
      <c r="V20" s="8">
        <f t="shared" si="6"/>
        <v>0</v>
      </c>
      <c r="W20" s="8"/>
      <c r="X20" s="158">
        <f t="shared" si="9"/>
        <v>0</v>
      </c>
      <c r="Z20" s="182"/>
      <c r="AA20" s="182"/>
    </row>
    <row r="21" spans="1:27" x14ac:dyDescent="0.3">
      <c r="A21" s="7">
        <f>$Q$21/12</f>
        <v>0</v>
      </c>
      <c r="B21" s="7">
        <f t="shared" ref="B21:L21" si="25">$Q$21/12</f>
        <v>0</v>
      </c>
      <c r="C21" s="7">
        <f t="shared" si="25"/>
        <v>0</v>
      </c>
      <c r="D21" s="7">
        <f t="shared" si="25"/>
        <v>0</v>
      </c>
      <c r="E21" s="7">
        <f t="shared" si="25"/>
        <v>0</v>
      </c>
      <c r="F21" s="7">
        <f t="shared" si="25"/>
        <v>0</v>
      </c>
      <c r="G21" s="7">
        <f t="shared" si="25"/>
        <v>0</v>
      </c>
      <c r="H21" s="7">
        <f t="shared" si="25"/>
        <v>0</v>
      </c>
      <c r="I21" s="7">
        <f t="shared" si="25"/>
        <v>0</v>
      </c>
      <c r="J21" s="7"/>
      <c r="K21" s="7">
        <f t="shared" si="25"/>
        <v>0</v>
      </c>
      <c r="L21" s="7">
        <f t="shared" si="25"/>
        <v>0</v>
      </c>
      <c r="M21" s="13" t="s">
        <v>425</v>
      </c>
      <c r="N21" s="7">
        <f t="shared" si="22"/>
        <v>0</v>
      </c>
      <c r="O21" s="7">
        <f t="shared" si="23"/>
        <v>0</v>
      </c>
      <c r="P21" s="7">
        <f t="shared" si="4"/>
        <v>0</v>
      </c>
      <c r="Q21" s="7">
        <v>0</v>
      </c>
      <c r="R21" s="7">
        <f t="shared" si="24"/>
        <v>0</v>
      </c>
      <c r="S21" s="7"/>
      <c r="T21" s="7">
        <v>0</v>
      </c>
      <c r="U21" s="7">
        <f>Q21+T21</f>
        <v>0</v>
      </c>
      <c r="V21" s="7">
        <f t="shared" si="6"/>
        <v>0</v>
      </c>
      <c r="W21" s="7"/>
      <c r="X21" s="159">
        <f t="shared" si="9"/>
        <v>0</v>
      </c>
      <c r="Z21" s="182"/>
      <c r="AA21" s="182"/>
    </row>
    <row r="22" spans="1:27" x14ac:dyDescent="0.3">
      <c r="A22" s="7">
        <f>$Q$22/12</f>
        <v>0</v>
      </c>
      <c r="B22" s="7">
        <f t="shared" ref="B22:L22" si="26">$Q$22/12</f>
        <v>0</v>
      </c>
      <c r="C22" s="7">
        <f t="shared" si="26"/>
        <v>0</v>
      </c>
      <c r="D22" s="7">
        <f t="shared" si="26"/>
        <v>0</v>
      </c>
      <c r="E22" s="7">
        <f t="shared" si="26"/>
        <v>0</v>
      </c>
      <c r="F22" s="7">
        <f t="shared" si="26"/>
        <v>0</v>
      </c>
      <c r="G22" s="7">
        <f t="shared" si="26"/>
        <v>0</v>
      </c>
      <c r="H22" s="7">
        <f t="shared" si="26"/>
        <v>0</v>
      </c>
      <c r="I22" s="7">
        <f t="shared" si="26"/>
        <v>0</v>
      </c>
      <c r="J22" s="7"/>
      <c r="K22" s="7">
        <f t="shared" si="26"/>
        <v>0</v>
      </c>
      <c r="L22" s="7">
        <f t="shared" si="26"/>
        <v>0</v>
      </c>
      <c r="M22" s="13" t="s">
        <v>426</v>
      </c>
      <c r="N22" s="7">
        <f t="shared" si="22"/>
        <v>0</v>
      </c>
      <c r="O22" s="7">
        <f t="shared" si="23"/>
        <v>0</v>
      </c>
      <c r="P22" s="7">
        <f t="shared" si="4"/>
        <v>0</v>
      </c>
      <c r="Q22" s="7">
        <v>0</v>
      </c>
      <c r="R22" s="7">
        <f t="shared" si="24"/>
        <v>0</v>
      </c>
      <c r="S22" s="7"/>
      <c r="T22" s="7"/>
      <c r="U22" s="7">
        <f t="shared" si="8"/>
        <v>0</v>
      </c>
      <c r="V22" s="7">
        <f t="shared" si="6"/>
        <v>0</v>
      </c>
      <c r="W22" s="7"/>
      <c r="X22" s="159">
        <f t="shared" si="9"/>
        <v>0</v>
      </c>
      <c r="Z22" s="182"/>
      <c r="AA22" s="182"/>
    </row>
    <row r="23" spans="1:27" x14ac:dyDescent="0.3">
      <c r="A23" s="7">
        <f>$Q$23/12</f>
        <v>0</v>
      </c>
      <c r="B23" s="7">
        <f t="shared" ref="B23:L23" si="27">$Q$23/12</f>
        <v>0</v>
      </c>
      <c r="C23" s="7">
        <f t="shared" si="27"/>
        <v>0</v>
      </c>
      <c r="D23" s="7">
        <f t="shared" si="27"/>
        <v>0</v>
      </c>
      <c r="E23" s="7">
        <f t="shared" si="27"/>
        <v>0</v>
      </c>
      <c r="F23" s="7">
        <f t="shared" si="27"/>
        <v>0</v>
      </c>
      <c r="G23" s="7">
        <f t="shared" si="27"/>
        <v>0</v>
      </c>
      <c r="H23" s="7">
        <f t="shared" si="27"/>
        <v>0</v>
      </c>
      <c r="I23" s="7">
        <f t="shared" si="27"/>
        <v>0</v>
      </c>
      <c r="J23" s="7"/>
      <c r="K23" s="7">
        <f t="shared" si="27"/>
        <v>0</v>
      </c>
      <c r="L23" s="7">
        <f t="shared" si="27"/>
        <v>0</v>
      </c>
      <c r="M23" s="125" t="s">
        <v>427</v>
      </c>
      <c r="N23" s="7">
        <f t="shared" si="22"/>
        <v>0</v>
      </c>
      <c r="O23" s="7">
        <f t="shared" si="23"/>
        <v>0</v>
      </c>
      <c r="P23" s="7">
        <f t="shared" si="4"/>
        <v>0</v>
      </c>
      <c r="Q23" s="7">
        <v>0</v>
      </c>
      <c r="R23" s="7">
        <f t="shared" si="24"/>
        <v>0</v>
      </c>
      <c r="S23" s="7"/>
      <c r="T23" s="7"/>
      <c r="U23" s="7">
        <f t="shared" si="8"/>
        <v>0</v>
      </c>
      <c r="V23" s="7">
        <f t="shared" si="6"/>
        <v>0</v>
      </c>
      <c r="W23" s="7"/>
      <c r="X23" s="159">
        <f t="shared" si="9"/>
        <v>0</v>
      </c>
      <c r="Z23" s="182"/>
      <c r="AA23" s="182"/>
    </row>
    <row r="24" spans="1:27" x14ac:dyDescent="0.3">
      <c r="A24" s="7">
        <f>$Q$24/12</f>
        <v>0</v>
      </c>
      <c r="B24" s="7">
        <f t="shared" ref="B24:L24" si="28">$Q$24/12</f>
        <v>0</v>
      </c>
      <c r="C24" s="7">
        <f t="shared" si="28"/>
        <v>0</v>
      </c>
      <c r="D24" s="7">
        <f t="shared" si="28"/>
        <v>0</v>
      </c>
      <c r="E24" s="7">
        <f t="shared" si="28"/>
        <v>0</v>
      </c>
      <c r="F24" s="7">
        <f t="shared" si="28"/>
        <v>0</v>
      </c>
      <c r="G24" s="7">
        <f t="shared" si="28"/>
        <v>0</v>
      </c>
      <c r="H24" s="7">
        <f t="shared" si="28"/>
        <v>0</v>
      </c>
      <c r="I24" s="7">
        <f t="shared" si="28"/>
        <v>0</v>
      </c>
      <c r="J24" s="7"/>
      <c r="K24" s="7">
        <f t="shared" si="28"/>
        <v>0</v>
      </c>
      <c r="L24" s="7">
        <f t="shared" si="28"/>
        <v>0</v>
      </c>
      <c r="M24" s="125" t="s">
        <v>428</v>
      </c>
      <c r="N24" s="7">
        <f t="shared" si="22"/>
        <v>0</v>
      </c>
      <c r="O24" s="7">
        <f t="shared" si="23"/>
        <v>0</v>
      </c>
      <c r="P24" s="7">
        <f t="shared" si="4"/>
        <v>0</v>
      </c>
      <c r="Q24" s="7">
        <v>0</v>
      </c>
      <c r="R24" s="7">
        <f t="shared" si="24"/>
        <v>0</v>
      </c>
      <c r="S24" s="7"/>
      <c r="T24" s="7"/>
      <c r="U24" s="7">
        <f t="shared" si="8"/>
        <v>0</v>
      </c>
      <c r="V24" s="7">
        <f t="shared" si="6"/>
        <v>0</v>
      </c>
      <c r="W24" s="7"/>
      <c r="X24" s="159">
        <f t="shared" si="9"/>
        <v>0</v>
      </c>
      <c r="Z24" s="182"/>
      <c r="AA24" s="182"/>
    </row>
    <row r="25" spans="1:27" x14ac:dyDescent="0.3">
      <c r="A25" s="7">
        <f>$Q$25/12</f>
        <v>0</v>
      </c>
      <c r="B25" s="7">
        <f t="shared" ref="B25:L25" si="29">$Q$25/12</f>
        <v>0</v>
      </c>
      <c r="C25" s="7">
        <f t="shared" si="29"/>
        <v>0</v>
      </c>
      <c r="D25" s="7">
        <f t="shared" si="29"/>
        <v>0</v>
      </c>
      <c r="E25" s="7">
        <f t="shared" si="29"/>
        <v>0</v>
      </c>
      <c r="F25" s="7">
        <f t="shared" si="29"/>
        <v>0</v>
      </c>
      <c r="G25" s="7">
        <f t="shared" si="29"/>
        <v>0</v>
      </c>
      <c r="H25" s="7">
        <f t="shared" si="29"/>
        <v>0</v>
      </c>
      <c r="I25" s="7">
        <f t="shared" si="29"/>
        <v>0</v>
      </c>
      <c r="J25" s="7"/>
      <c r="K25" s="7">
        <f t="shared" si="29"/>
        <v>0</v>
      </c>
      <c r="L25" s="7">
        <f t="shared" si="29"/>
        <v>0</v>
      </c>
      <c r="M25" s="13" t="s">
        <v>429</v>
      </c>
      <c r="N25" s="7">
        <f t="shared" si="22"/>
        <v>0</v>
      </c>
      <c r="O25" s="7">
        <f t="shared" si="23"/>
        <v>0</v>
      </c>
      <c r="P25" s="7">
        <f t="shared" si="4"/>
        <v>0</v>
      </c>
      <c r="Q25" s="7">
        <v>0</v>
      </c>
      <c r="R25" s="7">
        <f t="shared" si="24"/>
        <v>0</v>
      </c>
      <c r="S25" s="7"/>
      <c r="T25" s="7"/>
      <c r="U25" s="7">
        <f t="shared" si="8"/>
        <v>0</v>
      </c>
      <c r="V25" s="7">
        <f t="shared" si="6"/>
        <v>0</v>
      </c>
      <c r="W25" s="7"/>
      <c r="X25" s="159">
        <f t="shared" si="9"/>
        <v>0</v>
      </c>
      <c r="Z25" s="182"/>
      <c r="AA25" s="182"/>
    </row>
    <row r="26" spans="1:27" x14ac:dyDescent="0.3">
      <c r="A26" s="11">
        <f>$Q$26/12</f>
        <v>0</v>
      </c>
      <c r="B26" s="11">
        <f t="shared" ref="B26:L26" si="30">$Q$26/12</f>
        <v>0</v>
      </c>
      <c r="C26" s="11">
        <f t="shared" si="30"/>
        <v>0</v>
      </c>
      <c r="D26" s="11">
        <f t="shared" si="30"/>
        <v>0</v>
      </c>
      <c r="E26" s="11">
        <f t="shared" si="30"/>
        <v>0</v>
      </c>
      <c r="F26" s="11">
        <f t="shared" si="30"/>
        <v>0</v>
      </c>
      <c r="G26" s="11">
        <f t="shared" si="30"/>
        <v>0</v>
      </c>
      <c r="H26" s="11">
        <f t="shared" si="30"/>
        <v>0</v>
      </c>
      <c r="I26" s="11">
        <f t="shared" si="30"/>
        <v>0</v>
      </c>
      <c r="J26" s="11"/>
      <c r="K26" s="11">
        <f t="shared" si="30"/>
        <v>0</v>
      </c>
      <c r="L26" s="11">
        <f t="shared" si="30"/>
        <v>0</v>
      </c>
      <c r="M26" s="13" t="s">
        <v>430</v>
      </c>
      <c r="N26" s="11">
        <f t="shared" si="22"/>
        <v>0</v>
      </c>
      <c r="O26" s="11">
        <f t="shared" si="23"/>
        <v>0</v>
      </c>
      <c r="P26" s="11">
        <f t="shared" si="4"/>
        <v>0</v>
      </c>
      <c r="Q26" s="11">
        <v>0</v>
      </c>
      <c r="R26" s="11">
        <f t="shared" si="24"/>
        <v>0</v>
      </c>
      <c r="S26" s="11"/>
      <c r="T26" s="11"/>
      <c r="U26" s="11">
        <f t="shared" si="8"/>
        <v>0</v>
      </c>
      <c r="V26" s="11">
        <f t="shared" si="6"/>
        <v>0</v>
      </c>
      <c r="W26" s="11"/>
      <c r="X26" s="160">
        <f t="shared" si="9"/>
        <v>0</v>
      </c>
      <c r="Z26" s="182"/>
      <c r="AA26" s="182"/>
    </row>
    <row r="27" spans="1:27" x14ac:dyDescent="0.3">
      <c r="A27" s="81"/>
      <c r="B27" s="81"/>
      <c r="C27" s="81"/>
      <c r="D27" s="85"/>
      <c r="E27" s="83"/>
      <c r="F27" s="83"/>
      <c r="G27" s="83"/>
      <c r="H27" s="83"/>
      <c r="I27" s="83"/>
      <c r="J27" s="83"/>
      <c r="K27" s="84"/>
      <c r="L27" s="84"/>
      <c r="M27" s="13"/>
      <c r="N27" s="83">
        <f t="shared" si="15"/>
        <v>0</v>
      </c>
      <c r="O27" s="83">
        <f t="shared" si="16"/>
        <v>0</v>
      </c>
      <c r="P27" s="83">
        <f t="shared" si="4"/>
        <v>0</v>
      </c>
      <c r="Q27" s="81"/>
      <c r="R27" s="81"/>
      <c r="S27" s="81"/>
      <c r="T27" s="81"/>
      <c r="U27" s="81">
        <f t="shared" si="8"/>
        <v>0</v>
      </c>
      <c r="V27" s="81">
        <f t="shared" si="6"/>
        <v>0</v>
      </c>
      <c r="W27" s="81"/>
      <c r="X27" s="204"/>
      <c r="Z27" s="182"/>
      <c r="AA27" s="182"/>
    </row>
    <row r="28" spans="1:27" x14ac:dyDescent="0.3">
      <c r="A28" s="4">
        <f>SUM(A20:A26)</f>
        <v>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13" t="s">
        <v>97</v>
      </c>
      <c r="N28" s="4">
        <f t="shared" ref="N28:O28" si="31">SUM(N20:N26)</f>
        <v>0</v>
      </c>
      <c r="O28" s="4">
        <f t="shared" si="31"/>
        <v>0</v>
      </c>
      <c r="P28" s="4">
        <f t="shared" ref="P28:Q28" si="32">SUM(P20:P26)</f>
        <v>0</v>
      </c>
      <c r="Q28" s="4">
        <f t="shared" si="32"/>
        <v>0</v>
      </c>
      <c r="R28" s="4">
        <f t="shared" ref="R28:W28" si="33">SUM(R20:R26)</f>
        <v>0</v>
      </c>
      <c r="S28" s="4"/>
      <c r="T28" s="4">
        <f t="shared" ref="T28" si="34">SUM(T20:T26)</f>
        <v>0</v>
      </c>
      <c r="U28" s="4">
        <f t="shared" si="8"/>
        <v>0</v>
      </c>
      <c r="V28" s="4">
        <f t="shared" si="6"/>
        <v>0</v>
      </c>
      <c r="W28" s="4">
        <f t="shared" si="33"/>
        <v>0</v>
      </c>
      <c r="X28" s="162">
        <f t="shared" si="9"/>
        <v>0</v>
      </c>
      <c r="Z28" s="182"/>
      <c r="AA28" s="182"/>
    </row>
    <row r="29" spans="1:27" x14ac:dyDescent="0.3">
      <c r="A29" s="81"/>
      <c r="B29" s="81"/>
      <c r="C29" s="81"/>
      <c r="D29" s="82"/>
      <c r="E29" s="86"/>
      <c r="F29" s="86"/>
      <c r="G29" s="86"/>
      <c r="H29" s="87"/>
      <c r="I29" s="87"/>
      <c r="J29" s="87"/>
      <c r="K29" s="84"/>
      <c r="L29" s="84"/>
      <c r="M29" s="80"/>
      <c r="N29" s="86">
        <f t="shared" si="15"/>
        <v>0</v>
      </c>
      <c r="O29" s="86">
        <f t="shared" si="16"/>
        <v>0</v>
      </c>
      <c r="P29" s="86">
        <f t="shared" si="4"/>
        <v>0</v>
      </c>
      <c r="Q29" s="81"/>
      <c r="R29" s="81"/>
      <c r="S29" s="81"/>
      <c r="T29" s="81"/>
      <c r="U29" s="81">
        <f t="shared" si="8"/>
        <v>0</v>
      </c>
      <c r="V29" s="81">
        <f t="shared" si="6"/>
        <v>0</v>
      </c>
      <c r="W29" s="81"/>
      <c r="X29" s="204">
        <f t="shared" si="9"/>
        <v>0</v>
      </c>
      <c r="Z29" s="182"/>
      <c r="AA29" s="182"/>
    </row>
    <row r="30" spans="1:27" x14ac:dyDescent="0.3">
      <c r="A30" s="8">
        <f>$Q$30/12</f>
        <v>0</v>
      </c>
      <c r="B30" s="8">
        <f t="shared" ref="B30:L30" si="35">$Q$30/12</f>
        <v>0</v>
      </c>
      <c r="C30" s="8">
        <f t="shared" si="35"/>
        <v>0</v>
      </c>
      <c r="D30" s="8">
        <f t="shared" si="35"/>
        <v>0</v>
      </c>
      <c r="E30" s="8">
        <f t="shared" si="35"/>
        <v>0</v>
      </c>
      <c r="F30" s="8">
        <f t="shared" si="35"/>
        <v>0</v>
      </c>
      <c r="G30" s="8">
        <f t="shared" si="35"/>
        <v>0</v>
      </c>
      <c r="H30" s="8">
        <f t="shared" si="35"/>
        <v>0</v>
      </c>
      <c r="I30" s="8">
        <f t="shared" si="35"/>
        <v>0</v>
      </c>
      <c r="J30" s="8"/>
      <c r="K30" s="8">
        <f t="shared" si="35"/>
        <v>0</v>
      </c>
      <c r="L30" s="8">
        <f t="shared" si="35"/>
        <v>0</v>
      </c>
      <c r="M30" s="238" t="s">
        <v>431</v>
      </c>
      <c r="N30" s="8">
        <f t="shared" ref="N30:N44" si="36">SUM(0)</f>
        <v>0</v>
      </c>
      <c r="O30" s="8">
        <f t="shared" ref="O30:O44" si="37">SUM(A30:L30)</f>
        <v>0</v>
      </c>
      <c r="P30" s="8">
        <f t="shared" si="4"/>
        <v>0</v>
      </c>
      <c r="Q30" s="8">
        <v>0</v>
      </c>
      <c r="R30" s="8">
        <f t="shared" ref="R30:R44" si="38">Q30-P30</f>
        <v>0</v>
      </c>
      <c r="S30" s="8"/>
      <c r="T30" s="8"/>
      <c r="U30" s="8">
        <f t="shared" si="8"/>
        <v>0</v>
      </c>
      <c r="V30" s="8">
        <f t="shared" si="6"/>
        <v>0</v>
      </c>
      <c r="W30" s="8"/>
      <c r="X30" s="158">
        <f t="shared" si="9"/>
        <v>0</v>
      </c>
      <c r="Z30" s="182"/>
      <c r="AA30" s="182"/>
    </row>
    <row r="31" spans="1:27" x14ac:dyDescent="0.3">
      <c r="A31" s="7">
        <f>$Q$31/12</f>
        <v>0</v>
      </c>
      <c r="B31" s="7">
        <f t="shared" ref="B31:L31" si="39">$Q$31/12</f>
        <v>0</v>
      </c>
      <c r="C31" s="7">
        <f t="shared" si="39"/>
        <v>0</v>
      </c>
      <c r="D31" s="7">
        <f t="shared" si="39"/>
        <v>0</v>
      </c>
      <c r="E31" s="7">
        <f t="shared" si="39"/>
        <v>0</v>
      </c>
      <c r="F31" s="7">
        <f t="shared" si="39"/>
        <v>0</v>
      </c>
      <c r="G31" s="7">
        <f t="shared" si="39"/>
        <v>0</v>
      </c>
      <c r="H31" s="7">
        <f t="shared" si="39"/>
        <v>0</v>
      </c>
      <c r="I31" s="7">
        <f t="shared" si="39"/>
        <v>0</v>
      </c>
      <c r="J31" s="7"/>
      <c r="K31" s="7">
        <f t="shared" si="39"/>
        <v>0</v>
      </c>
      <c r="L31" s="7">
        <f t="shared" si="39"/>
        <v>0</v>
      </c>
      <c r="M31" s="13" t="s">
        <v>432</v>
      </c>
      <c r="N31" s="7">
        <f t="shared" si="36"/>
        <v>0</v>
      </c>
      <c r="O31" s="7">
        <f t="shared" si="37"/>
        <v>0</v>
      </c>
      <c r="P31" s="7">
        <f t="shared" si="4"/>
        <v>0</v>
      </c>
      <c r="Q31" s="7">
        <v>0</v>
      </c>
      <c r="R31" s="7">
        <f t="shared" si="38"/>
        <v>0</v>
      </c>
      <c r="S31" s="7"/>
      <c r="T31" s="7"/>
      <c r="U31" s="7">
        <f t="shared" si="8"/>
        <v>0</v>
      </c>
      <c r="V31" s="7">
        <f t="shared" si="6"/>
        <v>0</v>
      </c>
      <c r="W31" s="7"/>
      <c r="X31" s="159">
        <f t="shared" si="9"/>
        <v>0</v>
      </c>
      <c r="Z31" s="182"/>
      <c r="AA31" s="182"/>
    </row>
    <row r="32" spans="1:27" x14ac:dyDescent="0.3">
      <c r="A32" s="7">
        <f>$Q$32/12</f>
        <v>0</v>
      </c>
      <c r="B32" s="7">
        <f t="shared" ref="B32:L32" si="40">$Q$32/12</f>
        <v>0</v>
      </c>
      <c r="C32" s="7">
        <f t="shared" si="40"/>
        <v>0</v>
      </c>
      <c r="D32" s="7">
        <f t="shared" si="40"/>
        <v>0</v>
      </c>
      <c r="E32" s="7">
        <f t="shared" si="40"/>
        <v>0</v>
      </c>
      <c r="F32" s="7">
        <f t="shared" si="40"/>
        <v>0</v>
      </c>
      <c r="G32" s="7">
        <f t="shared" si="40"/>
        <v>0</v>
      </c>
      <c r="H32" s="7">
        <f t="shared" si="40"/>
        <v>0</v>
      </c>
      <c r="I32" s="7">
        <f t="shared" si="40"/>
        <v>0</v>
      </c>
      <c r="J32" s="7"/>
      <c r="K32" s="7">
        <f t="shared" si="40"/>
        <v>0</v>
      </c>
      <c r="L32" s="7">
        <f t="shared" si="40"/>
        <v>0</v>
      </c>
      <c r="M32" s="13" t="s">
        <v>433</v>
      </c>
      <c r="N32" s="7">
        <f t="shared" si="36"/>
        <v>0</v>
      </c>
      <c r="O32" s="7">
        <f t="shared" si="37"/>
        <v>0</v>
      </c>
      <c r="P32" s="7">
        <f t="shared" si="4"/>
        <v>0</v>
      </c>
      <c r="Q32" s="7">
        <v>0</v>
      </c>
      <c r="R32" s="7">
        <f t="shared" si="38"/>
        <v>0</v>
      </c>
      <c r="S32" s="7"/>
      <c r="T32" s="7"/>
      <c r="U32" s="7">
        <f t="shared" si="8"/>
        <v>0</v>
      </c>
      <c r="V32" s="7">
        <f t="shared" si="6"/>
        <v>0</v>
      </c>
      <c r="W32" s="7"/>
      <c r="X32" s="159">
        <f t="shared" si="9"/>
        <v>0</v>
      </c>
      <c r="Z32" s="182"/>
      <c r="AA32" s="182"/>
    </row>
    <row r="33" spans="1:27" x14ac:dyDescent="0.3">
      <c r="A33" s="7">
        <f>$Q$33/12</f>
        <v>0</v>
      </c>
      <c r="B33" s="7">
        <f t="shared" ref="B33:L33" si="41">$Q$33/12</f>
        <v>0</v>
      </c>
      <c r="C33" s="7">
        <f t="shared" si="41"/>
        <v>0</v>
      </c>
      <c r="D33" s="7">
        <f t="shared" si="41"/>
        <v>0</v>
      </c>
      <c r="E33" s="7">
        <f t="shared" si="41"/>
        <v>0</v>
      </c>
      <c r="F33" s="7">
        <f t="shared" si="41"/>
        <v>0</v>
      </c>
      <c r="G33" s="7">
        <f t="shared" si="41"/>
        <v>0</v>
      </c>
      <c r="H33" s="7">
        <f t="shared" si="41"/>
        <v>0</v>
      </c>
      <c r="I33" s="7">
        <f t="shared" si="41"/>
        <v>0</v>
      </c>
      <c r="J33" s="7"/>
      <c r="K33" s="7">
        <f t="shared" si="41"/>
        <v>0</v>
      </c>
      <c r="L33" s="7">
        <f t="shared" si="41"/>
        <v>0</v>
      </c>
      <c r="M33" s="13" t="s">
        <v>434</v>
      </c>
      <c r="N33" s="7">
        <f t="shared" si="36"/>
        <v>0</v>
      </c>
      <c r="O33" s="7">
        <f t="shared" si="37"/>
        <v>0</v>
      </c>
      <c r="P33" s="7">
        <f t="shared" si="4"/>
        <v>0</v>
      </c>
      <c r="Q33" s="7">
        <v>0</v>
      </c>
      <c r="R33" s="7">
        <f t="shared" si="38"/>
        <v>0</v>
      </c>
      <c r="S33" s="7"/>
      <c r="T33" s="7"/>
      <c r="U33" s="7">
        <f t="shared" si="8"/>
        <v>0</v>
      </c>
      <c r="V33" s="7">
        <f t="shared" si="6"/>
        <v>0</v>
      </c>
      <c r="W33" s="7"/>
      <c r="X33" s="159">
        <f t="shared" si="9"/>
        <v>0</v>
      </c>
      <c r="Z33" s="182"/>
      <c r="AA33" s="182"/>
    </row>
    <row r="34" spans="1:27" x14ac:dyDescent="0.3">
      <c r="A34" s="7">
        <f>$Q$34/12</f>
        <v>0</v>
      </c>
      <c r="B34" s="7">
        <f t="shared" ref="B34:L34" si="42">$Q$34/12</f>
        <v>0</v>
      </c>
      <c r="C34" s="7">
        <f t="shared" si="42"/>
        <v>0</v>
      </c>
      <c r="D34" s="7">
        <f t="shared" si="42"/>
        <v>0</v>
      </c>
      <c r="E34" s="7">
        <f t="shared" si="42"/>
        <v>0</v>
      </c>
      <c r="F34" s="7">
        <f t="shared" si="42"/>
        <v>0</v>
      </c>
      <c r="G34" s="7">
        <f t="shared" si="42"/>
        <v>0</v>
      </c>
      <c r="H34" s="7">
        <f t="shared" si="42"/>
        <v>0</v>
      </c>
      <c r="I34" s="7">
        <f t="shared" si="42"/>
        <v>0</v>
      </c>
      <c r="J34" s="7"/>
      <c r="K34" s="7">
        <f t="shared" si="42"/>
        <v>0</v>
      </c>
      <c r="L34" s="7">
        <f t="shared" si="42"/>
        <v>0</v>
      </c>
      <c r="M34" s="13" t="s">
        <v>435</v>
      </c>
      <c r="N34" s="7">
        <f t="shared" si="36"/>
        <v>0</v>
      </c>
      <c r="O34" s="7">
        <f t="shared" si="37"/>
        <v>0</v>
      </c>
      <c r="P34" s="7">
        <f t="shared" si="4"/>
        <v>0</v>
      </c>
      <c r="Q34" s="7">
        <v>0</v>
      </c>
      <c r="R34" s="7">
        <f t="shared" si="38"/>
        <v>0</v>
      </c>
      <c r="S34" s="7"/>
      <c r="T34" s="7"/>
      <c r="U34" s="7">
        <f t="shared" si="8"/>
        <v>0</v>
      </c>
      <c r="V34" s="7">
        <f t="shared" si="6"/>
        <v>0</v>
      </c>
      <c r="W34" s="7"/>
      <c r="X34" s="159">
        <f t="shared" si="9"/>
        <v>0</v>
      </c>
      <c r="Z34" s="182"/>
      <c r="AA34" s="182"/>
    </row>
    <row r="35" spans="1:27" x14ac:dyDescent="0.3">
      <c r="A35" s="7">
        <f>$Q$35/12</f>
        <v>0</v>
      </c>
      <c r="B35" s="7">
        <f t="shared" ref="B35:L35" si="43">$Q$35/12</f>
        <v>0</v>
      </c>
      <c r="C35" s="7">
        <f t="shared" si="43"/>
        <v>0</v>
      </c>
      <c r="D35" s="7">
        <f t="shared" si="43"/>
        <v>0</v>
      </c>
      <c r="E35" s="7">
        <f t="shared" si="43"/>
        <v>0</v>
      </c>
      <c r="F35" s="7">
        <f t="shared" si="43"/>
        <v>0</v>
      </c>
      <c r="G35" s="7">
        <f t="shared" si="43"/>
        <v>0</v>
      </c>
      <c r="H35" s="7">
        <f t="shared" si="43"/>
        <v>0</v>
      </c>
      <c r="I35" s="7">
        <f t="shared" si="43"/>
        <v>0</v>
      </c>
      <c r="J35" s="7"/>
      <c r="K35" s="7">
        <f t="shared" si="43"/>
        <v>0</v>
      </c>
      <c r="L35" s="7">
        <f t="shared" si="43"/>
        <v>0</v>
      </c>
      <c r="M35" s="13" t="s">
        <v>436</v>
      </c>
      <c r="N35" s="7">
        <f t="shared" si="36"/>
        <v>0</v>
      </c>
      <c r="O35" s="7">
        <f t="shared" si="37"/>
        <v>0</v>
      </c>
      <c r="P35" s="7">
        <f t="shared" si="4"/>
        <v>0</v>
      </c>
      <c r="Q35" s="7">
        <v>0</v>
      </c>
      <c r="R35" s="7">
        <f t="shared" si="38"/>
        <v>0</v>
      </c>
      <c r="S35" s="7"/>
      <c r="T35" s="7"/>
      <c r="U35" s="7">
        <f t="shared" si="8"/>
        <v>0</v>
      </c>
      <c r="V35" s="7">
        <f t="shared" si="6"/>
        <v>0</v>
      </c>
      <c r="W35" s="7"/>
      <c r="X35" s="159">
        <f t="shared" si="9"/>
        <v>0</v>
      </c>
      <c r="Z35" s="182"/>
      <c r="AA35" s="182"/>
    </row>
    <row r="36" spans="1:27" x14ac:dyDescent="0.3">
      <c r="A36" s="7">
        <f>$Q$36/12</f>
        <v>0</v>
      </c>
      <c r="B36" s="7">
        <f t="shared" ref="B36:L36" si="44">$Q$36/12</f>
        <v>0</v>
      </c>
      <c r="C36" s="7">
        <f t="shared" si="44"/>
        <v>0</v>
      </c>
      <c r="D36" s="7">
        <f t="shared" si="44"/>
        <v>0</v>
      </c>
      <c r="E36" s="7">
        <f t="shared" si="44"/>
        <v>0</v>
      </c>
      <c r="F36" s="7">
        <f t="shared" si="44"/>
        <v>0</v>
      </c>
      <c r="G36" s="7">
        <f t="shared" si="44"/>
        <v>0</v>
      </c>
      <c r="H36" s="7">
        <f t="shared" si="44"/>
        <v>0</v>
      </c>
      <c r="I36" s="7">
        <f t="shared" si="44"/>
        <v>0</v>
      </c>
      <c r="J36" s="7"/>
      <c r="K36" s="7">
        <f t="shared" si="44"/>
        <v>0</v>
      </c>
      <c r="L36" s="7">
        <f t="shared" si="44"/>
        <v>0</v>
      </c>
      <c r="M36" s="13" t="s">
        <v>437</v>
      </c>
      <c r="N36" s="7">
        <f t="shared" si="36"/>
        <v>0</v>
      </c>
      <c r="O36" s="7">
        <f t="shared" si="37"/>
        <v>0</v>
      </c>
      <c r="P36" s="7">
        <f t="shared" si="4"/>
        <v>0</v>
      </c>
      <c r="Q36" s="7">
        <v>0</v>
      </c>
      <c r="R36" s="7">
        <f t="shared" si="38"/>
        <v>0</v>
      </c>
      <c r="S36" s="7"/>
      <c r="T36" s="7"/>
      <c r="U36" s="7">
        <f t="shared" si="8"/>
        <v>0</v>
      </c>
      <c r="V36" s="7">
        <f t="shared" si="6"/>
        <v>0</v>
      </c>
      <c r="W36" s="7"/>
      <c r="X36" s="159">
        <f t="shared" si="9"/>
        <v>0</v>
      </c>
      <c r="Z36" s="182"/>
      <c r="AA36" s="182"/>
    </row>
    <row r="37" spans="1:27" x14ac:dyDescent="0.3">
      <c r="A37" s="7">
        <f>$Q$37/12</f>
        <v>0</v>
      </c>
      <c r="B37" s="7">
        <f t="shared" ref="B37:L37" si="45">$Q$37/12</f>
        <v>0</v>
      </c>
      <c r="C37" s="7">
        <f t="shared" si="45"/>
        <v>0</v>
      </c>
      <c r="D37" s="7">
        <f t="shared" si="45"/>
        <v>0</v>
      </c>
      <c r="E37" s="7">
        <f t="shared" si="45"/>
        <v>0</v>
      </c>
      <c r="F37" s="7">
        <f t="shared" si="45"/>
        <v>0</v>
      </c>
      <c r="G37" s="7">
        <f t="shared" si="45"/>
        <v>0</v>
      </c>
      <c r="H37" s="7">
        <f t="shared" si="45"/>
        <v>0</v>
      </c>
      <c r="I37" s="7">
        <f t="shared" si="45"/>
        <v>0</v>
      </c>
      <c r="J37" s="7"/>
      <c r="K37" s="7">
        <f t="shared" si="45"/>
        <v>0</v>
      </c>
      <c r="L37" s="7">
        <f t="shared" si="45"/>
        <v>0</v>
      </c>
      <c r="M37" s="238" t="s">
        <v>438</v>
      </c>
      <c r="N37" s="7">
        <f t="shared" si="36"/>
        <v>0</v>
      </c>
      <c r="O37" s="7">
        <f t="shared" si="37"/>
        <v>0</v>
      </c>
      <c r="P37" s="7">
        <f t="shared" si="4"/>
        <v>0</v>
      </c>
      <c r="Q37" s="7">
        <v>0</v>
      </c>
      <c r="R37" s="7">
        <f t="shared" si="38"/>
        <v>0</v>
      </c>
      <c r="S37" s="7"/>
      <c r="T37" s="7"/>
      <c r="U37" s="7">
        <f t="shared" si="8"/>
        <v>0</v>
      </c>
      <c r="V37" s="7">
        <f t="shared" si="6"/>
        <v>0</v>
      </c>
      <c r="W37" s="7"/>
      <c r="X37" s="159">
        <f t="shared" si="9"/>
        <v>0</v>
      </c>
      <c r="Z37" s="182"/>
      <c r="AA37" s="182"/>
    </row>
    <row r="38" spans="1:27" x14ac:dyDescent="0.3">
      <c r="A38" s="7">
        <f>$Q$38/12</f>
        <v>0</v>
      </c>
      <c r="B38" s="7">
        <f t="shared" ref="B38:L38" si="46">$Q$38/12</f>
        <v>0</v>
      </c>
      <c r="C38" s="7">
        <f t="shared" si="46"/>
        <v>0</v>
      </c>
      <c r="D38" s="7">
        <f t="shared" si="46"/>
        <v>0</v>
      </c>
      <c r="E38" s="7">
        <f t="shared" si="46"/>
        <v>0</v>
      </c>
      <c r="F38" s="7">
        <f t="shared" si="46"/>
        <v>0</v>
      </c>
      <c r="G38" s="7">
        <f t="shared" si="46"/>
        <v>0</v>
      </c>
      <c r="H38" s="7">
        <f t="shared" si="46"/>
        <v>0</v>
      </c>
      <c r="I38" s="7">
        <f t="shared" si="46"/>
        <v>0</v>
      </c>
      <c r="J38" s="7"/>
      <c r="K38" s="7">
        <f t="shared" si="46"/>
        <v>0</v>
      </c>
      <c r="L38" s="7">
        <f t="shared" si="46"/>
        <v>0</v>
      </c>
      <c r="M38" s="13" t="s">
        <v>439</v>
      </c>
      <c r="N38" s="7">
        <f t="shared" si="36"/>
        <v>0</v>
      </c>
      <c r="O38" s="7">
        <f t="shared" si="37"/>
        <v>0</v>
      </c>
      <c r="P38" s="7">
        <f t="shared" si="4"/>
        <v>0</v>
      </c>
      <c r="Q38" s="7">
        <v>0</v>
      </c>
      <c r="R38" s="7">
        <f t="shared" si="38"/>
        <v>0</v>
      </c>
      <c r="S38" s="7"/>
      <c r="T38" s="7"/>
      <c r="U38" s="7">
        <f t="shared" si="8"/>
        <v>0</v>
      </c>
      <c r="V38" s="7">
        <f t="shared" si="6"/>
        <v>0</v>
      </c>
      <c r="W38" s="7"/>
      <c r="X38" s="159">
        <f t="shared" si="9"/>
        <v>0</v>
      </c>
      <c r="Z38" s="182"/>
      <c r="AA38" s="182"/>
    </row>
    <row r="39" spans="1:27" x14ac:dyDescent="0.3">
      <c r="A39" s="7">
        <f>$Q$39/12</f>
        <v>0</v>
      </c>
      <c r="B39" s="7">
        <f t="shared" ref="B39:L39" si="47">$Q$39/12</f>
        <v>0</v>
      </c>
      <c r="C39" s="7">
        <f t="shared" si="47"/>
        <v>0</v>
      </c>
      <c r="D39" s="7">
        <f t="shared" si="47"/>
        <v>0</v>
      </c>
      <c r="E39" s="7">
        <f t="shared" si="47"/>
        <v>0</v>
      </c>
      <c r="F39" s="7">
        <f t="shared" si="47"/>
        <v>0</v>
      </c>
      <c r="G39" s="7">
        <f t="shared" si="47"/>
        <v>0</v>
      </c>
      <c r="H39" s="7">
        <f t="shared" si="47"/>
        <v>0</v>
      </c>
      <c r="I39" s="7">
        <f t="shared" si="47"/>
        <v>0</v>
      </c>
      <c r="J39" s="7"/>
      <c r="K39" s="7">
        <f t="shared" si="47"/>
        <v>0</v>
      </c>
      <c r="L39" s="7">
        <f t="shared" si="47"/>
        <v>0</v>
      </c>
      <c r="M39" s="13" t="s">
        <v>440</v>
      </c>
      <c r="N39" s="7">
        <f t="shared" si="36"/>
        <v>0</v>
      </c>
      <c r="O39" s="7">
        <f t="shared" si="37"/>
        <v>0</v>
      </c>
      <c r="P39" s="7">
        <f t="shared" si="4"/>
        <v>0</v>
      </c>
      <c r="Q39" s="7">
        <v>0</v>
      </c>
      <c r="R39" s="7">
        <f t="shared" si="38"/>
        <v>0</v>
      </c>
      <c r="S39" s="7"/>
      <c r="T39" s="7"/>
      <c r="U39" s="7">
        <f t="shared" si="8"/>
        <v>0</v>
      </c>
      <c r="V39" s="7">
        <f t="shared" si="6"/>
        <v>0</v>
      </c>
      <c r="W39" s="7"/>
      <c r="X39" s="159">
        <f t="shared" si="9"/>
        <v>0</v>
      </c>
      <c r="Z39" s="182"/>
      <c r="AA39" s="182"/>
    </row>
    <row r="40" spans="1:27" x14ac:dyDescent="0.3">
      <c r="A40" s="7">
        <f>$Q$40/12</f>
        <v>0</v>
      </c>
      <c r="B40" s="7">
        <f t="shared" ref="B40:L40" si="48">$Q$40/12</f>
        <v>0</v>
      </c>
      <c r="C40" s="7">
        <f t="shared" si="48"/>
        <v>0</v>
      </c>
      <c r="D40" s="7">
        <f t="shared" si="48"/>
        <v>0</v>
      </c>
      <c r="E40" s="7">
        <f t="shared" si="48"/>
        <v>0</v>
      </c>
      <c r="F40" s="7">
        <f t="shared" si="48"/>
        <v>0</v>
      </c>
      <c r="G40" s="7">
        <f t="shared" si="48"/>
        <v>0</v>
      </c>
      <c r="H40" s="7">
        <f t="shared" si="48"/>
        <v>0</v>
      </c>
      <c r="I40" s="7">
        <f t="shared" si="48"/>
        <v>0</v>
      </c>
      <c r="J40" s="7"/>
      <c r="K40" s="7">
        <f t="shared" si="48"/>
        <v>0</v>
      </c>
      <c r="L40" s="7">
        <f t="shared" si="48"/>
        <v>0</v>
      </c>
      <c r="M40" s="13" t="s">
        <v>441</v>
      </c>
      <c r="N40" s="7">
        <f t="shared" si="36"/>
        <v>0</v>
      </c>
      <c r="O40" s="7">
        <f t="shared" si="37"/>
        <v>0</v>
      </c>
      <c r="P40" s="7">
        <f t="shared" si="4"/>
        <v>0</v>
      </c>
      <c r="Q40" s="7">
        <v>0</v>
      </c>
      <c r="R40" s="7">
        <f t="shared" si="38"/>
        <v>0</v>
      </c>
      <c r="S40" s="7"/>
      <c r="T40" s="7"/>
      <c r="U40" s="7">
        <f t="shared" si="8"/>
        <v>0</v>
      </c>
      <c r="V40" s="7">
        <f t="shared" si="6"/>
        <v>0</v>
      </c>
      <c r="W40" s="7"/>
      <c r="X40" s="159">
        <f t="shared" si="9"/>
        <v>0</v>
      </c>
      <c r="Z40" s="182"/>
      <c r="AA40" s="182"/>
    </row>
    <row r="41" spans="1:27" x14ac:dyDescent="0.3">
      <c r="A41" s="7">
        <f>$Q$41/12</f>
        <v>0</v>
      </c>
      <c r="B41" s="7">
        <f t="shared" ref="B41:L41" si="49">$Q$41/12</f>
        <v>0</v>
      </c>
      <c r="C41" s="7">
        <f t="shared" si="49"/>
        <v>0</v>
      </c>
      <c r="D41" s="7">
        <f t="shared" si="49"/>
        <v>0</v>
      </c>
      <c r="E41" s="7">
        <f t="shared" si="49"/>
        <v>0</v>
      </c>
      <c r="F41" s="7">
        <f t="shared" si="49"/>
        <v>0</v>
      </c>
      <c r="G41" s="7">
        <f t="shared" si="49"/>
        <v>0</v>
      </c>
      <c r="H41" s="7">
        <f t="shared" si="49"/>
        <v>0</v>
      </c>
      <c r="I41" s="7">
        <f t="shared" si="49"/>
        <v>0</v>
      </c>
      <c r="J41" s="7"/>
      <c r="K41" s="7">
        <f t="shared" si="49"/>
        <v>0</v>
      </c>
      <c r="L41" s="7">
        <f t="shared" si="49"/>
        <v>0</v>
      </c>
      <c r="M41" s="13" t="s">
        <v>442</v>
      </c>
      <c r="N41" s="7">
        <f t="shared" si="36"/>
        <v>0</v>
      </c>
      <c r="O41" s="7">
        <f t="shared" si="37"/>
        <v>0</v>
      </c>
      <c r="P41" s="7">
        <f t="shared" si="4"/>
        <v>0</v>
      </c>
      <c r="Q41" s="7">
        <v>0</v>
      </c>
      <c r="R41" s="7">
        <f t="shared" si="38"/>
        <v>0</v>
      </c>
      <c r="S41" s="7"/>
      <c r="T41" s="7"/>
      <c r="U41" s="7">
        <f t="shared" si="8"/>
        <v>0</v>
      </c>
      <c r="V41" s="7">
        <f t="shared" si="6"/>
        <v>0</v>
      </c>
      <c r="W41" s="7"/>
      <c r="X41" s="159">
        <f t="shared" si="9"/>
        <v>0</v>
      </c>
      <c r="Z41" s="182"/>
      <c r="AA41" s="182"/>
    </row>
    <row r="42" spans="1:27" x14ac:dyDescent="0.3">
      <c r="A42" s="7">
        <f>$Q$42/12</f>
        <v>0</v>
      </c>
      <c r="B42" s="7">
        <f t="shared" ref="B42:L42" si="50">$Q$42/12</f>
        <v>0</v>
      </c>
      <c r="C42" s="7">
        <f t="shared" si="50"/>
        <v>0</v>
      </c>
      <c r="D42" s="7">
        <f t="shared" si="50"/>
        <v>0</v>
      </c>
      <c r="E42" s="7">
        <f t="shared" si="50"/>
        <v>0</v>
      </c>
      <c r="F42" s="7">
        <f t="shared" si="50"/>
        <v>0</v>
      </c>
      <c r="G42" s="7">
        <f t="shared" si="50"/>
        <v>0</v>
      </c>
      <c r="H42" s="7">
        <f t="shared" si="50"/>
        <v>0</v>
      </c>
      <c r="I42" s="7">
        <f t="shared" si="50"/>
        <v>0</v>
      </c>
      <c r="J42" s="7"/>
      <c r="K42" s="7">
        <f t="shared" si="50"/>
        <v>0</v>
      </c>
      <c r="L42" s="7">
        <f t="shared" si="50"/>
        <v>0</v>
      </c>
      <c r="M42" s="13" t="s">
        <v>443</v>
      </c>
      <c r="N42" s="7">
        <f t="shared" si="36"/>
        <v>0</v>
      </c>
      <c r="O42" s="7">
        <f t="shared" si="37"/>
        <v>0</v>
      </c>
      <c r="P42" s="7">
        <f t="shared" si="4"/>
        <v>0</v>
      </c>
      <c r="Q42" s="7">
        <v>0</v>
      </c>
      <c r="R42" s="7">
        <f t="shared" si="38"/>
        <v>0</v>
      </c>
      <c r="S42" s="7"/>
      <c r="T42" s="7"/>
      <c r="U42" s="7">
        <f t="shared" si="8"/>
        <v>0</v>
      </c>
      <c r="V42" s="7">
        <f t="shared" si="6"/>
        <v>0</v>
      </c>
      <c r="W42" s="7"/>
      <c r="X42" s="159">
        <f t="shared" si="9"/>
        <v>0</v>
      </c>
      <c r="Z42" s="182"/>
      <c r="AA42" s="182"/>
    </row>
    <row r="43" spans="1:27" x14ac:dyDescent="0.3">
      <c r="A43" s="7">
        <f>$Q$43/12</f>
        <v>0</v>
      </c>
      <c r="B43" s="7">
        <f t="shared" ref="B43:L43" si="51">$Q$43/12</f>
        <v>0</v>
      </c>
      <c r="C43" s="7">
        <f t="shared" si="51"/>
        <v>0</v>
      </c>
      <c r="D43" s="7">
        <f t="shared" si="51"/>
        <v>0</v>
      </c>
      <c r="E43" s="7">
        <f t="shared" si="51"/>
        <v>0</v>
      </c>
      <c r="F43" s="7">
        <f t="shared" si="51"/>
        <v>0</v>
      </c>
      <c r="G43" s="7">
        <f t="shared" si="51"/>
        <v>0</v>
      </c>
      <c r="H43" s="7">
        <f t="shared" si="51"/>
        <v>0</v>
      </c>
      <c r="I43" s="7">
        <f t="shared" si="51"/>
        <v>0</v>
      </c>
      <c r="J43" s="7"/>
      <c r="K43" s="7">
        <f t="shared" si="51"/>
        <v>0</v>
      </c>
      <c r="L43" s="7">
        <f t="shared" si="51"/>
        <v>0</v>
      </c>
      <c r="M43" s="13" t="s">
        <v>444</v>
      </c>
      <c r="N43" s="7">
        <f t="shared" si="36"/>
        <v>0</v>
      </c>
      <c r="O43" s="7">
        <f t="shared" si="37"/>
        <v>0</v>
      </c>
      <c r="P43" s="7">
        <f t="shared" si="4"/>
        <v>0</v>
      </c>
      <c r="Q43" s="7">
        <v>0</v>
      </c>
      <c r="R43" s="7">
        <f t="shared" si="38"/>
        <v>0</v>
      </c>
      <c r="S43" s="7"/>
      <c r="T43" s="7"/>
      <c r="U43" s="7">
        <f t="shared" si="8"/>
        <v>0</v>
      </c>
      <c r="V43" s="7">
        <f t="shared" si="6"/>
        <v>0</v>
      </c>
      <c r="W43" s="7"/>
      <c r="X43" s="159">
        <f t="shared" si="9"/>
        <v>0</v>
      </c>
      <c r="Z43" s="182"/>
      <c r="AA43" s="182"/>
    </row>
    <row r="44" spans="1:27" x14ac:dyDescent="0.3">
      <c r="A44" s="11">
        <f>$Q$44/12</f>
        <v>0</v>
      </c>
      <c r="B44" s="11">
        <f t="shared" ref="B44:L44" si="52">$Q$44/12</f>
        <v>0</v>
      </c>
      <c r="C44" s="11">
        <f t="shared" si="52"/>
        <v>0</v>
      </c>
      <c r="D44" s="11">
        <f t="shared" si="52"/>
        <v>0</v>
      </c>
      <c r="E44" s="11">
        <f t="shared" si="52"/>
        <v>0</v>
      </c>
      <c r="F44" s="11">
        <f t="shared" si="52"/>
        <v>0</v>
      </c>
      <c r="G44" s="11">
        <f t="shared" si="52"/>
        <v>0</v>
      </c>
      <c r="H44" s="11">
        <f t="shared" si="52"/>
        <v>0</v>
      </c>
      <c r="I44" s="11">
        <f t="shared" si="52"/>
        <v>0</v>
      </c>
      <c r="J44" s="11"/>
      <c r="K44" s="11">
        <f t="shared" si="52"/>
        <v>0</v>
      </c>
      <c r="L44" s="11">
        <f t="shared" si="52"/>
        <v>0</v>
      </c>
      <c r="M44" s="238" t="s">
        <v>113</v>
      </c>
      <c r="N44" s="11">
        <f t="shared" si="36"/>
        <v>0</v>
      </c>
      <c r="O44" s="11">
        <f t="shared" si="37"/>
        <v>0</v>
      </c>
      <c r="P44" s="11">
        <f t="shared" si="4"/>
        <v>0</v>
      </c>
      <c r="Q44" s="11">
        <v>0</v>
      </c>
      <c r="R44" s="11">
        <f t="shared" si="38"/>
        <v>0</v>
      </c>
      <c r="S44" s="11"/>
      <c r="T44" s="11"/>
      <c r="U44" s="11">
        <f t="shared" si="8"/>
        <v>0</v>
      </c>
      <c r="V44" s="11">
        <f t="shared" si="6"/>
        <v>0</v>
      </c>
      <c r="W44" s="11"/>
      <c r="X44" s="160">
        <f t="shared" si="9"/>
        <v>0</v>
      </c>
      <c r="Z44" s="182"/>
      <c r="AA44" s="182"/>
    </row>
    <row r="45" spans="1:27" x14ac:dyDescent="0.3">
      <c r="A45" s="8"/>
      <c r="B45" s="86"/>
      <c r="C45" s="86"/>
      <c r="D45" s="85"/>
      <c r="E45" s="83"/>
      <c r="F45" s="83"/>
      <c r="G45" s="83"/>
      <c r="H45" s="83"/>
      <c r="I45" s="83"/>
      <c r="J45" s="83"/>
      <c r="K45" s="84"/>
      <c r="L45" s="84"/>
      <c r="M45" s="13"/>
      <c r="N45" s="83">
        <f t="shared" si="15"/>
        <v>0</v>
      </c>
      <c r="O45" s="83">
        <f t="shared" si="16"/>
        <v>0</v>
      </c>
      <c r="P45" s="83">
        <f t="shared" si="4"/>
        <v>0</v>
      </c>
      <c r="Q45" s="86"/>
      <c r="R45" s="86"/>
      <c r="S45" s="86"/>
      <c r="T45" s="86"/>
      <c r="U45" s="86">
        <f t="shared" si="8"/>
        <v>0</v>
      </c>
      <c r="V45" s="86">
        <f t="shared" si="6"/>
        <v>0</v>
      </c>
      <c r="W45" s="86"/>
      <c r="X45" s="205"/>
      <c r="Z45" s="182"/>
      <c r="AA45" s="182"/>
    </row>
    <row r="46" spans="1:27" x14ac:dyDescent="0.3">
      <c r="A46" s="4">
        <f>SUM(A30:A44)</f>
        <v>0</v>
      </c>
      <c r="B46" s="4">
        <f t="shared" ref="B46:L46" si="53">SUM(B30:B44)</f>
        <v>0</v>
      </c>
      <c r="C46" s="4">
        <f t="shared" si="53"/>
        <v>0</v>
      </c>
      <c r="D46" s="4">
        <f t="shared" si="53"/>
        <v>0</v>
      </c>
      <c r="E46" s="4">
        <f t="shared" si="53"/>
        <v>0</v>
      </c>
      <c r="F46" s="4">
        <f t="shared" si="53"/>
        <v>0</v>
      </c>
      <c r="G46" s="4">
        <f t="shared" si="53"/>
        <v>0</v>
      </c>
      <c r="H46" s="4">
        <f t="shared" si="53"/>
        <v>0</v>
      </c>
      <c r="I46" s="4">
        <f t="shared" si="53"/>
        <v>0</v>
      </c>
      <c r="J46" s="4">
        <f t="shared" si="53"/>
        <v>0</v>
      </c>
      <c r="K46" s="4">
        <f t="shared" si="53"/>
        <v>0</v>
      </c>
      <c r="L46" s="4">
        <f t="shared" si="53"/>
        <v>0</v>
      </c>
      <c r="M46" s="13" t="s">
        <v>114</v>
      </c>
      <c r="N46" s="4">
        <f t="shared" ref="N46:O46" si="54">SUM(N30:N44)</f>
        <v>0</v>
      </c>
      <c r="O46" s="4">
        <f t="shared" si="54"/>
        <v>0</v>
      </c>
      <c r="P46" s="4">
        <f t="shared" ref="P46:Q46" si="55">SUM(P30:P44)</f>
        <v>0</v>
      </c>
      <c r="Q46" s="4">
        <f t="shared" si="55"/>
        <v>0</v>
      </c>
      <c r="R46" s="4">
        <f t="shared" ref="R46:W46" si="56">SUM(R30:R44)</f>
        <v>0</v>
      </c>
      <c r="S46" s="4"/>
      <c r="T46" s="4">
        <f t="shared" ref="T46" si="57">SUM(T30:T44)</f>
        <v>0</v>
      </c>
      <c r="U46" s="4">
        <f t="shared" si="8"/>
        <v>0</v>
      </c>
      <c r="V46" s="4">
        <f t="shared" si="6"/>
        <v>0</v>
      </c>
      <c r="W46" s="4">
        <f t="shared" si="56"/>
        <v>0</v>
      </c>
      <c r="X46" s="162">
        <f t="shared" si="9"/>
        <v>0</v>
      </c>
      <c r="Z46" s="182"/>
      <c r="AA46" s="182"/>
    </row>
    <row r="47" spans="1:27" x14ac:dyDescent="0.3">
      <c r="A47" s="81"/>
      <c r="B47" s="81"/>
      <c r="C47" s="81"/>
      <c r="D47" s="82"/>
      <c r="E47" s="86"/>
      <c r="F47" s="86"/>
      <c r="G47" s="86"/>
      <c r="H47" s="87"/>
      <c r="I47" s="87"/>
      <c r="J47" s="87"/>
      <c r="K47" s="84"/>
      <c r="L47" s="84"/>
      <c r="M47" s="80"/>
      <c r="N47" s="86">
        <f t="shared" si="15"/>
        <v>0</v>
      </c>
      <c r="O47" s="86">
        <f t="shared" si="16"/>
        <v>0</v>
      </c>
      <c r="P47" s="86">
        <f t="shared" si="4"/>
        <v>0</v>
      </c>
      <c r="Q47" s="81"/>
      <c r="R47" s="81"/>
      <c r="S47" s="81"/>
      <c r="T47" s="81"/>
      <c r="U47" s="81">
        <f t="shared" si="8"/>
        <v>0</v>
      </c>
      <c r="V47" s="81">
        <f t="shared" si="6"/>
        <v>0</v>
      </c>
      <c r="W47" s="81"/>
      <c r="X47" s="204"/>
      <c r="Z47" s="182"/>
      <c r="AA47" s="182"/>
    </row>
    <row r="48" spans="1:27" x14ac:dyDescent="0.3">
      <c r="A48" s="8">
        <f>$Q$48/12</f>
        <v>0</v>
      </c>
      <c r="B48" s="8">
        <f t="shared" ref="B48:L48" si="58">$Q$48/12</f>
        <v>0</v>
      </c>
      <c r="C48" s="8">
        <f t="shared" si="58"/>
        <v>0</v>
      </c>
      <c r="D48" s="8">
        <f t="shared" si="58"/>
        <v>0</v>
      </c>
      <c r="E48" s="8">
        <f t="shared" si="58"/>
        <v>0</v>
      </c>
      <c r="F48" s="8">
        <f t="shared" si="58"/>
        <v>0</v>
      </c>
      <c r="G48" s="8">
        <f t="shared" si="58"/>
        <v>0</v>
      </c>
      <c r="H48" s="8">
        <f t="shared" si="58"/>
        <v>0</v>
      </c>
      <c r="I48" s="8">
        <f t="shared" si="58"/>
        <v>0</v>
      </c>
      <c r="J48" s="8"/>
      <c r="K48" s="8">
        <f t="shared" si="58"/>
        <v>0</v>
      </c>
      <c r="L48" s="8">
        <f t="shared" si="58"/>
        <v>0</v>
      </c>
      <c r="M48" s="238" t="s">
        <v>445</v>
      </c>
      <c r="N48" s="8">
        <f t="shared" ref="N48:N63" si="59">SUM(0)</f>
        <v>0</v>
      </c>
      <c r="O48" s="8">
        <f t="shared" ref="O48:O63" si="60">SUM(A48:L48)</f>
        <v>0</v>
      </c>
      <c r="P48" s="8">
        <f t="shared" si="4"/>
        <v>0</v>
      </c>
      <c r="Q48" s="8">
        <v>0</v>
      </c>
      <c r="R48" s="8">
        <f t="shared" ref="R48:R63" si="61">Q48-P48</f>
        <v>0</v>
      </c>
      <c r="S48" s="8"/>
      <c r="T48" s="8"/>
      <c r="U48" s="8">
        <f t="shared" si="8"/>
        <v>0</v>
      </c>
      <c r="V48" s="8">
        <f t="shared" si="6"/>
        <v>0</v>
      </c>
      <c r="W48" s="8"/>
      <c r="X48" s="158">
        <f t="shared" si="9"/>
        <v>0</v>
      </c>
      <c r="Z48" s="182"/>
      <c r="AA48" s="182"/>
    </row>
    <row r="49" spans="1:27" x14ac:dyDescent="0.3">
      <c r="A49" s="7"/>
      <c r="B49" s="7">
        <f>1887*1.048</f>
        <v>1977.576</v>
      </c>
      <c r="C49" s="7"/>
      <c r="D49" s="7">
        <f>1887*1.048</f>
        <v>1977.576</v>
      </c>
      <c r="E49" s="7"/>
      <c r="F49" s="7"/>
      <c r="G49" s="7">
        <f>1887*1.048</f>
        <v>1977.576</v>
      </c>
      <c r="H49" s="7">
        <f>1887*1.048</f>
        <v>1977.576</v>
      </c>
      <c r="I49" s="7"/>
      <c r="J49" s="7">
        <f>1887*1.048</f>
        <v>1977.576</v>
      </c>
      <c r="K49" s="7"/>
      <c r="L49" s="7">
        <f>1887*1.048</f>
        <v>1977.576</v>
      </c>
      <c r="M49" s="13" t="s">
        <v>446</v>
      </c>
      <c r="N49" s="7">
        <f t="shared" si="59"/>
        <v>0</v>
      </c>
      <c r="O49" s="7">
        <f t="shared" si="60"/>
        <v>11865.456000000002</v>
      </c>
      <c r="P49" s="7">
        <f t="shared" si="4"/>
        <v>11865.456000000002</v>
      </c>
      <c r="Q49" s="7">
        <v>11865.456000000002</v>
      </c>
      <c r="R49" s="7">
        <f t="shared" si="61"/>
        <v>0</v>
      </c>
      <c r="S49" s="7"/>
      <c r="T49" s="7">
        <v>5163.7524699999403</v>
      </c>
      <c r="U49" s="7">
        <f t="shared" si="8"/>
        <v>17029.208469999943</v>
      </c>
      <c r="V49" s="7">
        <f t="shared" si="6"/>
        <v>5163.7524699999412</v>
      </c>
      <c r="W49" s="7" t="s">
        <v>397</v>
      </c>
      <c r="X49" s="159">
        <f t="shared" si="9"/>
        <v>0</v>
      </c>
      <c r="Z49" s="182"/>
      <c r="AA49" s="182"/>
    </row>
    <row r="50" spans="1:27" x14ac:dyDescent="0.3">
      <c r="A50" s="7">
        <f>$Q$50/12</f>
        <v>0</v>
      </c>
      <c r="B50" s="7">
        <f t="shared" ref="B50:L50" si="62">$Q$50/12</f>
        <v>0</v>
      </c>
      <c r="C50" s="7">
        <f t="shared" si="62"/>
        <v>0</v>
      </c>
      <c r="D50" s="7">
        <f t="shared" si="62"/>
        <v>0</v>
      </c>
      <c r="E50" s="7">
        <f t="shared" si="62"/>
        <v>0</v>
      </c>
      <c r="F50" s="7">
        <f t="shared" si="62"/>
        <v>0</v>
      </c>
      <c r="G50" s="7">
        <f t="shared" si="62"/>
        <v>0</v>
      </c>
      <c r="H50" s="7">
        <f t="shared" si="62"/>
        <v>0</v>
      </c>
      <c r="I50" s="7">
        <f t="shared" si="62"/>
        <v>0</v>
      </c>
      <c r="J50" s="7"/>
      <c r="K50" s="7">
        <f t="shared" si="62"/>
        <v>0</v>
      </c>
      <c r="L50" s="7">
        <f t="shared" si="62"/>
        <v>0</v>
      </c>
      <c r="M50" s="13" t="s">
        <v>447</v>
      </c>
      <c r="N50" s="7">
        <f t="shared" si="59"/>
        <v>0</v>
      </c>
      <c r="O50" s="7">
        <f t="shared" si="60"/>
        <v>0</v>
      </c>
      <c r="P50" s="7">
        <f t="shared" si="4"/>
        <v>0</v>
      </c>
      <c r="Q50" s="7">
        <v>0</v>
      </c>
      <c r="R50" s="7">
        <f t="shared" si="61"/>
        <v>0</v>
      </c>
      <c r="S50" s="7"/>
      <c r="T50" s="7"/>
      <c r="U50" s="7">
        <f t="shared" si="8"/>
        <v>0</v>
      </c>
      <c r="V50" s="7">
        <f t="shared" si="6"/>
        <v>0</v>
      </c>
      <c r="W50" s="7"/>
      <c r="X50" s="159">
        <f t="shared" si="9"/>
        <v>0</v>
      </c>
      <c r="Z50" s="182"/>
      <c r="AA50" s="182"/>
    </row>
    <row r="51" spans="1:27" x14ac:dyDescent="0.3">
      <c r="A51" s="7">
        <f>$Q$51/12</f>
        <v>0</v>
      </c>
      <c r="B51" s="7">
        <f t="shared" ref="B51:L51" si="63">$Q$51/12</f>
        <v>0</v>
      </c>
      <c r="C51" s="7">
        <f t="shared" si="63"/>
        <v>0</v>
      </c>
      <c r="D51" s="7">
        <f t="shared" si="63"/>
        <v>0</v>
      </c>
      <c r="E51" s="7">
        <f t="shared" si="63"/>
        <v>0</v>
      </c>
      <c r="F51" s="7">
        <f t="shared" si="63"/>
        <v>0</v>
      </c>
      <c r="G51" s="7">
        <f t="shared" si="63"/>
        <v>0</v>
      </c>
      <c r="H51" s="7">
        <f t="shared" si="63"/>
        <v>0</v>
      </c>
      <c r="I51" s="7">
        <f t="shared" si="63"/>
        <v>0</v>
      </c>
      <c r="J51" s="7"/>
      <c r="K51" s="7">
        <f t="shared" si="63"/>
        <v>0</v>
      </c>
      <c r="L51" s="7">
        <f t="shared" si="63"/>
        <v>0</v>
      </c>
      <c r="M51" s="13" t="s">
        <v>448</v>
      </c>
      <c r="N51" s="7">
        <f t="shared" si="59"/>
        <v>0</v>
      </c>
      <c r="O51" s="7">
        <f t="shared" si="60"/>
        <v>0</v>
      </c>
      <c r="P51" s="7">
        <f t="shared" si="4"/>
        <v>0</v>
      </c>
      <c r="Q51" s="7">
        <v>0</v>
      </c>
      <c r="R51" s="7">
        <f t="shared" si="61"/>
        <v>0</v>
      </c>
      <c r="S51" s="7"/>
      <c r="T51" s="7"/>
      <c r="U51" s="7">
        <f t="shared" si="8"/>
        <v>0</v>
      </c>
      <c r="V51" s="7">
        <f t="shared" si="6"/>
        <v>0</v>
      </c>
      <c r="W51" s="7"/>
      <c r="X51" s="159">
        <f t="shared" si="9"/>
        <v>0</v>
      </c>
      <c r="Z51" s="182"/>
      <c r="AA51" s="182"/>
    </row>
    <row r="52" spans="1:27" x14ac:dyDescent="0.3">
      <c r="A52" s="7">
        <f>$Q$52/12</f>
        <v>0</v>
      </c>
      <c r="B52" s="7">
        <f t="shared" ref="B52:L52" si="64">$Q$52/12</f>
        <v>0</v>
      </c>
      <c r="C52" s="7">
        <f t="shared" si="64"/>
        <v>0</v>
      </c>
      <c r="D52" s="7">
        <f t="shared" si="64"/>
        <v>0</v>
      </c>
      <c r="E52" s="7">
        <f t="shared" si="64"/>
        <v>0</v>
      </c>
      <c r="F52" s="7">
        <f t="shared" si="64"/>
        <v>0</v>
      </c>
      <c r="G52" s="7">
        <f t="shared" si="64"/>
        <v>0</v>
      </c>
      <c r="H52" s="7">
        <f t="shared" si="64"/>
        <v>0</v>
      </c>
      <c r="I52" s="7">
        <f t="shared" si="64"/>
        <v>0</v>
      </c>
      <c r="J52" s="7"/>
      <c r="K52" s="7">
        <f t="shared" si="64"/>
        <v>0</v>
      </c>
      <c r="L52" s="7">
        <f t="shared" si="64"/>
        <v>0</v>
      </c>
      <c r="M52" s="13" t="s">
        <v>449</v>
      </c>
      <c r="N52" s="7">
        <f t="shared" si="59"/>
        <v>0</v>
      </c>
      <c r="O52" s="7">
        <f t="shared" si="60"/>
        <v>0</v>
      </c>
      <c r="P52" s="7">
        <f t="shared" si="4"/>
        <v>0</v>
      </c>
      <c r="Q52" s="7">
        <v>0</v>
      </c>
      <c r="R52" s="7">
        <f t="shared" si="61"/>
        <v>0</v>
      </c>
      <c r="S52" s="7"/>
      <c r="T52" s="7"/>
      <c r="U52" s="7">
        <f t="shared" si="8"/>
        <v>0</v>
      </c>
      <c r="V52" s="7">
        <f t="shared" si="6"/>
        <v>0</v>
      </c>
      <c r="W52" s="7"/>
      <c r="X52" s="159">
        <f t="shared" si="9"/>
        <v>0</v>
      </c>
      <c r="Z52" s="182"/>
      <c r="AA52" s="182"/>
    </row>
    <row r="53" spans="1:27" x14ac:dyDescent="0.3">
      <c r="A53" s="7">
        <f>$Q$53/12</f>
        <v>0</v>
      </c>
      <c r="B53" s="7">
        <f t="shared" ref="B53:L53" si="65">$Q$53/12</f>
        <v>0</v>
      </c>
      <c r="C53" s="7">
        <f t="shared" si="65"/>
        <v>0</v>
      </c>
      <c r="D53" s="7">
        <f t="shared" si="65"/>
        <v>0</v>
      </c>
      <c r="E53" s="7">
        <f t="shared" si="65"/>
        <v>0</v>
      </c>
      <c r="F53" s="7">
        <f t="shared" si="65"/>
        <v>0</v>
      </c>
      <c r="G53" s="7">
        <f t="shared" si="65"/>
        <v>0</v>
      </c>
      <c r="H53" s="7">
        <f t="shared" si="65"/>
        <v>0</v>
      </c>
      <c r="I53" s="7">
        <f t="shared" si="65"/>
        <v>0</v>
      </c>
      <c r="J53" s="7"/>
      <c r="K53" s="7">
        <f t="shared" si="65"/>
        <v>0</v>
      </c>
      <c r="L53" s="7">
        <f t="shared" si="65"/>
        <v>0</v>
      </c>
      <c r="M53" s="13" t="s">
        <v>450</v>
      </c>
      <c r="N53" s="7">
        <f t="shared" si="59"/>
        <v>0</v>
      </c>
      <c r="O53" s="7">
        <f t="shared" si="60"/>
        <v>0</v>
      </c>
      <c r="P53" s="7">
        <f t="shared" si="4"/>
        <v>0</v>
      </c>
      <c r="Q53" s="7">
        <v>0</v>
      </c>
      <c r="R53" s="7">
        <f t="shared" si="61"/>
        <v>0</v>
      </c>
      <c r="S53" s="7"/>
      <c r="T53" s="7"/>
      <c r="U53" s="7">
        <f t="shared" si="8"/>
        <v>0</v>
      </c>
      <c r="V53" s="7">
        <f t="shared" si="6"/>
        <v>0</v>
      </c>
      <c r="W53" s="7"/>
      <c r="X53" s="159">
        <f t="shared" si="9"/>
        <v>0</v>
      </c>
      <c r="Z53" s="182"/>
      <c r="AA53" s="182"/>
    </row>
    <row r="54" spans="1:27" x14ac:dyDescent="0.3">
      <c r="A54" s="7">
        <f>$Q$54/12</f>
        <v>0</v>
      </c>
      <c r="B54" s="7">
        <f t="shared" ref="B54:L54" si="66">$Q$54/12</f>
        <v>0</v>
      </c>
      <c r="C54" s="7">
        <f t="shared" si="66"/>
        <v>0</v>
      </c>
      <c r="D54" s="7">
        <f t="shared" si="66"/>
        <v>0</v>
      </c>
      <c r="E54" s="7">
        <f t="shared" si="66"/>
        <v>0</v>
      </c>
      <c r="F54" s="7">
        <f t="shared" si="66"/>
        <v>0</v>
      </c>
      <c r="G54" s="7">
        <f t="shared" si="66"/>
        <v>0</v>
      </c>
      <c r="H54" s="7">
        <f t="shared" si="66"/>
        <v>0</v>
      </c>
      <c r="I54" s="7">
        <f t="shared" si="66"/>
        <v>0</v>
      </c>
      <c r="J54" s="7"/>
      <c r="K54" s="7">
        <f t="shared" si="66"/>
        <v>0</v>
      </c>
      <c r="L54" s="7">
        <f t="shared" si="66"/>
        <v>0</v>
      </c>
      <c r="M54" s="13" t="s">
        <v>451</v>
      </c>
      <c r="N54" s="7">
        <f t="shared" si="59"/>
        <v>0</v>
      </c>
      <c r="O54" s="7">
        <f t="shared" si="60"/>
        <v>0</v>
      </c>
      <c r="P54" s="7">
        <f t="shared" si="4"/>
        <v>0</v>
      </c>
      <c r="Q54" s="7">
        <v>0</v>
      </c>
      <c r="R54" s="7">
        <f t="shared" si="61"/>
        <v>0</v>
      </c>
      <c r="S54" s="7"/>
      <c r="T54" s="7"/>
      <c r="U54" s="7">
        <f t="shared" si="8"/>
        <v>0</v>
      </c>
      <c r="V54" s="7">
        <f t="shared" si="6"/>
        <v>0</v>
      </c>
      <c r="W54" s="7"/>
      <c r="X54" s="159">
        <f t="shared" si="9"/>
        <v>0</v>
      </c>
      <c r="Z54" s="182"/>
      <c r="AA54" s="182"/>
    </row>
    <row r="55" spans="1:27" x14ac:dyDescent="0.3">
      <c r="A55" s="7">
        <f>$Q$55/12</f>
        <v>0</v>
      </c>
      <c r="B55" s="7">
        <f t="shared" ref="B55:L55" si="67">$Q$55/12</f>
        <v>0</v>
      </c>
      <c r="C55" s="7">
        <f t="shared" si="67"/>
        <v>0</v>
      </c>
      <c r="D55" s="7">
        <f t="shared" si="67"/>
        <v>0</v>
      </c>
      <c r="E55" s="7">
        <f t="shared" si="67"/>
        <v>0</v>
      </c>
      <c r="F55" s="7">
        <f t="shared" si="67"/>
        <v>0</v>
      </c>
      <c r="G55" s="7">
        <f t="shared" si="67"/>
        <v>0</v>
      </c>
      <c r="H55" s="7">
        <f t="shared" si="67"/>
        <v>0</v>
      </c>
      <c r="I55" s="7">
        <f t="shared" si="67"/>
        <v>0</v>
      </c>
      <c r="J55" s="7"/>
      <c r="K55" s="7">
        <f t="shared" si="67"/>
        <v>0</v>
      </c>
      <c r="L55" s="7">
        <f t="shared" si="67"/>
        <v>0</v>
      </c>
      <c r="M55" s="238" t="s">
        <v>452</v>
      </c>
      <c r="N55" s="7">
        <f t="shared" si="59"/>
        <v>0</v>
      </c>
      <c r="O55" s="7">
        <f t="shared" si="60"/>
        <v>0</v>
      </c>
      <c r="P55" s="7">
        <f t="shared" si="4"/>
        <v>0</v>
      </c>
      <c r="Q55" s="7">
        <v>0</v>
      </c>
      <c r="R55" s="7">
        <f t="shared" si="61"/>
        <v>0</v>
      </c>
      <c r="S55" s="7"/>
      <c r="T55" s="7"/>
      <c r="U55" s="7">
        <f t="shared" si="8"/>
        <v>0</v>
      </c>
      <c r="V55" s="7">
        <f t="shared" si="6"/>
        <v>0</v>
      </c>
      <c r="W55" s="7"/>
      <c r="X55" s="159">
        <f t="shared" si="9"/>
        <v>0</v>
      </c>
      <c r="Z55" s="182"/>
      <c r="AA55" s="182"/>
    </row>
    <row r="56" spans="1:27" x14ac:dyDescent="0.3">
      <c r="A56" s="7">
        <f>$Q$56/12</f>
        <v>0</v>
      </c>
      <c r="B56" s="7">
        <f t="shared" ref="B56:L56" si="68">$Q$56/12</f>
        <v>0</v>
      </c>
      <c r="C56" s="7">
        <f t="shared" si="68"/>
        <v>0</v>
      </c>
      <c r="D56" s="7">
        <f t="shared" si="68"/>
        <v>0</v>
      </c>
      <c r="E56" s="7">
        <f t="shared" si="68"/>
        <v>0</v>
      </c>
      <c r="F56" s="7">
        <f t="shared" si="68"/>
        <v>0</v>
      </c>
      <c r="G56" s="7">
        <f t="shared" si="68"/>
        <v>0</v>
      </c>
      <c r="H56" s="7">
        <f t="shared" si="68"/>
        <v>0</v>
      </c>
      <c r="I56" s="7">
        <f t="shared" si="68"/>
        <v>0</v>
      </c>
      <c r="J56" s="7"/>
      <c r="K56" s="7">
        <f t="shared" si="68"/>
        <v>0</v>
      </c>
      <c r="L56" s="7">
        <f t="shared" si="68"/>
        <v>0</v>
      </c>
      <c r="M56" s="13" t="s">
        <v>453</v>
      </c>
      <c r="N56" s="7">
        <f t="shared" si="59"/>
        <v>0</v>
      </c>
      <c r="O56" s="7">
        <f t="shared" si="60"/>
        <v>0</v>
      </c>
      <c r="P56" s="7">
        <f t="shared" si="4"/>
        <v>0</v>
      </c>
      <c r="Q56" s="7">
        <v>0</v>
      </c>
      <c r="R56" s="7">
        <f t="shared" si="61"/>
        <v>0</v>
      </c>
      <c r="S56" s="7"/>
      <c r="T56" s="7"/>
      <c r="U56" s="7">
        <f t="shared" si="8"/>
        <v>0</v>
      </c>
      <c r="V56" s="7">
        <f t="shared" si="6"/>
        <v>0</v>
      </c>
      <c r="W56" s="7"/>
      <c r="X56" s="159">
        <f t="shared" si="9"/>
        <v>0</v>
      </c>
      <c r="Z56" s="182"/>
      <c r="AA56" s="182"/>
    </row>
    <row r="57" spans="1:27" x14ac:dyDescent="0.3">
      <c r="A57" s="7">
        <f>$Q$57/12</f>
        <v>0</v>
      </c>
      <c r="B57" s="7">
        <f t="shared" ref="B57:L57" si="69">$Q$57/12</f>
        <v>0</v>
      </c>
      <c r="C57" s="7">
        <f t="shared" si="69"/>
        <v>0</v>
      </c>
      <c r="D57" s="7">
        <f t="shared" si="69"/>
        <v>0</v>
      </c>
      <c r="E57" s="7">
        <f t="shared" si="69"/>
        <v>0</v>
      </c>
      <c r="F57" s="7">
        <f t="shared" si="69"/>
        <v>0</v>
      </c>
      <c r="G57" s="7">
        <f t="shared" si="69"/>
        <v>0</v>
      </c>
      <c r="H57" s="7">
        <f t="shared" si="69"/>
        <v>0</v>
      </c>
      <c r="I57" s="7">
        <f t="shared" si="69"/>
        <v>0</v>
      </c>
      <c r="J57" s="7"/>
      <c r="K57" s="7">
        <f t="shared" si="69"/>
        <v>0</v>
      </c>
      <c r="L57" s="7">
        <f t="shared" si="69"/>
        <v>0</v>
      </c>
      <c r="M57" s="13" t="s">
        <v>454</v>
      </c>
      <c r="N57" s="7">
        <f t="shared" si="59"/>
        <v>0</v>
      </c>
      <c r="O57" s="7">
        <f t="shared" si="60"/>
        <v>0</v>
      </c>
      <c r="P57" s="7">
        <f t="shared" si="4"/>
        <v>0</v>
      </c>
      <c r="Q57" s="7">
        <v>0</v>
      </c>
      <c r="R57" s="7">
        <f t="shared" si="61"/>
        <v>0</v>
      </c>
      <c r="S57" s="7"/>
      <c r="T57" s="7"/>
      <c r="U57" s="7">
        <f t="shared" si="8"/>
        <v>0</v>
      </c>
      <c r="V57" s="7">
        <f t="shared" si="6"/>
        <v>0</v>
      </c>
      <c r="W57" s="7"/>
      <c r="X57" s="159">
        <f t="shared" si="9"/>
        <v>0</v>
      </c>
      <c r="Z57" s="182"/>
      <c r="AA57" s="182"/>
    </row>
    <row r="58" spans="1:27" x14ac:dyDescent="0.3">
      <c r="A58" s="7">
        <f>$Q$58/12</f>
        <v>0</v>
      </c>
      <c r="B58" s="7">
        <f t="shared" ref="B58:L58" si="70">$Q$58/12</f>
        <v>0</v>
      </c>
      <c r="C58" s="7">
        <f t="shared" si="70"/>
        <v>0</v>
      </c>
      <c r="D58" s="7">
        <f t="shared" si="70"/>
        <v>0</v>
      </c>
      <c r="E58" s="7">
        <f t="shared" si="70"/>
        <v>0</v>
      </c>
      <c r="F58" s="7">
        <f t="shared" si="70"/>
        <v>0</v>
      </c>
      <c r="G58" s="7">
        <f t="shared" si="70"/>
        <v>0</v>
      </c>
      <c r="H58" s="7">
        <f t="shared" si="70"/>
        <v>0</v>
      </c>
      <c r="I58" s="7">
        <f t="shared" si="70"/>
        <v>0</v>
      </c>
      <c r="J58" s="7"/>
      <c r="K58" s="7">
        <f t="shared" si="70"/>
        <v>0</v>
      </c>
      <c r="L58" s="7">
        <f t="shared" si="70"/>
        <v>0</v>
      </c>
      <c r="M58" s="13" t="s">
        <v>455</v>
      </c>
      <c r="N58" s="7">
        <f t="shared" si="59"/>
        <v>0</v>
      </c>
      <c r="O58" s="7">
        <f t="shared" si="60"/>
        <v>0</v>
      </c>
      <c r="P58" s="7">
        <f t="shared" si="4"/>
        <v>0</v>
      </c>
      <c r="Q58" s="7">
        <v>0</v>
      </c>
      <c r="R58" s="7">
        <f t="shared" si="61"/>
        <v>0</v>
      </c>
      <c r="S58" s="7"/>
      <c r="T58" s="7"/>
      <c r="U58" s="7">
        <f t="shared" si="8"/>
        <v>0</v>
      </c>
      <c r="V58" s="7">
        <f t="shared" si="6"/>
        <v>0</v>
      </c>
      <c r="W58" s="7"/>
      <c r="X58" s="159">
        <f t="shared" si="9"/>
        <v>0</v>
      </c>
      <c r="Z58" s="182"/>
      <c r="AA58" s="182"/>
    </row>
    <row r="59" spans="1:27" x14ac:dyDescent="0.3">
      <c r="A59" s="7">
        <f>$Q$59/12</f>
        <v>0</v>
      </c>
      <c r="B59" s="7">
        <f t="shared" ref="B59:L59" si="71">$Q$59/12</f>
        <v>0</v>
      </c>
      <c r="C59" s="7">
        <f t="shared" si="71"/>
        <v>0</v>
      </c>
      <c r="D59" s="7">
        <f t="shared" si="71"/>
        <v>0</v>
      </c>
      <c r="E59" s="7">
        <f t="shared" si="71"/>
        <v>0</v>
      </c>
      <c r="F59" s="7">
        <f t="shared" si="71"/>
        <v>0</v>
      </c>
      <c r="G59" s="7">
        <f t="shared" si="71"/>
        <v>0</v>
      </c>
      <c r="H59" s="7">
        <f t="shared" si="71"/>
        <v>0</v>
      </c>
      <c r="I59" s="7">
        <f t="shared" si="71"/>
        <v>0</v>
      </c>
      <c r="J59" s="7"/>
      <c r="K59" s="7">
        <f t="shared" si="71"/>
        <v>0</v>
      </c>
      <c r="L59" s="7">
        <f t="shared" si="71"/>
        <v>0</v>
      </c>
      <c r="M59" s="13" t="s">
        <v>456</v>
      </c>
      <c r="N59" s="7">
        <f t="shared" si="59"/>
        <v>0</v>
      </c>
      <c r="O59" s="7">
        <f t="shared" si="60"/>
        <v>0</v>
      </c>
      <c r="P59" s="7">
        <f t="shared" si="4"/>
        <v>0</v>
      </c>
      <c r="Q59" s="7">
        <v>0</v>
      </c>
      <c r="R59" s="7">
        <f t="shared" si="61"/>
        <v>0</v>
      </c>
      <c r="S59" s="7"/>
      <c r="T59" s="7"/>
      <c r="U59" s="7">
        <f t="shared" si="8"/>
        <v>0</v>
      </c>
      <c r="V59" s="7">
        <f t="shared" si="6"/>
        <v>0</v>
      </c>
      <c r="W59" s="7"/>
      <c r="X59" s="159">
        <f t="shared" si="9"/>
        <v>0</v>
      </c>
      <c r="Z59" s="182"/>
      <c r="AA59" s="182"/>
    </row>
    <row r="60" spans="1:27" x14ac:dyDescent="0.3">
      <c r="A60" s="7">
        <f>$Q$60/12</f>
        <v>0</v>
      </c>
      <c r="B60" s="7">
        <f t="shared" ref="B60:L60" si="72">$Q$60/12</f>
        <v>0</v>
      </c>
      <c r="C60" s="7">
        <f t="shared" si="72"/>
        <v>0</v>
      </c>
      <c r="D60" s="7">
        <f t="shared" si="72"/>
        <v>0</v>
      </c>
      <c r="E60" s="7">
        <f t="shared" si="72"/>
        <v>0</v>
      </c>
      <c r="F60" s="7">
        <f t="shared" si="72"/>
        <v>0</v>
      </c>
      <c r="G60" s="7">
        <f t="shared" si="72"/>
        <v>0</v>
      </c>
      <c r="H60" s="7">
        <f t="shared" si="72"/>
        <v>0</v>
      </c>
      <c r="I60" s="7">
        <f t="shared" si="72"/>
        <v>0</v>
      </c>
      <c r="J60" s="7"/>
      <c r="K60" s="7">
        <f t="shared" si="72"/>
        <v>0</v>
      </c>
      <c r="L60" s="7">
        <f t="shared" si="72"/>
        <v>0</v>
      </c>
      <c r="M60" s="13" t="s">
        <v>457</v>
      </c>
      <c r="N60" s="7">
        <f t="shared" si="59"/>
        <v>0</v>
      </c>
      <c r="O60" s="7">
        <f t="shared" si="60"/>
        <v>0</v>
      </c>
      <c r="P60" s="7">
        <f t="shared" si="4"/>
        <v>0</v>
      </c>
      <c r="Q60" s="7">
        <v>0</v>
      </c>
      <c r="R60" s="7">
        <f t="shared" si="61"/>
        <v>0</v>
      </c>
      <c r="S60" s="7"/>
      <c r="T60" s="7"/>
      <c r="U60" s="7">
        <f t="shared" si="8"/>
        <v>0</v>
      </c>
      <c r="V60" s="7">
        <f t="shared" si="6"/>
        <v>0</v>
      </c>
      <c r="W60" s="7"/>
      <c r="X60" s="159">
        <f t="shared" si="9"/>
        <v>0</v>
      </c>
      <c r="Z60" s="182"/>
      <c r="AA60" s="182"/>
    </row>
    <row r="61" spans="1:27" x14ac:dyDescent="0.3">
      <c r="A61" s="7">
        <f>$Q$61/12</f>
        <v>0</v>
      </c>
      <c r="B61" s="7">
        <f t="shared" ref="B61:L61" si="73">$Q$61/12</f>
        <v>0</v>
      </c>
      <c r="C61" s="7">
        <f t="shared" si="73"/>
        <v>0</v>
      </c>
      <c r="D61" s="7">
        <f t="shared" si="73"/>
        <v>0</v>
      </c>
      <c r="E61" s="7">
        <f t="shared" si="73"/>
        <v>0</v>
      </c>
      <c r="F61" s="7">
        <f t="shared" si="73"/>
        <v>0</v>
      </c>
      <c r="G61" s="7">
        <f t="shared" si="73"/>
        <v>0</v>
      </c>
      <c r="H61" s="7">
        <f t="shared" si="73"/>
        <v>0</v>
      </c>
      <c r="I61" s="7">
        <f t="shared" si="73"/>
        <v>0</v>
      </c>
      <c r="J61" s="7"/>
      <c r="K61" s="7">
        <f t="shared" si="73"/>
        <v>0</v>
      </c>
      <c r="L61" s="7">
        <f t="shared" si="73"/>
        <v>0</v>
      </c>
      <c r="M61" s="13" t="s">
        <v>458</v>
      </c>
      <c r="N61" s="7">
        <f t="shared" si="59"/>
        <v>0</v>
      </c>
      <c r="O61" s="7">
        <f t="shared" si="60"/>
        <v>0</v>
      </c>
      <c r="P61" s="7">
        <f t="shared" si="4"/>
        <v>0</v>
      </c>
      <c r="Q61" s="7">
        <v>0</v>
      </c>
      <c r="R61" s="7">
        <f t="shared" si="61"/>
        <v>0</v>
      </c>
      <c r="S61" s="7"/>
      <c r="T61" s="7"/>
      <c r="U61" s="7">
        <f t="shared" si="8"/>
        <v>0</v>
      </c>
      <c r="V61" s="7">
        <f t="shared" si="6"/>
        <v>0</v>
      </c>
      <c r="W61" s="7"/>
      <c r="X61" s="159">
        <f t="shared" si="9"/>
        <v>0</v>
      </c>
      <c r="Z61" s="182"/>
      <c r="AA61" s="182"/>
    </row>
    <row r="62" spans="1:27" x14ac:dyDescent="0.3">
      <c r="A62" s="7">
        <f>$Q$62/12</f>
        <v>0</v>
      </c>
      <c r="B62" s="7">
        <f t="shared" ref="B62:L62" si="74">$Q$62/12</f>
        <v>0</v>
      </c>
      <c r="C62" s="7">
        <f t="shared" si="74"/>
        <v>0</v>
      </c>
      <c r="D62" s="7">
        <f t="shared" si="74"/>
        <v>0</v>
      </c>
      <c r="E62" s="7">
        <f t="shared" si="74"/>
        <v>0</v>
      </c>
      <c r="F62" s="7">
        <f t="shared" si="74"/>
        <v>0</v>
      </c>
      <c r="G62" s="7">
        <f t="shared" si="74"/>
        <v>0</v>
      </c>
      <c r="H62" s="7">
        <f t="shared" si="74"/>
        <v>0</v>
      </c>
      <c r="I62" s="7">
        <f t="shared" si="74"/>
        <v>0</v>
      </c>
      <c r="J62" s="7"/>
      <c r="K62" s="7">
        <f t="shared" si="74"/>
        <v>0</v>
      </c>
      <c r="L62" s="7">
        <f t="shared" si="74"/>
        <v>0</v>
      </c>
      <c r="M62" s="238" t="s">
        <v>459</v>
      </c>
      <c r="N62" s="7">
        <f t="shared" si="59"/>
        <v>0</v>
      </c>
      <c r="O62" s="7">
        <f t="shared" si="60"/>
        <v>0</v>
      </c>
      <c r="P62" s="7">
        <f t="shared" si="4"/>
        <v>0</v>
      </c>
      <c r="Q62" s="7">
        <v>0</v>
      </c>
      <c r="R62" s="7">
        <f t="shared" si="61"/>
        <v>0</v>
      </c>
      <c r="S62" s="7"/>
      <c r="T62" s="7"/>
      <c r="U62" s="7">
        <f t="shared" si="8"/>
        <v>0</v>
      </c>
      <c r="V62" s="7">
        <f t="shared" si="6"/>
        <v>0</v>
      </c>
      <c r="W62" s="7"/>
      <c r="X62" s="159">
        <f t="shared" si="9"/>
        <v>0</v>
      </c>
      <c r="Z62" s="182"/>
      <c r="AA62" s="182"/>
    </row>
    <row r="63" spans="1:27" x14ac:dyDescent="0.3">
      <c r="A63" s="11">
        <f>$Q$63/12</f>
        <v>0</v>
      </c>
      <c r="B63" s="11">
        <f t="shared" ref="B63:L63" si="75">$Q$63/12</f>
        <v>0</v>
      </c>
      <c r="C63" s="11">
        <f t="shared" si="75"/>
        <v>0</v>
      </c>
      <c r="D63" s="11">
        <f t="shared" si="75"/>
        <v>0</v>
      </c>
      <c r="E63" s="11">
        <f t="shared" si="75"/>
        <v>0</v>
      </c>
      <c r="F63" s="11">
        <f t="shared" si="75"/>
        <v>0</v>
      </c>
      <c r="G63" s="11">
        <f t="shared" si="75"/>
        <v>0</v>
      </c>
      <c r="H63" s="11">
        <f t="shared" si="75"/>
        <v>0</v>
      </c>
      <c r="I63" s="11">
        <f t="shared" si="75"/>
        <v>0</v>
      </c>
      <c r="J63" s="11"/>
      <c r="K63" s="11">
        <f t="shared" si="75"/>
        <v>0</v>
      </c>
      <c r="L63" s="11">
        <f t="shared" si="75"/>
        <v>0</v>
      </c>
      <c r="M63" s="238" t="s">
        <v>460</v>
      </c>
      <c r="N63" s="11">
        <f t="shared" si="59"/>
        <v>0</v>
      </c>
      <c r="O63" s="11">
        <f t="shared" si="60"/>
        <v>0</v>
      </c>
      <c r="P63" s="11">
        <f t="shared" si="4"/>
        <v>0</v>
      </c>
      <c r="Q63" s="11">
        <v>0</v>
      </c>
      <c r="R63" s="11">
        <f t="shared" si="61"/>
        <v>0</v>
      </c>
      <c r="S63" s="11"/>
      <c r="T63" s="11"/>
      <c r="U63" s="11">
        <f t="shared" si="8"/>
        <v>0</v>
      </c>
      <c r="V63" s="11">
        <f t="shared" si="6"/>
        <v>0</v>
      </c>
      <c r="W63" s="11"/>
      <c r="X63" s="160">
        <f t="shared" si="9"/>
        <v>0</v>
      </c>
      <c r="Z63" s="182"/>
      <c r="AA63" s="182"/>
    </row>
    <row r="64" spans="1:27" ht="15" thickBot="1" x14ac:dyDescent="0.35">
      <c r="A64" s="89"/>
      <c r="B64" s="89"/>
      <c r="C64" s="89"/>
      <c r="D64" s="90"/>
      <c r="E64" s="91"/>
      <c r="F64" s="91"/>
      <c r="G64" s="91"/>
      <c r="H64" s="91"/>
      <c r="I64" s="91"/>
      <c r="J64" s="91"/>
      <c r="K64" s="92"/>
      <c r="L64" s="92"/>
      <c r="M64" s="13"/>
      <c r="N64" s="91">
        <f t="shared" si="15"/>
        <v>0</v>
      </c>
      <c r="O64" s="91">
        <f t="shared" si="16"/>
        <v>0</v>
      </c>
      <c r="P64" s="91">
        <f t="shared" si="4"/>
        <v>0</v>
      </c>
      <c r="Q64" s="89"/>
      <c r="R64" s="89"/>
      <c r="S64" s="89"/>
      <c r="T64" s="89"/>
      <c r="U64" s="89">
        <f t="shared" si="8"/>
        <v>0</v>
      </c>
      <c r="V64" s="89">
        <f t="shared" si="6"/>
        <v>0</v>
      </c>
      <c r="W64" s="89"/>
      <c r="X64" s="207">
        <f t="shared" si="9"/>
        <v>0</v>
      </c>
      <c r="Z64" s="182"/>
      <c r="AA64" s="182"/>
    </row>
    <row r="65" spans="1:27" x14ac:dyDescent="0.3">
      <c r="A65" s="4">
        <f>SUM(A48:A63)</f>
        <v>0</v>
      </c>
      <c r="B65" s="4">
        <f t="shared" ref="B65:L65" si="76">SUM(B48:B63)</f>
        <v>1977.576</v>
      </c>
      <c r="C65" s="4">
        <f t="shared" si="76"/>
        <v>0</v>
      </c>
      <c r="D65" s="4">
        <f t="shared" si="76"/>
        <v>1977.576</v>
      </c>
      <c r="E65" s="4">
        <f t="shared" si="76"/>
        <v>0</v>
      </c>
      <c r="F65" s="4">
        <f t="shared" si="76"/>
        <v>0</v>
      </c>
      <c r="G65" s="4">
        <f t="shared" si="76"/>
        <v>1977.576</v>
      </c>
      <c r="H65" s="4">
        <f t="shared" si="76"/>
        <v>1977.576</v>
      </c>
      <c r="I65" s="4">
        <f t="shared" si="76"/>
        <v>0</v>
      </c>
      <c r="J65" s="4">
        <f t="shared" si="76"/>
        <v>1977.576</v>
      </c>
      <c r="K65" s="4">
        <f t="shared" si="76"/>
        <v>0</v>
      </c>
      <c r="L65" s="4">
        <f t="shared" si="76"/>
        <v>1977.576</v>
      </c>
      <c r="M65" s="13" t="s">
        <v>132</v>
      </c>
      <c r="N65" s="4">
        <f t="shared" ref="N65:O65" si="77">SUM(N48:N63)</f>
        <v>0</v>
      </c>
      <c r="O65" s="4">
        <f t="shared" si="77"/>
        <v>11865.456000000002</v>
      </c>
      <c r="P65" s="4">
        <f t="shared" ref="P65:W65" si="78">SUM(P48:P63)</f>
        <v>11865.456000000002</v>
      </c>
      <c r="Q65" s="4">
        <f t="shared" si="78"/>
        <v>11865.456000000002</v>
      </c>
      <c r="R65" s="4">
        <f t="shared" si="78"/>
        <v>0</v>
      </c>
      <c r="S65" s="4">
        <f t="shared" si="78"/>
        <v>0</v>
      </c>
      <c r="T65" s="4">
        <f t="shared" si="78"/>
        <v>5163.7524699999403</v>
      </c>
      <c r="U65" s="4">
        <f t="shared" si="78"/>
        <v>17029.208469999943</v>
      </c>
      <c r="V65" s="4">
        <f t="shared" si="78"/>
        <v>5163.7524699999412</v>
      </c>
      <c r="W65" s="4">
        <f t="shared" si="78"/>
        <v>0</v>
      </c>
      <c r="X65" s="162">
        <f t="shared" si="9"/>
        <v>0</v>
      </c>
      <c r="Z65" s="182"/>
      <c r="AA65" s="182"/>
    </row>
    <row r="66" spans="1:27" x14ac:dyDescent="0.3">
      <c r="A66" s="81"/>
      <c r="B66" s="81"/>
      <c r="C66" s="81"/>
      <c r="D66" s="82"/>
      <c r="E66" s="86"/>
      <c r="F66" s="86"/>
      <c r="G66" s="86"/>
      <c r="H66" s="87"/>
      <c r="I66" s="87"/>
      <c r="J66" s="87"/>
      <c r="K66" s="84"/>
      <c r="L66" s="84"/>
      <c r="M66" s="80"/>
      <c r="N66" s="86">
        <f t="shared" si="15"/>
        <v>0</v>
      </c>
      <c r="O66" s="86">
        <f t="shared" si="16"/>
        <v>0</v>
      </c>
      <c r="P66" s="86">
        <f t="shared" si="4"/>
        <v>0</v>
      </c>
      <c r="Q66" s="81"/>
      <c r="R66" s="81"/>
      <c r="S66" s="81"/>
      <c r="T66" s="81"/>
      <c r="U66" s="81">
        <f t="shared" si="8"/>
        <v>0</v>
      </c>
      <c r="V66" s="81">
        <f t="shared" si="6"/>
        <v>0</v>
      </c>
      <c r="W66" s="81"/>
      <c r="X66" s="204"/>
      <c r="Z66" s="182"/>
      <c r="AA66" s="182"/>
    </row>
    <row r="67" spans="1:27" x14ac:dyDescent="0.3">
      <c r="A67" s="8">
        <f>$Q$67/12</f>
        <v>0</v>
      </c>
      <c r="B67" s="8">
        <f t="shared" ref="B67:L67" si="79">$Q$67/12</f>
        <v>0</v>
      </c>
      <c r="C67" s="8">
        <f t="shared" si="79"/>
        <v>0</v>
      </c>
      <c r="D67" s="8">
        <f t="shared" si="79"/>
        <v>0</v>
      </c>
      <c r="E67" s="8">
        <f t="shared" si="79"/>
        <v>0</v>
      </c>
      <c r="F67" s="8">
        <f t="shared" si="79"/>
        <v>0</v>
      </c>
      <c r="G67" s="8">
        <f t="shared" si="79"/>
        <v>0</v>
      </c>
      <c r="H67" s="8">
        <f t="shared" si="79"/>
        <v>0</v>
      </c>
      <c r="I67" s="8">
        <f t="shared" si="79"/>
        <v>0</v>
      </c>
      <c r="J67" s="8"/>
      <c r="K67" s="8">
        <f t="shared" si="79"/>
        <v>0</v>
      </c>
      <c r="L67" s="8">
        <f t="shared" si="79"/>
        <v>0</v>
      </c>
      <c r="M67" s="238" t="s">
        <v>461</v>
      </c>
      <c r="N67" s="8">
        <f t="shared" ref="N67:N89" si="80">SUM(0)</f>
        <v>0</v>
      </c>
      <c r="O67" s="8">
        <f t="shared" ref="O67:O89" si="81">SUM(A67:L67)</f>
        <v>0</v>
      </c>
      <c r="P67" s="8">
        <f t="shared" si="4"/>
        <v>0</v>
      </c>
      <c r="Q67" s="8">
        <v>0</v>
      </c>
      <c r="R67" s="8">
        <f t="shared" ref="R67:R89" si="82">Q67-P67</f>
        <v>0</v>
      </c>
      <c r="S67" s="8"/>
      <c r="T67" s="8"/>
      <c r="U67" s="8">
        <f t="shared" si="8"/>
        <v>0</v>
      </c>
      <c r="V67" s="8">
        <f t="shared" si="6"/>
        <v>0</v>
      </c>
      <c r="W67" s="8"/>
      <c r="X67" s="158">
        <f t="shared" si="9"/>
        <v>0</v>
      </c>
      <c r="Z67" s="182"/>
      <c r="AA67" s="182"/>
    </row>
    <row r="68" spans="1:27" x14ac:dyDescent="0.3">
      <c r="A68" s="7">
        <f>$Q$68/12</f>
        <v>0</v>
      </c>
      <c r="B68" s="7">
        <f t="shared" ref="B68:L68" si="83">$Q$68/12</f>
        <v>0</v>
      </c>
      <c r="C68" s="7">
        <f t="shared" si="83"/>
        <v>0</v>
      </c>
      <c r="D68" s="7">
        <f t="shared" si="83"/>
        <v>0</v>
      </c>
      <c r="E68" s="7">
        <f t="shared" si="83"/>
        <v>0</v>
      </c>
      <c r="F68" s="7">
        <f t="shared" si="83"/>
        <v>0</v>
      </c>
      <c r="G68" s="7">
        <f t="shared" si="83"/>
        <v>0</v>
      </c>
      <c r="H68" s="7">
        <f t="shared" si="83"/>
        <v>0</v>
      </c>
      <c r="I68" s="7">
        <f t="shared" si="83"/>
        <v>0</v>
      </c>
      <c r="J68" s="7"/>
      <c r="K68" s="7">
        <f t="shared" si="83"/>
        <v>0</v>
      </c>
      <c r="L68" s="7">
        <f t="shared" si="83"/>
        <v>0</v>
      </c>
      <c r="M68" s="13" t="s">
        <v>462</v>
      </c>
      <c r="N68" s="7">
        <f t="shared" si="80"/>
        <v>0</v>
      </c>
      <c r="O68" s="7">
        <f t="shared" si="81"/>
        <v>0</v>
      </c>
      <c r="P68" s="7">
        <f t="shared" si="4"/>
        <v>0</v>
      </c>
      <c r="Q68" s="7">
        <v>0</v>
      </c>
      <c r="R68" s="7">
        <f t="shared" si="82"/>
        <v>0</v>
      </c>
      <c r="S68" s="7"/>
      <c r="T68" s="7"/>
      <c r="U68" s="7">
        <f t="shared" si="8"/>
        <v>0</v>
      </c>
      <c r="V68" s="7">
        <f t="shared" si="6"/>
        <v>0</v>
      </c>
      <c r="W68" s="7"/>
      <c r="X68" s="159">
        <f t="shared" si="9"/>
        <v>0</v>
      </c>
      <c r="Z68" s="182"/>
      <c r="AA68" s="182"/>
    </row>
    <row r="69" spans="1:27" x14ac:dyDescent="0.3">
      <c r="A69" s="7">
        <f>$Q$69/12</f>
        <v>0</v>
      </c>
      <c r="B69" s="7">
        <f t="shared" ref="B69:L69" si="84">$Q$69/12</f>
        <v>0</v>
      </c>
      <c r="C69" s="7">
        <f t="shared" si="84"/>
        <v>0</v>
      </c>
      <c r="D69" s="7">
        <f t="shared" si="84"/>
        <v>0</v>
      </c>
      <c r="E69" s="7">
        <f t="shared" si="84"/>
        <v>0</v>
      </c>
      <c r="F69" s="7">
        <f t="shared" si="84"/>
        <v>0</v>
      </c>
      <c r="G69" s="7">
        <f t="shared" si="84"/>
        <v>0</v>
      </c>
      <c r="H69" s="7">
        <f t="shared" si="84"/>
        <v>0</v>
      </c>
      <c r="I69" s="7">
        <f t="shared" si="84"/>
        <v>0</v>
      </c>
      <c r="J69" s="7"/>
      <c r="K69" s="7">
        <f t="shared" si="84"/>
        <v>0</v>
      </c>
      <c r="L69" s="7">
        <f t="shared" si="84"/>
        <v>0</v>
      </c>
      <c r="M69" s="13" t="s">
        <v>463</v>
      </c>
      <c r="N69" s="7">
        <f t="shared" si="80"/>
        <v>0</v>
      </c>
      <c r="O69" s="7">
        <f t="shared" si="81"/>
        <v>0</v>
      </c>
      <c r="P69" s="7">
        <f t="shared" si="4"/>
        <v>0</v>
      </c>
      <c r="Q69" s="7">
        <v>0</v>
      </c>
      <c r="R69" s="7">
        <f t="shared" si="82"/>
        <v>0</v>
      </c>
      <c r="S69" s="7"/>
      <c r="T69" s="7"/>
      <c r="U69" s="7">
        <f t="shared" si="8"/>
        <v>0</v>
      </c>
      <c r="V69" s="7">
        <f t="shared" si="6"/>
        <v>0</v>
      </c>
      <c r="W69" s="7"/>
      <c r="X69" s="159">
        <f t="shared" si="9"/>
        <v>0</v>
      </c>
      <c r="Z69" s="182"/>
      <c r="AA69" s="182"/>
    </row>
    <row r="70" spans="1:27" x14ac:dyDescent="0.3">
      <c r="A70" s="7">
        <f>$Q$70/12</f>
        <v>0</v>
      </c>
      <c r="B70" s="7">
        <f t="shared" ref="B70:L70" si="85">$Q$70/12</f>
        <v>0</v>
      </c>
      <c r="C70" s="7">
        <f t="shared" si="85"/>
        <v>0</v>
      </c>
      <c r="D70" s="7">
        <f t="shared" si="85"/>
        <v>0</v>
      </c>
      <c r="E70" s="7">
        <f t="shared" si="85"/>
        <v>0</v>
      </c>
      <c r="F70" s="7">
        <f t="shared" si="85"/>
        <v>0</v>
      </c>
      <c r="G70" s="7">
        <f t="shared" si="85"/>
        <v>0</v>
      </c>
      <c r="H70" s="7">
        <f t="shared" si="85"/>
        <v>0</v>
      </c>
      <c r="I70" s="7">
        <f t="shared" si="85"/>
        <v>0</v>
      </c>
      <c r="J70" s="7"/>
      <c r="K70" s="7">
        <f t="shared" si="85"/>
        <v>0</v>
      </c>
      <c r="L70" s="7">
        <f t="shared" si="85"/>
        <v>0</v>
      </c>
      <c r="M70" s="13" t="s">
        <v>464</v>
      </c>
      <c r="N70" s="7">
        <f t="shared" si="80"/>
        <v>0</v>
      </c>
      <c r="O70" s="7">
        <f t="shared" si="81"/>
        <v>0</v>
      </c>
      <c r="P70" s="7">
        <f t="shared" si="4"/>
        <v>0</v>
      </c>
      <c r="Q70" s="7">
        <v>0</v>
      </c>
      <c r="R70" s="7">
        <f t="shared" si="82"/>
        <v>0</v>
      </c>
      <c r="S70" s="7"/>
      <c r="T70" s="7"/>
      <c r="U70" s="7">
        <f t="shared" si="8"/>
        <v>0</v>
      </c>
      <c r="V70" s="7">
        <f t="shared" si="6"/>
        <v>0</v>
      </c>
      <c r="W70" s="7"/>
      <c r="X70" s="159">
        <f t="shared" si="9"/>
        <v>0</v>
      </c>
      <c r="Z70" s="182"/>
      <c r="AA70" s="182"/>
    </row>
    <row r="71" spans="1:27" x14ac:dyDescent="0.3">
      <c r="A71" s="7">
        <f>$Q$71/12</f>
        <v>0</v>
      </c>
      <c r="B71" s="7">
        <f t="shared" ref="B71:L71" si="86">$Q$71/12</f>
        <v>0</v>
      </c>
      <c r="C71" s="7">
        <f t="shared" si="86"/>
        <v>0</v>
      </c>
      <c r="D71" s="7">
        <f t="shared" si="86"/>
        <v>0</v>
      </c>
      <c r="E71" s="7">
        <f t="shared" si="86"/>
        <v>0</v>
      </c>
      <c r="F71" s="7">
        <f t="shared" si="86"/>
        <v>0</v>
      </c>
      <c r="G71" s="7">
        <f t="shared" si="86"/>
        <v>0</v>
      </c>
      <c r="H71" s="7">
        <f t="shared" si="86"/>
        <v>0</v>
      </c>
      <c r="I71" s="7">
        <f t="shared" si="86"/>
        <v>0</v>
      </c>
      <c r="J71" s="7"/>
      <c r="K71" s="7">
        <f t="shared" si="86"/>
        <v>0</v>
      </c>
      <c r="L71" s="7">
        <f t="shared" si="86"/>
        <v>0</v>
      </c>
      <c r="M71" s="13" t="s">
        <v>465</v>
      </c>
      <c r="N71" s="7">
        <f t="shared" si="80"/>
        <v>0</v>
      </c>
      <c r="O71" s="7">
        <f t="shared" si="81"/>
        <v>0</v>
      </c>
      <c r="P71" s="7">
        <f t="shared" si="4"/>
        <v>0</v>
      </c>
      <c r="Q71" s="7">
        <v>0</v>
      </c>
      <c r="R71" s="7">
        <f t="shared" si="82"/>
        <v>0</v>
      </c>
      <c r="S71" s="7"/>
      <c r="T71" s="7"/>
      <c r="U71" s="7">
        <f t="shared" si="8"/>
        <v>0</v>
      </c>
      <c r="V71" s="7">
        <f t="shared" si="6"/>
        <v>0</v>
      </c>
      <c r="W71" s="7"/>
      <c r="X71" s="159">
        <f t="shared" si="9"/>
        <v>0</v>
      </c>
      <c r="Z71" s="182"/>
      <c r="AA71" s="182"/>
    </row>
    <row r="72" spans="1:27" x14ac:dyDescent="0.3">
      <c r="A72" s="7">
        <f>$Q$72/12</f>
        <v>0</v>
      </c>
      <c r="B72" s="7">
        <f t="shared" ref="B72:L72" si="87">$Q$72/12</f>
        <v>0</v>
      </c>
      <c r="C72" s="7">
        <f t="shared" si="87"/>
        <v>0</v>
      </c>
      <c r="D72" s="7">
        <f t="shared" si="87"/>
        <v>0</v>
      </c>
      <c r="E72" s="7">
        <f t="shared" si="87"/>
        <v>0</v>
      </c>
      <c r="F72" s="7">
        <f t="shared" si="87"/>
        <v>0</v>
      </c>
      <c r="G72" s="7">
        <f t="shared" si="87"/>
        <v>0</v>
      </c>
      <c r="H72" s="7">
        <f t="shared" si="87"/>
        <v>0</v>
      </c>
      <c r="I72" s="7">
        <f t="shared" si="87"/>
        <v>0</v>
      </c>
      <c r="J72" s="7"/>
      <c r="K72" s="7">
        <f t="shared" si="87"/>
        <v>0</v>
      </c>
      <c r="L72" s="7">
        <f t="shared" si="87"/>
        <v>0</v>
      </c>
      <c r="M72" s="13" t="s">
        <v>466</v>
      </c>
      <c r="N72" s="7">
        <f t="shared" si="80"/>
        <v>0</v>
      </c>
      <c r="O72" s="7">
        <f t="shared" si="81"/>
        <v>0</v>
      </c>
      <c r="P72" s="7">
        <f t="shared" ref="P72:P128" si="88">SUM(N72:O72)</f>
        <v>0</v>
      </c>
      <c r="Q72" s="7">
        <v>0</v>
      </c>
      <c r="R72" s="7">
        <f t="shared" si="82"/>
        <v>0</v>
      </c>
      <c r="S72" s="7"/>
      <c r="T72" s="7"/>
      <c r="U72" s="7">
        <f t="shared" si="8"/>
        <v>0</v>
      </c>
      <c r="V72" s="7">
        <f t="shared" ref="V72:V129" si="89">U72-P72</f>
        <v>0</v>
      </c>
      <c r="W72" s="7"/>
      <c r="X72" s="159">
        <f t="shared" si="9"/>
        <v>0</v>
      </c>
      <c r="Z72" s="182"/>
      <c r="AA72" s="182"/>
    </row>
    <row r="73" spans="1:27" x14ac:dyDescent="0.3">
      <c r="A73" s="7">
        <f>$Q$73/12</f>
        <v>0</v>
      </c>
      <c r="B73" s="7">
        <f t="shared" ref="B73:L73" si="90">$Q$73/12</f>
        <v>0</v>
      </c>
      <c r="C73" s="7">
        <f t="shared" si="90"/>
        <v>0</v>
      </c>
      <c r="D73" s="7">
        <f t="shared" si="90"/>
        <v>0</v>
      </c>
      <c r="E73" s="7">
        <f t="shared" si="90"/>
        <v>0</v>
      </c>
      <c r="F73" s="7">
        <f t="shared" si="90"/>
        <v>0</v>
      </c>
      <c r="G73" s="7">
        <f t="shared" si="90"/>
        <v>0</v>
      </c>
      <c r="H73" s="7">
        <f t="shared" si="90"/>
        <v>0</v>
      </c>
      <c r="I73" s="7">
        <f t="shared" si="90"/>
        <v>0</v>
      </c>
      <c r="J73" s="7"/>
      <c r="K73" s="7">
        <f t="shared" si="90"/>
        <v>0</v>
      </c>
      <c r="L73" s="7">
        <f t="shared" si="90"/>
        <v>0</v>
      </c>
      <c r="M73" s="13" t="s">
        <v>453</v>
      </c>
      <c r="N73" s="7">
        <f t="shared" si="80"/>
        <v>0</v>
      </c>
      <c r="O73" s="7">
        <f t="shared" si="81"/>
        <v>0</v>
      </c>
      <c r="P73" s="7">
        <f t="shared" si="88"/>
        <v>0</v>
      </c>
      <c r="Q73" s="7">
        <v>0</v>
      </c>
      <c r="R73" s="7">
        <f t="shared" si="82"/>
        <v>0</v>
      </c>
      <c r="S73" s="7"/>
      <c r="T73" s="7"/>
      <c r="U73" s="7">
        <f t="shared" ref="U73:U128" si="91">Q73+T73</f>
        <v>0</v>
      </c>
      <c r="V73" s="7">
        <f t="shared" si="89"/>
        <v>0</v>
      </c>
      <c r="W73" s="7"/>
      <c r="X73" s="159">
        <f t="shared" ref="X73:X127" si="92">IFERROR(N73/Q73,0)</f>
        <v>0</v>
      </c>
      <c r="Z73" s="182"/>
      <c r="AA73" s="182"/>
    </row>
    <row r="74" spans="1:27" x14ac:dyDescent="0.3">
      <c r="A74" s="7">
        <f>$Q$74/12</f>
        <v>0</v>
      </c>
      <c r="B74" s="7">
        <f t="shared" ref="B74:L74" si="93">$Q$74/12</f>
        <v>0</v>
      </c>
      <c r="C74" s="7">
        <f t="shared" si="93"/>
        <v>0</v>
      </c>
      <c r="D74" s="7">
        <f t="shared" si="93"/>
        <v>0</v>
      </c>
      <c r="E74" s="7">
        <f t="shared" si="93"/>
        <v>0</v>
      </c>
      <c r="F74" s="7">
        <f t="shared" si="93"/>
        <v>0</v>
      </c>
      <c r="G74" s="7">
        <f t="shared" si="93"/>
        <v>0</v>
      </c>
      <c r="H74" s="7">
        <f t="shared" si="93"/>
        <v>0</v>
      </c>
      <c r="I74" s="7">
        <f t="shared" si="93"/>
        <v>0</v>
      </c>
      <c r="J74" s="7"/>
      <c r="K74" s="7">
        <f t="shared" si="93"/>
        <v>0</v>
      </c>
      <c r="L74" s="7">
        <f t="shared" si="93"/>
        <v>0</v>
      </c>
      <c r="M74" s="238" t="s">
        <v>467</v>
      </c>
      <c r="N74" s="7">
        <f t="shared" si="80"/>
        <v>0</v>
      </c>
      <c r="O74" s="7">
        <f t="shared" si="81"/>
        <v>0</v>
      </c>
      <c r="P74" s="7">
        <f t="shared" si="88"/>
        <v>0</v>
      </c>
      <c r="Q74" s="7">
        <v>0</v>
      </c>
      <c r="R74" s="7">
        <f t="shared" si="82"/>
        <v>0</v>
      </c>
      <c r="S74" s="7"/>
      <c r="T74" s="7"/>
      <c r="U74" s="7">
        <f t="shared" si="91"/>
        <v>0</v>
      </c>
      <c r="V74" s="7">
        <f t="shared" si="89"/>
        <v>0</v>
      </c>
      <c r="W74" s="7"/>
      <c r="X74" s="159">
        <f t="shared" si="92"/>
        <v>0</v>
      </c>
      <c r="Z74" s="182"/>
      <c r="AA74" s="182"/>
    </row>
    <row r="75" spans="1:27" x14ac:dyDescent="0.3">
      <c r="A75" s="7">
        <f>$Q$75/12</f>
        <v>0</v>
      </c>
      <c r="B75" s="7">
        <f t="shared" ref="B75:L75" si="94">$Q$75/12</f>
        <v>0</v>
      </c>
      <c r="C75" s="7">
        <f t="shared" si="94"/>
        <v>0</v>
      </c>
      <c r="D75" s="7">
        <f t="shared" si="94"/>
        <v>0</v>
      </c>
      <c r="E75" s="7">
        <f t="shared" si="94"/>
        <v>0</v>
      </c>
      <c r="F75" s="7">
        <f t="shared" si="94"/>
        <v>0</v>
      </c>
      <c r="G75" s="7">
        <f t="shared" si="94"/>
        <v>0</v>
      </c>
      <c r="H75" s="7">
        <f t="shared" si="94"/>
        <v>0</v>
      </c>
      <c r="I75" s="7">
        <f t="shared" si="94"/>
        <v>0</v>
      </c>
      <c r="J75" s="7"/>
      <c r="K75" s="7">
        <f t="shared" si="94"/>
        <v>0</v>
      </c>
      <c r="L75" s="7">
        <f t="shared" si="94"/>
        <v>0</v>
      </c>
      <c r="M75" s="13" t="s">
        <v>468</v>
      </c>
      <c r="N75" s="7">
        <f t="shared" si="80"/>
        <v>0</v>
      </c>
      <c r="O75" s="7">
        <f t="shared" si="81"/>
        <v>0</v>
      </c>
      <c r="P75" s="7">
        <f t="shared" si="88"/>
        <v>0</v>
      </c>
      <c r="Q75" s="7">
        <v>0</v>
      </c>
      <c r="R75" s="7">
        <f t="shared" si="82"/>
        <v>0</v>
      </c>
      <c r="S75" s="7"/>
      <c r="T75" s="7"/>
      <c r="U75" s="7">
        <f t="shared" si="91"/>
        <v>0</v>
      </c>
      <c r="V75" s="7">
        <f t="shared" si="89"/>
        <v>0</v>
      </c>
      <c r="W75" s="7"/>
      <c r="X75" s="159">
        <f t="shared" si="92"/>
        <v>0</v>
      </c>
      <c r="Z75" s="182"/>
      <c r="AA75" s="182"/>
    </row>
    <row r="76" spans="1:27" x14ac:dyDescent="0.3">
      <c r="A76" s="7">
        <f>$Q$76/12</f>
        <v>0</v>
      </c>
      <c r="B76" s="7">
        <f t="shared" ref="B76:L76" si="95">$Q$76/12</f>
        <v>0</v>
      </c>
      <c r="C76" s="7">
        <f t="shared" si="95"/>
        <v>0</v>
      </c>
      <c r="D76" s="7">
        <f t="shared" si="95"/>
        <v>0</v>
      </c>
      <c r="E76" s="7">
        <f t="shared" si="95"/>
        <v>0</v>
      </c>
      <c r="F76" s="7">
        <f t="shared" si="95"/>
        <v>0</v>
      </c>
      <c r="G76" s="7">
        <f t="shared" si="95"/>
        <v>0</v>
      </c>
      <c r="H76" s="7">
        <f t="shared" si="95"/>
        <v>0</v>
      </c>
      <c r="I76" s="7">
        <f t="shared" si="95"/>
        <v>0</v>
      </c>
      <c r="J76" s="7"/>
      <c r="K76" s="7">
        <f t="shared" si="95"/>
        <v>0</v>
      </c>
      <c r="L76" s="7">
        <f t="shared" si="95"/>
        <v>0</v>
      </c>
      <c r="M76" s="13" t="s">
        <v>469</v>
      </c>
      <c r="N76" s="7">
        <f t="shared" si="80"/>
        <v>0</v>
      </c>
      <c r="O76" s="7">
        <f t="shared" si="81"/>
        <v>0</v>
      </c>
      <c r="P76" s="7">
        <f t="shared" si="88"/>
        <v>0</v>
      </c>
      <c r="Q76" s="7">
        <v>0</v>
      </c>
      <c r="R76" s="7">
        <f t="shared" si="82"/>
        <v>0</v>
      </c>
      <c r="S76" s="7"/>
      <c r="T76" s="7"/>
      <c r="U76" s="7">
        <f t="shared" si="91"/>
        <v>0</v>
      </c>
      <c r="V76" s="7">
        <f t="shared" si="89"/>
        <v>0</v>
      </c>
      <c r="W76" s="7"/>
      <c r="X76" s="159">
        <f t="shared" si="92"/>
        <v>0</v>
      </c>
      <c r="Z76" s="182"/>
      <c r="AA76" s="182"/>
    </row>
    <row r="77" spans="1:27" x14ac:dyDescent="0.3">
      <c r="A77" s="7">
        <f>$Q$77/12</f>
        <v>0</v>
      </c>
      <c r="B77" s="7">
        <f t="shared" ref="B77:L77" si="96">$Q$77/12</f>
        <v>0</v>
      </c>
      <c r="C77" s="7">
        <f t="shared" si="96"/>
        <v>0</v>
      </c>
      <c r="D77" s="7">
        <f t="shared" si="96"/>
        <v>0</v>
      </c>
      <c r="E77" s="7">
        <f t="shared" si="96"/>
        <v>0</v>
      </c>
      <c r="F77" s="7">
        <f t="shared" si="96"/>
        <v>0</v>
      </c>
      <c r="G77" s="7">
        <f t="shared" si="96"/>
        <v>0</v>
      </c>
      <c r="H77" s="7">
        <f t="shared" si="96"/>
        <v>0</v>
      </c>
      <c r="I77" s="7">
        <f t="shared" si="96"/>
        <v>0</v>
      </c>
      <c r="J77" s="7"/>
      <c r="K77" s="7">
        <f t="shared" si="96"/>
        <v>0</v>
      </c>
      <c r="L77" s="7">
        <f t="shared" si="96"/>
        <v>0</v>
      </c>
      <c r="M77" s="13" t="s">
        <v>470</v>
      </c>
      <c r="N77" s="7">
        <f t="shared" si="80"/>
        <v>0</v>
      </c>
      <c r="O77" s="7">
        <f t="shared" si="81"/>
        <v>0</v>
      </c>
      <c r="P77" s="7">
        <f t="shared" si="88"/>
        <v>0</v>
      </c>
      <c r="Q77" s="7">
        <v>0</v>
      </c>
      <c r="R77" s="7">
        <f t="shared" si="82"/>
        <v>0</v>
      </c>
      <c r="S77" s="7"/>
      <c r="T77" s="7"/>
      <c r="U77" s="7">
        <f t="shared" si="91"/>
        <v>0</v>
      </c>
      <c r="V77" s="7">
        <f t="shared" si="89"/>
        <v>0</v>
      </c>
      <c r="W77" s="7"/>
      <c r="X77" s="159">
        <f t="shared" si="92"/>
        <v>0</v>
      </c>
      <c r="Z77" s="182"/>
      <c r="AA77" s="182"/>
    </row>
    <row r="78" spans="1:27" x14ac:dyDescent="0.3">
      <c r="A78" s="7">
        <f>$Q$78/12</f>
        <v>0</v>
      </c>
      <c r="B78" s="7">
        <f t="shared" ref="B78:L78" si="97">$Q$78/12</f>
        <v>0</v>
      </c>
      <c r="C78" s="7">
        <f t="shared" si="97"/>
        <v>0</v>
      </c>
      <c r="D78" s="7">
        <f t="shared" si="97"/>
        <v>0</v>
      </c>
      <c r="E78" s="7">
        <f t="shared" si="97"/>
        <v>0</v>
      </c>
      <c r="F78" s="7">
        <f t="shared" si="97"/>
        <v>0</v>
      </c>
      <c r="G78" s="7">
        <f t="shared" si="97"/>
        <v>0</v>
      </c>
      <c r="H78" s="7">
        <f t="shared" si="97"/>
        <v>0</v>
      </c>
      <c r="I78" s="7">
        <f t="shared" si="97"/>
        <v>0</v>
      </c>
      <c r="J78" s="7"/>
      <c r="K78" s="7">
        <f t="shared" si="97"/>
        <v>0</v>
      </c>
      <c r="L78" s="7">
        <f t="shared" si="97"/>
        <v>0</v>
      </c>
      <c r="M78" s="13" t="s">
        <v>471</v>
      </c>
      <c r="N78" s="7">
        <f t="shared" si="80"/>
        <v>0</v>
      </c>
      <c r="O78" s="7">
        <f t="shared" si="81"/>
        <v>0</v>
      </c>
      <c r="P78" s="7">
        <f t="shared" si="88"/>
        <v>0</v>
      </c>
      <c r="Q78" s="7">
        <v>0</v>
      </c>
      <c r="R78" s="7">
        <f t="shared" si="82"/>
        <v>0</v>
      </c>
      <c r="S78" s="7"/>
      <c r="T78" s="7"/>
      <c r="U78" s="7">
        <f t="shared" si="91"/>
        <v>0</v>
      </c>
      <c r="V78" s="7">
        <f t="shared" si="89"/>
        <v>0</v>
      </c>
      <c r="W78" s="7"/>
      <c r="X78" s="159">
        <f t="shared" si="92"/>
        <v>0</v>
      </c>
      <c r="Z78" s="182"/>
      <c r="AA78" s="182"/>
    </row>
    <row r="79" spans="1:27" x14ac:dyDescent="0.3">
      <c r="A79" s="7">
        <f>$Q$79/12</f>
        <v>0</v>
      </c>
      <c r="B79" s="7">
        <f t="shared" ref="B79:L79" si="98">$Q$79/12</f>
        <v>0</v>
      </c>
      <c r="C79" s="7">
        <f t="shared" si="98"/>
        <v>0</v>
      </c>
      <c r="D79" s="7">
        <f t="shared" si="98"/>
        <v>0</v>
      </c>
      <c r="E79" s="7">
        <f t="shared" si="98"/>
        <v>0</v>
      </c>
      <c r="F79" s="7">
        <f t="shared" si="98"/>
        <v>0</v>
      </c>
      <c r="G79" s="7">
        <f t="shared" si="98"/>
        <v>0</v>
      </c>
      <c r="H79" s="7">
        <f t="shared" si="98"/>
        <v>0</v>
      </c>
      <c r="I79" s="7">
        <f t="shared" si="98"/>
        <v>0</v>
      </c>
      <c r="J79" s="7"/>
      <c r="K79" s="7">
        <f t="shared" si="98"/>
        <v>0</v>
      </c>
      <c r="L79" s="7">
        <f t="shared" si="98"/>
        <v>0</v>
      </c>
      <c r="M79" s="13" t="s">
        <v>472</v>
      </c>
      <c r="N79" s="7">
        <f t="shared" si="80"/>
        <v>0</v>
      </c>
      <c r="O79" s="7">
        <f t="shared" si="81"/>
        <v>0</v>
      </c>
      <c r="P79" s="7">
        <f t="shared" si="88"/>
        <v>0</v>
      </c>
      <c r="Q79" s="7">
        <v>0</v>
      </c>
      <c r="R79" s="7">
        <f t="shared" si="82"/>
        <v>0</v>
      </c>
      <c r="S79" s="7"/>
      <c r="T79" s="7"/>
      <c r="U79" s="7">
        <f t="shared" si="91"/>
        <v>0</v>
      </c>
      <c r="V79" s="7">
        <f t="shared" si="89"/>
        <v>0</v>
      </c>
      <c r="W79" s="7"/>
      <c r="X79" s="159">
        <f t="shared" si="92"/>
        <v>0</v>
      </c>
      <c r="Z79" s="182"/>
      <c r="AA79" s="182"/>
    </row>
    <row r="80" spans="1:27" x14ac:dyDescent="0.3">
      <c r="A80" s="7">
        <f>$Q$80/12</f>
        <v>0</v>
      </c>
      <c r="B80" s="7">
        <f t="shared" ref="B80:L80" si="99">$Q$80/12</f>
        <v>0</v>
      </c>
      <c r="C80" s="7">
        <f t="shared" si="99"/>
        <v>0</v>
      </c>
      <c r="D80" s="7">
        <f t="shared" si="99"/>
        <v>0</v>
      </c>
      <c r="E80" s="7">
        <f t="shared" si="99"/>
        <v>0</v>
      </c>
      <c r="F80" s="7">
        <f t="shared" si="99"/>
        <v>0</v>
      </c>
      <c r="G80" s="7">
        <f t="shared" si="99"/>
        <v>0</v>
      </c>
      <c r="H80" s="7">
        <f t="shared" si="99"/>
        <v>0</v>
      </c>
      <c r="I80" s="7">
        <f t="shared" si="99"/>
        <v>0</v>
      </c>
      <c r="J80" s="7"/>
      <c r="K80" s="7">
        <f t="shared" si="99"/>
        <v>0</v>
      </c>
      <c r="L80" s="7">
        <f t="shared" si="99"/>
        <v>0</v>
      </c>
      <c r="M80" s="13" t="s">
        <v>145</v>
      </c>
      <c r="N80" s="7">
        <f t="shared" si="80"/>
        <v>0</v>
      </c>
      <c r="O80" s="7">
        <f t="shared" si="81"/>
        <v>0</v>
      </c>
      <c r="P80" s="7">
        <f t="shared" si="88"/>
        <v>0</v>
      </c>
      <c r="Q80" s="7">
        <v>0</v>
      </c>
      <c r="R80" s="7">
        <f t="shared" si="82"/>
        <v>0</v>
      </c>
      <c r="S80" s="7"/>
      <c r="T80" s="7"/>
      <c r="U80" s="7">
        <f t="shared" si="91"/>
        <v>0</v>
      </c>
      <c r="V80" s="7">
        <f t="shared" si="89"/>
        <v>0</v>
      </c>
      <c r="W80" s="7"/>
      <c r="X80" s="159">
        <f t="shared" si="92"/>
        <v>0</v>
      </c>
      <c r="Z80" s="182"/>
      <c r="AA80" s="182"/>
    </row>
    <row r="81" spans="1:27" x14ac:dyDescent="0.3">
      <c r="A81" s="7">
        <f>$Q$81/12</f>
        <v>0</v>
      </c>
      <c r="B81" s="7">
        <f t="shared" ref="B81:L81" si="100">$Q$81/12</f>
        <v>0</v>
      </c>
      <c r="C81" s="7">
        <f t="shared" si="100"/>
        <v>0</v>
      </c>
      <c r="D81" s="7">
        <f t="shared" si="100"/>
        <v>0</v>
      </c>
      <c r="E81" s="7">
        <f t="shared" si="100"/>
        <v>0</v>
      </c>
      <c r="F81" s="7">
        <f t="shared" si="100"/>
        <v>0</v>
      </c>
      <c r="G81" s="7">
        <f t="shared" si="100"/>
        <v>0</v>
      </c>
      <c r="H81" s="7">
        <f t="shared" si="100"/>
        <v>0</v>
      </c>
      <c r="I81" s="7">
        <f t="shared" si="100"/>
        <v>0</v>
      </c>
      <c r="J81" s="7"/>
      <c r="K81" s="7">
        <f t="shared" si="100"/>
        <v>0</v>
      </c>
      <c r="L81" s="7">
        <f t="shared" si="100"/>
        <v>0</v>
      </c>
      <c r="M81" s="238" t="s">
        <v>473</v>
      </c>
      <c r="N81" s="7">
        <f t="shared" si="80"/>
        <v>0</v>
      </c>
      <c r="O81" s="7">
        <f t="shared" si="81"/>
        <v>0</v>
      </c>
      <c r="P81" s="7">
        <f t="shared" si="88"/>
        <v>0</v>
      </c>
      <c r="Q81" s="7">
        <v>0</v>
      </c>
      <c r="R81" s="7">
        <f t="shared" si="82"/>
        <v>0</v>
      </c>
      <c r="S81" s="7"/>
      <c r="T81" s="7"/>
      <c r="U81" s="7">
        <f t="shared" si="91"/>
        <v>0</v>
      </c>
      <c r="V81" s="7">
        <f t="shared" si="89"/>
        <v>0</v>
      </c>
      <c r="W81" s="7"/>
      <c r="X81" s="159">
        <f t="shared" si="92"/>
        <v>0</v>
      </c>
      <c r="Z81" s="182"/>
      <c r="AA81" s="182"/>
    </row>
    <row r="82" spans="1:27" x14ac:dyDescent="0.3">
      <c r="A82" s="7">
        <f>$Q$82/12</f>
        <v>0</v>
      </c>
      <c r="B82" s="7">
        <f t="shared" ref="B82:L82" si="101">$Q$82/12</f>
        <v>0</v>
      </c>
      <c r="C82" s="7">
        <f t="shared" si="101"/>
        <v>0</v>
      </c>
      <c r="D82" s="7">
        <f t="shared" si="101"/>
        <v>0</v>
      </c>
      <c r="E82" s="7">
        <f t="shared" si="101"/>
        <v>0</v>
      </c>
      <c r="F82" s="7">
        <f t="shared" si="101"/>
        <v>0</v>
      </c>
      <c r="G82" s="7">
        <f t="shared" si="101"/>
        <v>0</v>
      </c>
      <c r="H82" s="7">
        <f t="shared" si="101"/>
        <v>0</v>
      </c>
      <c r="I82" s="7">
        <f t="shared" si="101"/>
        <v>0</v>
      </c>
      <c r="J82" s="7"/>
      <c r="K82" s="7">
        <f t="shared" si="101"/>
        <v>0</v>
      </c>
      <c r="L82" s="7">
        <f t="shared" si="101"/>
        <v>0</v>
      </c>
      <c r="M82" s="238" t="s">
        <v>474</v>
      </c>
      <c r="N82" s="7">
        <f t="shared" si="80"/>
        <v>0</v>
      </c>
      <c r="O82" s="7">
        <f t="shared" si="81"/>
        <v>0</v>
      </c>
      <c r="P82" s="7">
        <f t="shared" si="88"/>
        <v>0</v>
      </c>
      <c r="Q82" s="7">
        <v>0</v>
      </c>
      <c r="R82" s="7">
        <f t="shared" si="82"/>
        <v>0</v>
      </c>
      <c r="S82" s="7"/>
      <c r="T82" s="7"/>
      <c r="U82" s="7">
        <f t="shared" si="91"/>
        <v>0</v>
      </c>
      <c r="V82" s="7">
        <f t="shared" si="89"/>
        <v>0</v>
      </c>
      <c r="W82" s="7"/>
      <c r="X82" s="159">
        <f t="shared" si="92"/>
        <v>0</v>
      </c>
      <c r="Z82" s="182"/>
      <c r="AA82" s="182"/>
    </row>
    <row r="83" spans="1:27" x14ac:dyDescent="0.3">
      <c r="A83" s="7">
        <f>$Q$83/12</f>
        <v>0</v>
      </c>
      <c r="B83" s="7">
        <f t="shared" ref="B83:L83" si="102">$Q$83/12</f>
        <v>0</v>
      </c>
      <c r="C83" s="7">
        <f t="shared" si="102"/>
        <v>0</v>
      </c>
      <c r="D83" s="7">
        <f t="shared" si="102"/>
        <v>0</v>
      </c>
      <c r="E83" s="7">
        <f t="shared" si="102"/>
        <v>0</v>
      </c>
      <c r="F83" s="7">
        <f t="shared" si="102"/>
        <v>0</v>
      </c>
      <c r="G83" s="7">
        <f t="shared" si="102"/>
        <v>0</v>
      </c>
      <c r="H83" s="7">
        <f t="shared" si="102"/>
        <v>0</v>
      </c>
      <c r="I83" s="7">
        <f t="shared" si="102"/>
        <v>0</v>
      </c>
      <c r="J83" s="7"/>
      <c r="K83" s="7">
        <f t="shared" si="102"/>
        <v>0</v>
      </c>
      <c r="L83" s="7">
        <f t="shared" si="102"/>
        <v>0</v>
      </c>
      <c r="M83" s="238" t="s">
        <v>148</v>
      </c>
      <c r="N83" s="7">
        <f t="shared" si="80"/>
        <v>0</v>
      </c>
      <c r="O83" s="7">
        <f t="shared" si="81"/>
        <v>0</v>
      </c>
      <c r="P83" s="7">
        <f t="shared" si="88"/>
        <v>0</v>
      </c>
      <c r="Q83" s="7">
        <v>0</v>
      </c>
      <c r="R83" s="7">
        <f t="shared" si="82"/>
        <v>0</v>
      </c>
      <c r="S83" s="7"/>
      <c r="T83" s="7"/>
      <c r="U83" s="7">
        <f t="shared" si="91"/>
        <v>0</v>
      </c>
      <c r="V83" s="7">
        <f t="shared" si="89"/>
        <v>0</v>
      </c>
      <c r="W83" s="7"/>
      <c r="X83" s="159">
        <f t="shared" si="92"/>
        <v>0</v>
      </c>
      <c r="Z83" s="182"/>
      <c r="AA83" s="182"/>
    </row>
    <row r="84" spans="1:27" x14ac:dyDescent="0.3">
      <c r="A84" s="7">
        <f>$Q$84/12</f>
        <v>0</v>
      </c>
      <c r="B84" s="7">
        <f t="shared" ref="B84:L84" si="103">$Q$84/12</f>
        <v>0</v>
      </c>
      <c r="C84" s="7">
        <f t="shared" si="103"/>
        <v>0</v>
      </c>
      <c r="D84" s="7">
        <f t="shared" si="103"/>
        <v>0</v>
      </c>
      <c r="E84" s="7">
        <f t="shared" si="103"/>
        <v>0</v>
      </c>
      <c r="F84" s="7">
        <f t="shared" si="103"/>
        <v>0</v>
      </c>
      <c r="G84" s="7">
        <f t="shared" si="103"/>
        <v>0</v>
      </c>
      <c r="H84" s="7">
        <f t="shared" si="103"/>
        <v>0</v>
      </c>
      <c r="I84" s="7">
        <f t="shared" si="103"/>
        <v>0</v>
      </c>
      <c r="J84" s="7"/>
      <c r="K84" s="7">
        <f t="shared" si="103"/>
        <v>0</v>
      </c>
      <c r="L84" s="7">
        <f t="shared" si="103"/>
        <v>0</v>
      </c>
      <c r="M84" s="13" t="s">
        <v>475</v>
      </c>
      <c r="N84" s="7">
        <f t="shared" si="80"/>
        <v>0</v>
      </c>
      <c r="O84" s="7">
        <f t="shared" si="81"/>
        <v>0</v>
      </c>
      <c r="P84" s="7">
        <f t="shared" si="88"/>
        <v>0</v>
      </c>
      <c r="Q84" s="7">
        <v>0</v>
      </c>
      <c r="R84" s="7">
        <f t="shared" si="82"/>
        <v>0</v>
      </c>
      <c r="S84" s="7"/>
      <c r="T84" s="7"/>
      <c r="U84" s="7">
        <f t="shared" si="91"/>
        <v>0</v>
      </c>
      <c r="V84" s="7">
        <f t="shared" si="89"/>
        <v>0</v>
      </c>
      <c r="W84" s="7"/>
      <c r="X84" s="159">
        <f t="shared" si="92"/>
        <v>0</v>
      </c>
      <c r="Z84" s="182"/>
      <c r="AA84" s="182"/>
    </row>
    <row r="85" spans="1:27" x14ac:dyDescent="0.3">
      <c r="A85" s="7">
        <f>$Q$85/12</f>
        <v>0</v>
      </c>
      <c r="B85" s="7">
        <f t="shared" ref="B85:L85" si="104">$Q$85/12</f>
        <v>0</v>
      </c>
      <c r="C85" s="7">
        <f t="shared" si="104"/>
        <v>0</v>
      </c>
      <c r="D85" s="7">
        <f t="shared" si="104"/>
        <v>0</v>
      </c>
      <c r="E85" s="7">
        <f t="shared" si="104"/>
        <v>0</v>
      </c>
      <c r="F85" s="7">
        <f t="shared" si="104"/>
        <v>0</v>
      </c>
      <c r="G85" s="7">
        <f t="shared" si="104"/>
        <v>0</v>
      </c>
      <c r="H85" s="7">
        <f t="shared" si="104"/>
        <v>0</v>
      </c>
      <c r="I85" s="7">
        <f t="shared" si="104"/>
        <v>0</v>
      </c>
      <c r="J85" s="7"/>
      <c r="K85" s="7">
        <f t="shared" si="104"/>
        <v>0</v>
      </c>
      <c r="L85" s="7">
        <f t="shared" si="104"/>
        <v>0</v>
      </c>
      <c r="M85" s="13" t="s">
        <v>476</v>
      </c>
      <c r="N85" s="7">
        <f t="shared" si="80"/>
        <v>0</v>
      </c>
      <c r="O85" s="7">
        <f t="shared" si="81"/>
        <v>0</v>
      </c>
      <c r="P85" s="7">
        <f t="shared" si="88"/>
        <v>0</v>
      </c>
      <c r="Q85" s="7">
        <v>0</v>
      </c>
      <c r="R85" s="7">
        <f t="shared" si="82"/>
        <v>0</v>
      </c>
      <c r="S85" s="7"/>
      <c r="T85" s="7"/>
      <c r="U85" s="7">
        <f t="shared" si="91"/>
        <v>0</v>
      </c>
      <c r="V85" s="7">
        <f t="shared" si="89"/>
        <v>0</v>
      </c>
      <c r="W85" s="7"/>
      <c r="X85" s="159">
        <f t="shared" si="92"/>
        <v>0</v>
      </c>
      <c r="Z85" s="182"/>
      <c r="AA85" s="182"/>
    </row>
    <row r="86" spans="1:27" x14ac:dyDescent="0.3">
      <c r="A86" s="7">
        <f>$Q$86/12</f>
        <v>0</v>
      </c>
      <c r="B86" s="7">
        <f t="shared" ref="B86:L86" si="105">$Q$86/12</f>
        <v>0</v>
      </c>
      <c r="C86" s="7">
        <f t="shared" si="105"/>
        <v>0</v>
      </c>
      <c r="D86" s="7">
        <f t="shared" si="105"/>
        <v>0</v>
      </c>
      <c r="E86" s="7">
        <f t="shared" si="105"/>
        <v>0</v>
      </c>
      <c r="F86" s="7">
        <f t="shared" si="105"/>
        <v>0</v>
      </c>
      <c r="G86" s="7">
        <f t="shared" si="105"/>
        <v>0</v>
      </c>
      <c r="H86" s="7">
        <f t="shared" si="105"/>
        <v>0</v>
      </c>
      <c r="I86" s="7">
        <f t="shared" si="105"/>
        <v>0</v>
      </c>
      <c r="J86" s="7"/>
      <c r="K86" s="7">
        <f t="shared" si="105"/>
        <v>0</v>
      </c>
      <c r="L86" s="7">
        <f t="shared" si="105"/>
        <v>0</v>
      </c>
      <c r="M86" s="13" t="s">
        <v>151</v>
      </c>
      <c r="N86" s="7">
        <f t="shared" si="80"/>
        <v>0</v>
      </c>
      <c r="O86" s="7">
        <f t="shared" si="81"/>
        <v>0</v>
      </c>
      <c r="P86" s="7">
        <f t="shared" si="88"/>
        <v>0</v>
      </c>
      <c r="Q86" s="7">
        <v>0</v>
      </c>
      <c r="R86" s="7">
        <f t="shared" si="82"/>
        <v>0</v>
      </c>
      <c r="S86" s="7"/>
      <c r="T86" s="7"/>
      <c r="U86" s="7">
        <f t="shared" si="91"/>
        <v>0</v>
      </c>
      <c r="V86" s="7">
        <f t="shared" si="89"/>
        <v>0</v>
      </c>
      <c r="W86" s="7"/>
      <c r="X86" s="159">
        <f t="shared" si="92"/>
        <v>0</v>
      </c>
      <c r="Z86" s="182"/>
      <c r="AA86" s="182"/>
    </row>
    <row r="87" spans="1:27" x14ac:dyDescent="0.3">
      <c r="A87" s="7">
        <f>$Q$87/12</f>
        <v>0</v>
      </c>
      <c r="B87" s="7">
        <f t="shared" ref="B87:L87" si="106">$Q$87/12</f>
        <v>0</v>
      </c>
      <c r="C87" s="7">
        <f t="shared" si="106"/>
        <v>0</v>
      </c>
      <c r="D87" s="7">
        <f t="shared" si="106"/>
        <v>0</v>
      </c>
      <c r="E87" s="7">
        <f t="shared" si="106"/>
        <v>0</v>
      </c>
      <c r="F87" s="7">
        <f t="shared" si="106"/>
        <v>0</v>
      </c>
      <c r="G87" s="7">
        <f t="shared" si="106"/>
        <v>0</v>
      </c>
      <c r="H87" s="7">
        <f t="shared" si="106"/>
        <v>0</v>
      </c>
      <c r="I87" s="7">
        <f t="shared" si="106"/>
        <v>0</v>
      </c>
      <c r="J87" s="7"/>
      <c r="K87" s="7">
        <f t="shared" si="106"/>
        <v>0</v>
      </c>
      <c r="L87" s="7">
        <f t="shared" si="106"/>
        <v>0</v>
      </c>
      <c r="M87" s="13" t="s">
        <v>477</v>
      </c>
      <c r="N87" s="7">
        <f t="shared" si="80"/>
        <v>0</v>
      </c>
      <c r="O87" s="7">
        <f t="shared" si="81"/>
        <v>0</v>
      </c>
      <c r="P87" s="7">
        <f t="shared" si="88"/>
        <v>0</v>
      </c>
      <c r="Q87" s="7">
        <v>0</v>
      </c>
      <c r="R87" s="7">
        <f t="shared" si="82"/>
        <v>0</v>
      </c>
      <c r="S87" s="7"/>
      <c r="T87" s="7"/>
      <c r="U87" s="7">
        <f t="shared" si="91"/>
        <v>0</v>
      </c>
      <c r="V87" s="7">
        <f t="shared" si="89"/>
        <v>0</v>
      </c>
      <c r="W87" s="7"/>
      <c r="X87" s="159">
        <f t="shared" si="92"/>
        <v>0</v>
      </c>
      <c r="Z87" s="182"/>
      <c r="AA87" s="182"/>
    </row>
    <row r="88" spans="1:27" x14ac:dyDescent="0.3">
      <c r="A88" s="7">
        <f>$Q$88/12</f>
        <v>0</v>
      </c>
      <c r="B88" s="7">
        <f t="shared" ref="B88:L88" si="107">$Q$88/12</f>
        <v>0</v>
      </c>
      <c r="C88" s="7">
        <f t="shared" si="107"/>
        <v>0</v>
      </c>
      <c r="D88" s="7">
        <f t="shared" si="107"/>
        <v>0</v>
      </c>
      <c r="E88" s="7">
        <f t="shared" si="107"/>
        <v>0</v>
      </c>
      <c r="F88" s="7">
        <f t="shared" si="107"/>
        <v>0</v>
      </c>
      <c r="G88" s="7">
        <f t="shared" si="107"/>
        <v>0</v>
      </c>
      <c r="H88" s="7">
        <f t="shared" si="107"/>
        <v>0</v>
      </c>
      <c r="I88" s="7">
        <f t="shared" si="107"/>
        <v>0</v>
      </c>
      <c r="J88" s="7"/>
      <c r="K88" s="7">
        <f t="shared" si="107"/>
        <v>0</v>
      </c>
      <c r="L88" s="7">
        <f t="shared" si="107"/>
        <v>0</v>
      </c>
      <c r="M88" s="13" t="s">
        <v>478</v>
      </c>
      <c r="N88" s="7">
        <f t="shared" si="80"/>
        <v>0</v>
      </c>
      <c r="O88" s="7">
        <f t="shared" si="81"/>
        <v>0</v>
      </c>
      <c r="P88" s="7">
        <f t="shared" si="88"/>
        <v>0</v>
      </c>
      <c r="Q88" s="7">
        <v>0</v>
      </c>
      <c r="R88" s="7">
        <f t="shared" si="82"/>
        <v>0</v>
      </c>
      <c r="S88" s="7"/>
      <c r="T88" s="7"/>
      <c r="U88" s="7">
        <f t="shared" si="91"/>
        <v>0</v>
      </c>
      <c r="V88" s="7">
        <f t="shared" si="89"/>
        <v>0</v>
      </c>
      <c r="W88" s="7"/>
      <c r="X88" s="159">
        <f t="shared" si="92"/>
        <v>0</v>
      </c>
      <c r="Z88" s="182"/>
      <c r="AA88" s="182"/>
    </row>
    <row r="89" spans="1:27" x14ac:dyDescent="0.3">
      <c r="A89" s="11">
        <f>$Q$89/12</f>
        <v>0</v>
      </c>
      <c r="B89" s="11">
        <f t="shared" ref="B89:L89" si="108">$Q$89/12</f>
        <v>0</v>
      </c>
      <c r="C89" s="11">
        <f t="shared" si="108"/>
        <v>0</v>
      </c>
      <c r="D89" s="11">
        <f t="shared" si="108"/>
        <v>0</v>
      </c>
      <c r="E89" s="11">
        <f t="shared" si="108"/>
        <v>0</v>
      </c>
      <c r="F89" s="11">
        <f t="shared" si="108"/>
        <v>0</v>
      </c>
      <c r="G89" s="11">
        <f t="shared" si="108"/>
        <v>0</v>
      </c>
      <c r="H89" s="11">
        <f t="shared" si="108"/>
        <v>0</v>
      </c>
      <c r="I89" s="11">
        <f t="shared" si="108"/>
        <v>0</v>
      </c>
      <c r="J89" s="11"/>
      <c r="K89" s="11">
        <f t="shared" si="108"/>
        <v>0</v>
      </c>
      <c r="L89" s="11">
        <f t="shared" si="108"/>
        <v>0</v>
      </c>
      <c r="M89" s="238" t="s">
        <v>479</v>
      </c>
      <c r="N89" s="11">
        <f t="shared" si="80"/>
        <v>0</v>
      </c>
      <c r="O89" s="11">
        <f t="shared" si="81"/>
        <v>0</v>
      </c>
      <c r="P89" s="11">
        <f t="shared" si="88"/>
        <v>0</v>
      </c>
      <c r="Q89" s="11">
        <v>0</v>
      </c>
      <c r="R89" s="11">
        <f t="shared" si="82"/>
        <v>0</v>
      </c>
      <c r="S89" s="11"/>
      <c r="T89" s="11"/>
      <c r="U89" s="11">
        <f t="shared" si="91"/>
        <v>0</v>
      </c>
      <c r="V89" s="11">
        <f t="shared" si="89"/>
        <v>0</v>
      </c>
      <c r="W89" s="11"/>
      <c r="X89" s="160">
        <f t="shared" si="92"/>
        <v>0</v>
      </c>
      <c r="Z89" s="182"/>
      <c r="AA89" s="182"/>
    </row>
    <row r="90" spans="1:27" ht="15" thickBot="1" x14ac:dyDescent="0.35">
      <c r="A90" s="93"/>
      <c r="B90" s="93"/>
      <c r="C90" s="93"/>
      <c r="D90" s="94"/>
      <c r="E90" s="91"/>
      <c r="F90" s="91"/>
      <c r="G90" s="91"/>
      <c r="H90" s="91"/>
      <c r="I90" s="91"/>
      <c r="J90" s="91"/>
      <c r="K90" s="92"/>
      <c r="L90" s="92"/>
      <c r="M90" s="13"/>
      <c r="N90" s="91">
        <f t="shared" ref="N90:N128" si="109">SUM(A90:J90)</f>
        <v>0</v>
      </c>
      <c r="O90" s="91">
        <f t="shared" ref="O90:O128" si="110">SUM(K90:L90)</f>
        <v>0</v>
      </c>
      <c r="P90" s="91">
        <f t="shared" si="88"/>
        <v>0</v>
      </c>
      <c r="Q90" s="93"/>
      <c r="R90" s="93"/>
      <c r="S90" s="93"/>
      <c r="T90" s="93"/>
      <c r="U90" s="93">
        <f t="shared" si="91"/>
        <v>0</v>
      </c>
      <c r="V90" s="93">
        <f t="shared" si="89"/>
        <v>0</v>
      </c>
      <c r="W90" s="93"/>
      <c r="X90" s="208">
        <f t="shared" si="92"/>
        <v>0</v>
      </c>
      <c r="Z90" s="182"/>
      <c r="AA90" s="182"/>
    </row>
    <row r="91" spans="1:27" x14ac:dyDescent="0.3">
      <c r="A91" s="4">
        <f>SUM(A67:A89)</f>
        <v>0</v>
      </c>
      <c r="B91" s="4">
        <f t="shared" ref="B91:L91" si="111">SUM(B67:B89)</f>
        <v>0</v>
      </c>
      <c r="C91" s="4">
        <f t="shared" si="111"/>
        <v>0</v>
      </c>
      <c r="D91" s="4">
        <f t="shared" si="111"/>
        <v>0</v>
      </c>
      <c r="E91" s="4">
        <f t="shared" si="111"/>
        <v>0</v>
      </c>
      <c r="F91" s="4">
        <f t="shared" si="111"/>
        <v>0</v>
      </c>
      <c r="G91" s="4">
        <f t="shared" si="111"/>
        <v>0</v>
      </c>
      <c r="H91" s="4">
        <f t="shared" si="111"/>
        <v>0</v>
      </c>
      <c r="I91" s="4">
        <f t="shared" si="111"/>
        <v>0</v>
      </c>
      <c r="J91" s="4">
        <f t="shared" si="111"/>
        <v>0</v>
      </c>
      <c r="K91" s="4">
        <f t="shared" si="111"/>
        <v>0</v>
      </c>
      <c r="L91" s="4">
        <f t="shared" si="111"/>
        <v>0</v>
      </c>
      <c r="M91" s="13" t="s">
        <v>155</v>
      </c>
      <c r="N91" s="4">
        <f t="shared" ref="N91:O91" si="112">SUM(N67:N89)</f>
        <v>0</v>
      </c>
      <c r="O91" s="4">
        <f t="shared" si="112"/>
        <v>0</v>
      </c>
      <c r="P91" s="4">
        <f t="shared" ref="P91:Q91" si="113">SUM(P67:P89)</f>
        <v>0</v>
      </c>
      <c r="Q91" s="4">
        <f t="shared" si="113"/>
        <v>0</v>
      </c>
      <c r="R91" s="4">
        <f t="shared" ref="R91:W91" si="114">SUM(R67:R89)</f>
        <v>0</v>
      </c>
      <c r="S91" s="4"/>
      <c r="T91" s="4">
        <f t="shared" si="114"/>
        <v>0</v>
      </c>
      <c r="U91" s="4">
        <f t="shared" si="91"/>
        <v>0</v>
      </c>
      <c r="V91" s="4">
        <f t="shared" si="89"/>
        <v>0</v>
      </c>
      <c r="W91" s="4">
        <f t="shared" si="114"/>
        <v>0</v>
      </c>
      <c r="X91" s="162">
        <f t="shared" si="92"/>
        <v>0</v>
      </c>
      <c r="Z91" s="182"/>
      <c r="AA91" s="182"/>
    </row>
    <row r="92" spans="1:27" x14ac:dyDescent="0.3">
      <c r="A92" s="81"/>
      <c r="B92" s="81"/>
      <c r="C92" s="81"/>
      <c r="D92" s="82"/>
      <c r="E92" s="86"/>
      <c r="F92" s="86"/>
      <c r="G92" s="86"/>
      <c r="H92" s="87"/>
      <c r="I92" s="87"/>
      <c r="J92" s="87"/>
      <c r="K92" s="84"/>
      <c r="L92" s="84"/>
      <c r="M92" s="80"/>
      <c r="N92" s="86">
        <f t="shared" si="109"/>
        <v>0</v>
      </c>
      <c r="O92" s="86">
        <f t="shared" si="110"/>
        <v>0</v>
      </c>
      <c r="P92" s="86">
        <f t="shared" si="88"/>
        <v>0</v>
      </c>
      <c r="Q92" s="81"/>
      <c r="R92" s="81"/>
      <c r="S92" s="81"/>
      <c r="T92" s="81"/>
      <c r="U92" s="81">
        <f t="shared" si="91"/>
        <v>0</v>
      </c>
      <c r="V92" s="81">
        <f t="shared" si="89"/>
        <v>0</v>
      </c>
      <c r="W92" s="81"/>
      <c r="X92" s="204"/>
      <c r="Z92" s="182"/>
      <c r="AA92" s="182"/>
    </row>
    <row r="93" spans="1:27" x14ac:dyDescent="0.3">
      <c r="A93" s="8">
        <f>$Q$93/12</f>
        <v>0</v>
      </c>
      <c r="B93" s="8">
        <f t="shared" ref="B93:L93" si="115">$Q$93/12</f>
        <v>0</v>
      </c>
      <c r="C93" s="8">
        <f t="shared" si="115"/>
        <v>0</v>
      </c>
      <c r="D93" s="8">
        <f t="shared" si="115"/>
        <v>0</v>
      </c>
      <c r="E93" s="8">
        <f t="shared" si="115"/>
        <v>0</v>
      </c>
      <c r="F93" s="8">
        <f t="shared" si="115"/>
        <v>0</v>
      </c>
      <c r="G93" s="8">
        <f t="shared" si="115"/>
        <v>0</v>
      </c>
      <c r="H93" s="8">
        <f t="shared" si="115"/>
        <v>0</v>
      </c>
      <c r="I93" s="8">
        <f t="shared" si="115"/>
        <v>0</v>
      </c>
      <c r="J93" s="8"/>
      <c r="K93" s="8">
        <f t="shared" si="115"/>
        <v>0</v>
      </c>
      <c r="L93" s="8">
        <f t="shared" si="115"/>
        <v>0</v>
      </c>
      <c r="M93" s="238" t="s">
        <v>480</v>
      </c>
      <c r="N93" s="8">
        <f t="shared" ref="N93:N100" si="116">SUM(0)</f>
        <v>0</v>
      </c>
      <c r="O93" s="8">
        <f t="shared" ref="O93:O100" si="117">SUM(A93:L93)</f>
        <v>0</v>
      </c>
      <c r="P93" s="8">
        <f t="shared" si="88"/>
        <v>0</v>
      </c>
      <c r="Q93" s="8">
        <v>0</v>
      </c>
      <c r="R93" s="8">
        <f t="shared" ref="R93:R100" si="118">Q93-P93</f>
        <v>0</v>
      </c>
      <c r="S93" s="8"/>
      <c r="T93" s="8"/>
      <c r="U93" s="8">
        <f t="shared" si="91"/>
        <v>0</v>
      </c>
      <c r="V93" s="8">
        <f t="shared" si="89"/>
        <v>0</v>
      </c>
      <c r="W93" s="8"/>
      <c r="X93" s="158">
        <f t="shared" si="92"/>
        <v>0</v>
      </c>
      <c r="Z93" s="182"/>
      <c r="AA93" s="182"/>
    </row>
    <row r="94" spans="1:27" x14ac:dyDescent="0.3">
      <c r="A94" s="7">
        <f>$Q$94/12</f>
        <v>0</v>
      </c>
      <c r="B94" s="7">
        <f t="shared" ref="B94:L94" si="119">$Q$94/12</f>
        <v>0</v>
      </c>
      <c r="C94" s="7">
        <f t="shared" si="119"/>
        <v>0</v>
      </c>
      <c r="D94" s="7">
        <f t="shared" si="119"/>
        <v>0</v>
      </c>
      <c r="E94" s="7">
        <f t="shared" si="119"/>
        <v>0</v>
      </c>
      <c r="F94" s="7">
        <f t="shared" si="119"/>
        <v>0</v>
      </c>
      <c r="G94" s="7">
        <f t="shared" si="119"/>
        <v>0</v>
      </c>
      <c r="H94" s="7">
        <f t="shared" si="119"/>
        <v>0</v>
      </c>
      <c r="I94" s="7">
        <f t="shared" si="119"/>
        <v>0</v>
      </c>
      <c r="J94" s="7"/>
      <c r="K94" s="7">
        <f t="shared" si="119"/>
        <v>0</v>
      </c>
      <c r="L94" s="7">
        <f t="shared" si="119"/>
        <v>0</v>
      </c>
      <c r="M94" s="13" t="s">
        <v>481</v>
      </c>
      <c r="N94" s="7">
        <f t="shared" si="116"/>
        <v>0</v>
      </c>
      <c r="O94" s="7">
        <f t="shared" si="117"/>
        <v>0</v>
      </c>
      <c r="P94" s="7">
        <f t="shared" si="88"/>
        <v>0</v>
      </c>
      <c r="Q94" s="7">
        <v>0</v>
      </c>
      <c r="R94" s="7">
        <f t="shared" si="118"/>
        <v>0</v>
      </c>
      <c r="S94" s="7"/>
      <c r="T94" s="7"/>
      <c r="U94" s="7">
        <f t="shared" si="91"/>
        <v>0</v>
      </c>
      <c r="V94" s="7">
        <f t="shared" si="89"/>
        <v>0</v>
      </c>
      <c r="W94" s="7"/>
      <c r="X94" s="159">
        <f t="shared" si="92"/>
        <v>0</v>
      </c>
      <c r="Z94" s="182"/>
      <c r="AA94" s="182"/>
    </row>
    <row r="95" spans="1:27" x14ac:dyDescent="0.3">
      <c r="A95" s="7">
        <f>$Q$95/12</f>
        <v>0</v>
      </c>
      <c r="B95" s="7">
        <f t="shared" ref="B95:L95" si="120">$Q$95/12</f>
        <v>0</v>
      </c>
      <c r="C95" s="7">
        <f t="shared" si="120"/>
        <v>0</v>
      </c>
      <c r="D95" s="7">
        <f t="shared" si="120"/>
        <v>0</v>
      </c>
      <c r="E95" s="7">
        <f t="shared" si="120"/>
        <v>0</v>
      </c>
      <c r="F95" s="7">
        <f t="shared" si="120"/>
        <v>0</v>
      </c>
      <c r="G95" s="7">
        <f t="shared" si="120"/>
        <v>0</v>
      </c>
      <c r="H95" s="7">
        <f t="shared" si="120"/>
        <v>0</v>
      </c>
      <c r="I95" s="7">
        <f t="shared" si="120"/>
        <v>0</v>
      </c>
      <c r="J95" s="7"/>
      <c r="K95" s="7">
        <f t="shared" si="120"/>
        <v>0</v>
      </c>
      <c r="L95" s="7">
        <f t="shared" si="120"/>
        <v>0</v>
      </c>
      <c r="M95" s="13" t="s">
        <v>482</v>
      </c>
      <c r="N95" s="7">
        <f t="shared" si="116"/>
        <v>0</v>
      </c>
      <c r="O95" s="7">
        <f t="shared" si="117"/>
        <v>0</v>
      </c>
      <c r="P95" s="7">
        <f t="shared" si="88"/>
        <v>0</v>
      </c>
      <c r="Q95" s="7">
        <v>0</v>
      </c>
      <c r="R95" s="7">
        <f t="shared" si="118"/>
        <v>0</v>
      </c>
      <c r="S95" s="7"/>
      <c r="T95" s="7"/>
      <c r="U95" s="7">
        <f t="shared" si="91"/>
        <v>0</v>
      </c>
      <c r="V95" s="7">
        <f t="shared" si="89"/>
        <v>0</v>
      </c>
      <c r="W95" s="7"/>
      <c r="X95" s="159">
        <f t="shared" si="92"/>
        <v>0</v>
      </c>
      <c r="Z95" s="182"/>
      <c r="AA95" s="182"/>
    </row>
    <row r="96" spans="1:27" x14ac:dyDescent="0.3">
      <c r="A96" s="7">
        <f>$Q$96/12</f>
        <v>0</v>
      </c>
      <c r="B96" s="7">
        <f t="shared" ref="B96:L96" si="121">$Q$96/12</f>
        <v>0</v>
      </c>
      <c r="C96" s="7">
        <f t="shared" si="121"/>
        <v>0</v>
      </c>
      <c r="D96" s="7">
        <f t="shared" si="121"/>
        <v>0</v>
      </c>
      <c r="E96" s="7">
        <f t="shared" si="121"/>
        <v>0</v>
      </c>
      <c r="F96" s="7">
        <f t="shared" si="121"/>
        <v>0</v>
      </c>
      <c r="G96" s="7">
        <f t="shared" si="121"/>
        <v>0</v>
      </c>
      <c r="H96" s="7">
        <f t="shared" si="121"/>
        <v>0</v>
      </c>
      <c r="I96" s="7">
        <f t="shared" si="121"/>
        <v>0</v>
      </c>
      <c r="J96" s="7"/>
      <c r="K96" s="7">
        <f t="shared" si="121"/>
        <v>0</v>
      </c>
      <c r="L96" s="7">
        <f t="shared" si="121"/>
        <v>0</v>
      </c>
      <c r="M96" s="13" t="s">
        <v>483</v>
      </c>
      <c r="N96" s="7">
        <f t="shared" si="116"/>
        <v>0</v>
      </c>
      <c r="O96" s="7">
        <f t="shared" si="117"/>
        <v>0</v>
      </c>
      <c r="P96" s="7">
        <f t="shared" si="88"/>
        <v>0</v>
      </c>
      <c r="Q96" s="7">
        <v>0</v>
      </c>
      <c r="R96" s="7">
        <f t="shared" si="118"/>
        <v>0</v>
      </c>
      <c r="S96" s="7"/>
      <c r="T96" s="7"/>
      <c r="U96" s="7">
        <f t="shared" si="91"/>
        <v>0</v>
      </c>
      <c r="V96" s="7">
        <f t="shared" si="89"/>
        <v>0</v>
      </c>
      <c r="W96" s="7"/>
      <c r="X96" s="159">
        <f t="shared" si="92"/>
        <v>0</v>
      </c>
      <c r="Z96" s="182"/>
      <c r="AA96" s="182"/>
    </row>
    <row r="97" spans="1:27" x14ac:dyDescent="0.3">
      <c r="A97" s="7">
        <f>$Q$97/12</f>
        <v>0</v>
      </c>
      <c r="B97" s="7">
        <f t="shared" ref="B97:L97" si="122">$Q$97/12</f>
        <v>0</v>
      </c>
      <c r="C97" s="7">
        <f t="shared" si="122"/>
        <v>0</v>
      </c>
      <c r="D97" s="7">
        <f t="shared" si="122"/>
        <v>0</v>
      </c>
      <c r="E97" s="7">
        <f t="shared" si="122"/>
        <v>0</v>
      </c>
      <c r="F97" s="7">
        <f t="shared" si="122"/>
        <v>0</v>
      </c>
      <c r="G97" s="7">
        <f t="shared" si="122"/>
        <v>0</v>
      </c>
      <c r="H97" s="7">
        <f t="shared" si="122"/>
        <v>0</v>
      </c>
      <c r="I97" s="7">
        <f t="shared" si="122"/>
        <v>0</v>
      </c>
      <c r="J97" s="7"/>
      <c r="K97" s="7">
        <f t="shared" si="122"/>
        <v>0</v>
      </c>
      <c r="L97" s="7">
        <f t="shared" si="122"/>
        <v>0</v>
      </c>
      <c r="M97" s="13" t="s">
        <v>484</v>
      </c>
      <c r="N97" s="7">
        <f t="shared" si="116"/>
        <v>0</v>
      </c>
      <c r="O97" s="7">
        <f t="shared" si="117"/>
        <v>0</v>
      </c>
      <c r="P97" s="7">
        <f t="shared" si="88"/>
        <v>0</v>
      </c>
      <c r="Q97" s="7">
        <v>0</v>
      </c>
      <c r="R97" s="7">
        <f t="shared" si="118"/>
        <v>0</v>
      </c>
      <c r="S97" s="7"/>
      <c r="T97" s="7"/>
      <c r="U97" s="7">
        <f t="shared" si="91"/>
        <v>0</v>
      </c>
      <c r="V97" s="7">
        <f t="shared" si="89"/>
        <v>0</v>
      </c>
      <c r="W97" s="7"/>
      <c r="X97" s="159">
        <f t="shared" si="92"/>
        <v>0</v>
      </c>
      <c r="Z97" s="182"/>
      <c r="AA97" s="182"/>
    </row>
    <row r="98" spans="1:27" x14ac:dyDescent="0.3">
      <c r="A98" s="7">
        <f>$Q$98/12</f>
        <v>0</v>
      </c>
      <c r="B98" s="7">
        <f t="shared" ref="B98:L98" si="123">$Q$98/12</f>
        <v>0</v>
      </c>
      <c r="C98" s="7">
        <f t="shared" si="123"/>
        <v>0</v>
      </c>
      <c r="D98" s="7">
        <f t="shared" si="123"/>
        <v>0</v>
      </c>
      <c r="E98" s="7">
        <f t="shared" si="123"/>
        <v>0</v>
      </c>
      <c r="F98" s="7">
        <f t="shared" si="123"/>
        <v>0</v>
      </c>
      <c r="G98" s="7">
        <f t="shared" si="123"/>
        <v>0</v>
      </c>
      <c r="H98" s="7">
        <f t="shared" si="123"/>
        <v>0</v>
      </c>
      <c r="I98" s="7">
        <f t="shared" si="123"/>
        <v>0</v>
      </c>
      <c r="J98" s="7"/>
      <c r="K98" s="7">
        <f t="shared" si="123"/>
        <v>0</v>
      </c>
      <c r="L98" s="7">
        <f t="shared" si="123"/>
        <v>0</v>
      </c>
      <c r="M98" s="13" t="s">
        <v>485</v>
      </c>
      <c r="N98" s="7">
        <f t="shared" si="116"/>
        <v>0</v>
      </c>
      <c r="O98" s="7">
        <f t="shared" si="117"/>
        <v>0</v>
      </c>
      <c r="P98" s="7">
        <f t="shared" si="88"/>
        <v>0</v>
      </c>
      <c r="Q98" s="7">
        <v>0</v>
      </c>
      <c r="R98" s="7">
        <f t="shared" si="118"/>
        <v>0</v>
      </c>
      <c r="S98" s="7"/>
      <c r="T98" s="7"/>
      <c r="U98" s="7">
        <f t="shared" si="91"/>
        <v>0</v>
      </c>
      <c r="V98" s="7">
        <f t="shared" si="89"/>
        <v>0</v>
      </c>
      <c r="W98" s="7"/>
      <c r="X98" s="159">
        <f>IFERROR(N98/Q98,0)</f>
        <v>0</v>
      </c>
      <c r="Z98" s="182"/>
      <c r="AA98" s="182"/>
    </row>
    <row r="99" spans="1:27" x14ac:dyDescent="0.3">
      <c r="A99" s="7">
        <f>$Q$99/12</f>
        <v>0</v>
      </c>
      <c r="B99" s="7">
        <f t="shared" ref="B99:L99" si="124">$Q$99/12</f>
        <v>0</v>
      </c>
      <c r="C99" s="7">
        <f t="shared" si="124"/>
        <v>0</v>
      </c>
      <c r="D99" s="7">
        <f t="shared" si="124"/>
        <v>0</v>
      </c>
      <c r="E99" s="7">
        <f t="shared" si="124"/>
        <v>0</v>
      </c>
      <c r="F99" s="7">
        <f t="shared" si="124"/>
        <v>0</v>
      </c>
      <c r="G99" s="7">
        <f t="shared" si="124"/>
        <v>0</v>
      </c>
      <c r="H99" s="7">
        <f t="shared" si="124"/>
        <v>0</v>
      </c>
      <c r="I99" s="7">
        <f t="shared" si="124"/>
        <v>0</v>
      </c>
      <c r="J99" s="7"/>
      <c r="K99" s="7">
        <f t="shared" si="124"/>
        <v>0</v>
      </c>
      <c r="L99" s="7">
        <f t="shared" si="124"/>
        <v>0</v>
      </c>
      <c r="M99" s="13" t="s">
        <v>486</v>
      </c>
      <c r="N99" s="7">
        <f t="shared" si="116"/>
        <v>0</v>
      </c>
      <c r="O99" s="7">
        <f t="shared" si="117"/>
        <v>0</v>
      </c>
      <c r="P99" s="7">
        <f t="shared" si="88"/>
        <v>0</v>
      </c>
      <c r="Q99" s="7">
        <v>0</v>
      </c>
      <c r="R99" s="7">
        <f t="shared" si="118"/>
        <v>0</v>
      </c>
      <c r="S99" s="7"/>
      <c r="T99" s="7"/>
      <c r="U99" s="7">
        <f t="shared" si="91"/>
        <v>0</v>
      </c>
      <c r="V99" s="7">
        <f t="shared" si="89"/>
        <v>0</v>
      </c>
      <c r="W99" s="7"/>
      <c r="X99" s="159">
        <f t="shared" si="92"/>
        <v>0</v>
      </c>
      <c r="Z99" s="182"/>
      <c r="AA99" s="182"/>
    </row>
    <row r="100" spans="1:27" x14ac:dyDescent="0.3">
      <c r="A100" s="11">
        <f>$Q$100/12</f>
        <v>0</v>
      </c>
      <c r="B100" s="11">
        <f t="shared" ref="B100:L100" si="125">$Q$100/12</f>
        <v>0</v>
      </c>
      <c r="C100" s="11">
        <f t="shared" si="125"/>
        <v>0</v>
      </c>
      <c r="D100" s="11">
        <f t="shared" si="125"/>
        <v>0</v>
      </c>
      <c r="E100" s="11">
        <f t="shared" si="125"/>
        <v>0</v>
      </c>
      <c r="F100" s="11">
        <f t="shared" si="125"/>
        <v>0</v>
      </c>
      <c r="G100" s="11">
        <f t="shared" si="125"/>
        <v>0</v>
      </c>
      <c r="H100" s="11">
        <f t="shared" si="125"/>
        <v>0</v>
      </c>
      <c r="I100" s="11">
        <f t="shared" si="125"/>
        <v>0</v>
      </c>
      <c r="J100" s="11"/>
      <c r="K100" s="11">
        <f t="shared" si="125"/>
        <v>0</v>
      </c>
      <c r="L100" s="11">
        <f t="shared" si="125"/>
        <v>0</v>
      </c>
      <c r="M100" s="238" t="s">
        <v>487</v>
      </c>
      <c r="N100" s="11">
        <f t="shared" si="116"/>
        <v>0</v>
      </c>
      <c r="O100" s="11">
        <f t="shared" si="117"/>
        <v>0</v>
      </c>
      <c r="P100" s="11">
        <f t="shared" si="88"/>
        <v>0</v>
      </c>
      <c r="Q100" s="11">
        <v>0</v>
      </c>
      <c r="R100" s="11">
        <f t="shared" si="118"/>
        <v>0</v>
      </c>
      <c r="S100" s="11"/>
      <c r="T100" s="11"/>
      <c r="U100" s="11">
        <f t="shared" si="91"/>
        <v>0</v>
      </c>
      <c r="V100" s="11">
        <f t="shared" si="89"/>
        <v>0</v>
      </c>
      <c r="W100" s="11"/>
      <c r="X100" s="160">
        <f t="shared" si="92"/>
        <v>0</v>
      </c>
      <c r="Z100" s="182"/>
      <c r="AA100" s="182"/>
    </row>
    <row r="101" spans="1:27" ht="15" thickBot="1" x14ac:dyDescent="0.35">
      <c r="A101" s="89"/>
      <c r="B101" s="89"/>
      <c r="C101" s="89"/>
      <c r="D101" s="90"/>
      <c r="E101" s="91"/>
      <c r="F101" s="91"/>
      <c r="G101" s="91"/>
      <c r="H101" s="91"/>
      <c r="I101" s="91"/>
      <c r="J101" s="91"/>
      <c r="K101" s="92"/>
      <c r="L101" s="92"/>
      <c r="M101" s="13"/>
      <c r="N101" s="91">
        <f t="shared" si="109"/>
        <v>0</v>
      </c>
      <c r="O101" s="91">
        <f t="shared" si="110"/>
        <v>0</v>
      </c>
      <c r="P101" s="91">
        <f t="shared" si="88"/>
        <v>0</v>
      </c>
      <c r="Q101" s="89"/>
      <c r="R101" s="89"/>
      <c r="S101" s="89"/>
      <c r="T101" s="89"/>
      <c r="U101" s="89">
        <f t="shared" si="91"/>
        <v>0</v>
      </c>
      <c r="V101" s="89">
        <f t="shared" si="89"/>
        <v>0</v>
      </c>
      <c r="W101" s="89"/>
      <c r="X101" s="207"/>
      <c r="Z101" s="182"/>
      <c r="AA101" s="182"/>
    </row>
    <row r="102" spans="1:27" x14ac:dyDescent="0.3">
      <c r="A102" s="4">
        <f>SUM(A93:A100)</f>
        <v>0</v>
      </c>
      <c r="B102" s="4">
        <f t="shared" ref="B102:L102" si="126">SUM(B93:B100)</f>
        <v>0</v>
      </c>
      <c r="C102" s="4">
        <f t="shared" si="126"/>
        <v>0</v>
      </c>
      <c r="D102" s="4">
        <f t="shared" si="126"/>
        <v>0</v>
      </c>
      <c r="E102" s="4">
        <f t="shared" si="126"/>
        <v>0</v>
      </c>
      <c r="F102" s="4">
        <f t="shared" si="126"/>
        <v>0</v>
      </c>
      <c r="G102" s="4">
        <f t="shared" si="126"/>
        <v>0</v>
      </c>
      <c r="H102" s="4">
        <f t="shared" si="126"/>
        <v>0</v>
      </c>
      <c r="I102" s="4">
        <f t="shared" si="126"/>
        <v>0</v>
      </c>
      <c r="J102" s="4">
        <f t="shared" si="126"/>
        <v>0</v>
      </c>
      <c r="K102" s="4">
        <f t="shared" si="126"/>
        <v>0</v>
      </c>
      <c r="L102" s="4">
        <f t="shared" si="126"/>
        <v>0</v>
      </c>
      <c r="M102" s="13" t="s">
        <v>166</v>
      </c>
      <c r="N102" s="4">
        <f t="shared" ref="N102:O102" si="127">SUM(N93:N100)</f>
        <v>0</v>
      </c>
      <c r="O102" s="4">
        <f t="shared" si="127"/>
        <v>0</v>
      </c>
      <c r="P102" s="4">
        <f t="shared" ref="P102:Q102" si="128">SUM(P93:P100)</f>
        <v>0</v>
      </c>
      <c r="Q102" s="4">
        <f t="shared" si="128"/>
        <v>0</v>
      </c>
      <c r="R102" s="4">
        <f t="shared" ref="R102:W102" si="129">SUM(R93:R100)</f>
        <v>0</v>
      </c>
      <c r="S102" s="4"/>
      <c r="T102" s="4">
        <f t="shared" si="129"/>
        <v>0</v>
      </c>
      <c r="U102" s="4">
        <f t="shared" si="129"/>
        <v>0</v>
      </c>
      <c r="V102" s="4">
        <f t="shared" si="89"/>
        <v>0</v>
      </c>
      <c r="W102" s="4">
        <f t="shared" si="129"/>
        <v>0</v>
      </c>
      <c r="X102" s="162">
        <f t="shared" si="92"/>
        <v>0</v>
      </c>
      <c r="Z102" s="182"/>
      <c r="AA102" s="182"/>
    </row>
    <row r="103" spans="1:27" x14ac:dyDescent="0.3">
      <c r="A103" s="81"/>
      <c r="B103" s="81"/>
      <c r="C103" s="81"/>
      <c r="D103" s="82"/>
      <c r="E103" s="86"/>
      <c r="F103" s="86"/>
      <c r="G103" s="86"/>
      <c r="H103" s="87"/>
      <c r="I103" s="87"/>
      <c r="J103" s="87"/>
      <c r="K103" s="84"/>
      <c r="L103" s="84"/>
      <c r="M103" s="80"/>
      <c r="N103" s="86">
        <f t="shared" si="109"/>
        <v>0</v>
      </c>
      <c r="O103" s="86">
        <f t="shared" si="110"/>
        <v>0</v>
      </c>
      <c r="P103" s="86">
        <f t="shared" si="88"/>
        <v>0</v>
      </c>
      <c r="Q103" s="81"/>
      <c r="R103" s="81"/>
      <c r="S103" s="81"/>
      <c r="T103" s="81"/>
      <c r="U103" s="81">
        <f t="shared" si="91"/>
        <v>0</v>
      </c>
      <c r="V103" s="81">
        <f t="shared" si="89"/>
        <v>0</v>
      </c>
      <c r="W103" s="81"/>
      <c r="X103" s="204"/>
      <c r="Z103" s="182"/>
      <c r="AA103" s="182"/>
    </row>
    <row r="104" spans="1:27" x14ac:dyDescent="0.3">
      <c r="A104" s="8">
        <f>$Q$104/12</f>
        <v>0</v>
      </c>
      <c r="B104" s="8">
        <f t="shared" ref="B104:L104" si="130">$Q$104/12</f>
        <v>0</v>
      </c>
      <c r="C104" s="8">
        <f t="shared" si="130"/>
        <v>0</v>
      </c>
      <c r="D104" s="8">
        <f t="shared" si="130"/>
        <v>0</v>
      </c>
      <c r="E104" s="8">
        <f t="shared" si="130"/>
        <v>0</v>
      </c>
      <c r="F104" s="8">
        <f t="shared" si="130"/>
        <v>0</v>
      </c>
      <c r="G104" s="8">
        <f t="shared" si="130"/>
        <v>0</v>
      </c>
      <c r="H104" s="8">
        <f t="shared" si="130"/>
        <v>0</v>
      </c>
      <c r="I104" s="8">
        <f t="shared" si="130"/>
        <v>0</v>
      </c>
      <c r="J104" s="8"/>
      <c r="K104" s="8">
        <f t="shared" si="130"/>
        <v>0</v>
      </c>
      <c r="L104" s="8">
        <f t="shared" si="130"/>
        <v>0</v>
      </c>
      <c r="M104" s="238" t="s">
        <v>488</v>
      </c>
      <c r="N104" s="8">
        <f t="shared" ref="N104:N106" si="131">SUM(0)</f>
        <v>0</v>
      </c>
      <c r="O104" s="8">
        <f t="shared" ref="O104:O106" si="132">SUM(A104:L104)</f>
        <v>0</v>
      </c>
      <c r="P104" s="8">
        <f t="shared" si="88"/>
        <v>0</v>
      </c>
      <c r="Q104" s="8">
        <v>0</v>
      </c>
      <c r="R104" s="8">
        <f t="shared" ref="R104:R106" si="133">Q104-P104</f>
        <v>0</v>
      </c>
      <c r="S104" s="8"/>
      <c r="T104" s="8"/>
      <c r="U104" s="8">
        <f t="shared" si="91"/>
        <v>0</v>
      </c>
      <c r="V104" s="8">
        <f t="shared" si="89"/>
        <v>0</v>
      </c>
      <c r="W104" s="8"/>
      <c r="X104" s="158">
        <f t="shared" si="92"/>
        <v>0</v>
      </c>
      <c r="Z104" s="182"/>
      <c r="AA104" s="182"/>
    </row>
    <row r="105" spans="1:27" x14ac:dyDescent="0.3">
      <c r="A105" s="7">
        <f>$Q$105/12</f>
        <v>0</v>
      </c>
      <c r="B105" s="7">
        <f t="shared" ref="B105:L105" si="134">$Q$105/12</f>
        <v>0</v>
      </c>
      <c r="C105" s="7">
        <f t="shared" si="134"/>
        <v>0</v>
      </c>
      <c r="D105" s="7">
        <f t="shared" si="134"/>
        <v>0</v>
      </c>
      <c r="E105" s="7">
        <f t="shared" si="134"/>
        <v>0</v>
      </c>
      <c r="F105" s="7">
        <f t="shared" si="134"/>
        <v>0</v>
      </c>
      <c r="G105" s="7">
        <f t="shared" si="134"/>
        <v>0</v>
      </c>
      <c r="H105" s="7">
        <f t="shared" si="134"/>
        <v>0</v>
      </c>
      <c r="I105" s="7">
        <f t="shared" si="134"/>
        <v>0</v>
      </c>
      <c r="J105" s="7"/>
      <c r="K105" s="7">
        <f t="shared" si="134"/>
        <v>0</v>
      </c>
      <c r="L105" s="7">
        <f t="shared" si="134"/>
        <v>0</v>
      </c>
      <c r="M105" s="13" t="s">
        <v>489</v>
      </c>
      <c r="N105" s="7">
        <f t="shared" si="131"/>
        <v>0</v>
      </c>
      <c r="O105" s="7">
        <f t="shared" si="132"/>
        <v>0</v>
      </c>
      <c r="P105" s="7">
        <f t="shared" si="88"/>
        <v>0</v>
      </c>
      <c r="Q105" s="7">
        <v>0</v>
      </c>
      <c r="R105" s="7">
        <f t="shared" si="133"/>
        <v>0</v>
      </c>
      <c r="S105" s="7"/>
      <c r="T105" s="7"/>
      <c r="U105" s="7">
        <f t="shared" si="91"/>
        <v>0</v>
      </c>
      <c r="V105" s="7">
        <f t="shared" si="89"/>
        <v>0</v>
      </c>
      <c r="W105" s="7"/>
      <c r="X105" s="159">
        <f t="shared" si="92"/>
        <v>0</v>
      </c>
      <c r="Z105" s="182"/>
      <c r="AA105" s="182"/>
    </row>
    <row r="106" spans="1:27" x14ac:dyDescent="0.3">
      <c r="A106" s="11">
        <f>$Q$106/12</f>
        <v>0</v>
      </c>
      <c r="B106" s="11">
        <f t="shared" ref="B106:L106" si="135">$Q$106/12</f>
        <v>0</v>
      </c>
      <c r="C106" s="11">
        <f t="shared" si="135"/>
        <v>0</v>
      </c>
      <c r="D106" s="11">
        <f t="shared" si="135"/>
        <v>0</v>
      </c>
      <c r="E106" s="11">
        <f t="shared" si="135"/>
        <v>0</v>
      </c>
      <c r="F106" s="11">
        <f t="shared" si="135"/>
        <v>0</v>
      </c>
      <c r="G106" s="11">
        <f t="shared" si="135"/>
        <v>0</v>
      </c>
      <c r="H106" s="11">
        <f t="shared" si="135"/>
        <v>0</v>
      </c>
      <c r="I106" s="11">
        <f t="shared" si="135"/>
        <v>0</v>
      </c>
      <c r="J106" s="11"/>
      <c r="K106" s="11">
        <f t="shared" si="135"/>
        <v>0</v>
      </c>
      <c r="L106" s="11">
        <f t="shared" si="135"/>
        <v>0</v>
      </c>
      <c r="M106" s="13" t="s">
        <v>490</v>
      </c>
      <c r="N106" s="11">
        <f t="shared" si="131"/>
        <v>0</v>
      </c>
      <c r="O106" s="11">
        <f t="shared" si="132"/>
        <v>0</v>
      </c>
      <c r="P106" s="11">
        <f t="shared" si="88"/>
        <v>0</v>
      </c>
      <c r="Q106" s="11">
        <v>0</v>
      </c>
      <c r="R106" s="11">
        <f t="shared" si="133"/>
        <v>0</v>
      </c>
      <c r="S106" s="11"/>
      <c r="T106" s="11"/>
      <c r="U106" s="11">
        <f t="shared" si="91"/>
        <v>0</v>
      </c>
      <c r="V106" s="11">
        <f t="shared" si="89"/>
        <v>0</v>
      </c>
      <c r="W106" s="11"/>
      <c r="X106" s="160">
        <f t="shared" si="92"/>
        <v>0</v>
      </c>
      <c r="Z106" s="182"/>
      <c r="AA106" s="182"/>
    </row>
    <row r="107" spans="1:27" ht="15" thickBot="1" x14ac:dyDescent="0.35">
      <c r="A107" s="89"/>
      <c r="B107" s="89"/>
      <c r="C107" s="89"/>
      <c r="D107" s="90"/>
      <c r="E107" s="91"/>
      <c r="F107" s="91"/>
      <c r="G107" s="91"/>
      <c r="H107" s="91"/>
      <c r="I107" s="91"/>
      <c r="J107" s="91"/>
      <c r="K107" s="92"/>
      <c r="L107" s="92"/>
      <c r="M107" s="13"/>
      <c r="N107" s="91">
        <f t="shared" si="109"/>
        <v>0</v>
      </c>
      <c r="O107" s="91">
        <f t="shared" si="110"/>
        <v>0</v>
      </c>
      <c r="P107" s="91">
        <f t="shared" si="88"/>
        <v>0</v>
      </c>
      <c r="Q107" s="89"/>
      <c r="R107" s="89"/>
      <c r="S107" s="89"/>
      <c r="T107" s="89"/>
      <c r="U107" s="89">
        <f t="shared" si="91"/>
        <v>0</v>
      </c>
      <c r="V107" s="89">
        <f t="shared" si="89"/>
        <v>0</v>
      </c>
      <c r="W107" s="89"/>
      <c r="X107" s="207">
        <f t="shared" si="92"/>
        <v>0</v>
      </c>
      <c r="Z107" s="182"/>
      <c r="AA107" s="182"/>
    </row>
    <row r="108" spans="1:27" x14ac:dyDescent="0.3">
      <c r="A108" s="4">
        <f>SUM(A104:A106)</f>
        <v>0</v>
      </c>
      <c r="B108" s="4">
        <f t="shared" ref="B108:L108" si="136">SUM(B104:B106)</f>
        <v>0</v>
      </c>
      <c r="C108" s="4">
        <f t="shared" si="136"/>
        <v>0</v>
      </c>
      <c r="D108" s="4">
        <f t="shared" si="136"/>
        <v>0</v>
      </c>
      <c r="E108" s="4">
        <f t="shared" si="136"/>
        <v>0</v>
      </c>
      <c r="F108" s="4">
        <f t="shared" si="136"/>
        <v>0</v>
      </c>
      <c r="G108" s="4">
        <f t="shared" si="136"/>
        <v>0</v>
      </c>
      <c r="H108" s="4">
        <f t="shared" si="136"/>
        <v>0</v>
      </c>
      <c r="I108" s="4">
        <f t="shared" si="136"/>
        <v>0</v>
      </c>
      <c r="J108" s="4">
        <f t="shared" si="136"/>
        <v>0</v>
      </c>
      <c r="K108" s="4">
        <f t="shared" si="136"/>
        <v>0</v>
      </c>
      <c r="L108" s="4">
        <f t="shared" si="136"/>
        <v>0</v>
      </c>
      <c r="M108" s="13" t="s">
        <v>170</v>
      </c>
      <c r="N108" s="4">
        <f t="shared" ref="N108:O108" si="137">SUM(N104:N106)</f>
        <v>0</v>
      </c>
      <c r="O108" s="4">
        <f t="shared" si="137"/>
        <v>0</v>
      </c>
      <c r="P108" s="4">
        <f t="shared" ref="P108:Q108" si="138">SUM(P104:P106)</f>
        <v>0</v>
      </c>
      <c r="Q108" s="4">
        <f t="shared" si="138"/>
        <v>0</v>
      </c>
      <c r="R108" s="4">
        <f t="shared" ref="R108:W108" si="139">SUM(R104:R106)</f>
        <v>0</v>
      </c>
      <c r="S108" s="4"/>
      <c r="T108" s="4">
        <f t="shared" si="139"/>
        <v>0</v>
      </c>
      <c r="U108" s="4">
        <f t="shared" si="91"/>
        <v>0</v>
      </c>
      <c r="V108" s="4">
        <f t="shared" si="89"/>
        <v>0</v>
      </c>
      <c r="W108" s="4">
        <f t="shared" si="139"/>
        <v>0</v>
      </c>
      <c r="X108" s="162">
        <f t="shared" si="92"/>
        <v>0</v>
      </c>
      <c r="Z108" s="182"/>
      <c r="AA108" s="182"/>
    </row>
    <row r="109" spans="1:27" x14ac:dyDescent="0.3">
      <c r="A109" s="81"/>
      <c r="B109" s="81"/>
      <c r="C109" s="81"/>
      <c r="D109" s="82"/>
      <c r="E109" s="81"/>
      <c r="F109" s="81"/>
      <c r="G109" s="81"/>
      <c r="H109" s="87"/>
      <c r="I109" s="87"/>
      <c r="J109" s="87"/>
      <c r="K109" s="88"/>
      <c r="L109" s="88"/>
      <c r="M109" s="80"/>
      <c r="N109" s="81">
        <f t="shared" si="109"/>
        <v>0</v>
      </c>
      <c r="O109" s="81">
        <f t="shared" si="110"/>
        <v>0</v>
      </c>
      <c r="P109" s="81">
        <f t="shared" si="88"/>
        <v>0</v>
      </c>
      <c r="Q109" s="81"/>
      <c r="R109" s="81"/>
      <c r="S109" s="81"/>
      <c r="T109" s="81"/>
      <c r="U109" s="81">
        <f t="shared" si="91"/>
        <v>0</v>
      </c>
      <c r="V109" s="81">
        <f t="shared" si="89"/>
        <v>0</v>
      </c>
      <c r="W109" s="81"/>
      <c r="X109" s="204"/>
      <c r="Z109" s="182"/>
      <c r="AA109" s="182"/>
    </row>
    <row r="110" spans="1:27" x14ac:dyDescent="0.3">
      <c r="A110" s="4">
        <f>A28+A46+A65+A91+A102+A108</f>
        <v>0</v>
      </c>
      <c r="B110" s="4">
        <f t="shared" ref="B110:L110" si="140">B28+B46+B65+B91+B102+B108</f>
        <v>1977.576</v>
      </c>
      <c r="C110" s="4">
        <f t="shared" si="140"/>
        <v>0</v>
      </c>
      <c r="D110" s="4">
        <f t="shared" si="140"/>
        <v>1977.576</v>
      </c>
      <c r="E110" s="4">
        <f t="shared" si="140"/>
        <v>0</v>
      </c>
      <c r="F110" s="4">
        <f t="shared" si="140"/>
        <v>0</v>
      </c>
      <c r="G110" s="4">
        <f t="shared" si="140"/>
        <v>1977.576</v>
      </c>
      <c r="H110" s="4">
        <f t="shared" si="140"/>
        <v>1977.576</v>
      </c>
      <c r="I110" s="4">
        <f t="shared" si="140"/>
        <v>0</v>
      </c>
      <c r="J110" s="4">
        <f t="shared" si="140"/>
        <v>1977.576</v>
      </c>
      <c r="K110" s="4">
        <f t="shared" si="140"/>
        <v>0</v>
      </c>
      <c r="L110" s="4">
        <f t="shared" si="140"/>
        <v>1977.576</v>
      </c>
      <c r="M110" s="238" t="s">
        <v>171</v>
      </c>
      <c r="N110" s="4">
        <f t="shared" ref="N110:O110" si="141">N28+N46+N65+N91+N102+N108</f>
        <v>0</v>
      </c>
      <c r="O110" s="4">
        <f t="shared" si="141"/>
        <v>11865.456000000002</v>
      </c>
      <c r="P110" s="4">
        <f t="shared" ref="P110:Q110" si="142">P28+P46+P65+P91+P102+P108</f>
        <v>11865.456000000002</v>
      </c>
      <c r="Q110" s="4">
        <f t="shared" si="142"/>
        <v>11865.456000000002</v>
      </c>
      <c r="R110" s="4">
        <f t="shared" ref="R110:W110" si="143">R28+R46+R65+R91+R102+R108</f>
        <v>0</v>
      </c>
      <c r="S110" s="4"/>
      <c r="T110" s="4">
        <f t="shared" si="143"/>
        <v>5163.7524699999403</v>
      </c>
      <c r="U110" s="4">
        <f t="shared" si="143"/>
        <v>17029.208469999943</v>
      </c>
      <c r="V110" s="375">
        <f t="shared" si="89"/>
        <v>5163.7524699999412</v>
      </c>
      <c r="W110" s="4">
        <f t="shared" si="143"/>
        <v>0</v>
      </c>
      <c r="X110" s="162">
        <f>IFERROR(N110/Q110,0)</f>
        <v>0</v>
      </c>
      <c r="Z110" s="182"/>
      <c r="AA110" s="182"/>
    </row>
    <row r="111" spans="1:27" x14ac:dyDescent="0.3">
      <c r="A111" s="81"/>
      <c r="B111" s="81"/>
      <c r="C111" s="81"/>
      <c r="D111" s="82"/>
      <c r="E111" s="81"/>
      <c r="F111" s="81"/>
      <c r="G111" s="81"/>
      <c r="H111" s="87"/>
      <c r="I111" s="87"/>
      <c r="J111" s="87"/>
      <c r="K111" s="88"/>
      <c r="L111" s="88"/>
      <c r="M111" s="122"/>
      <c r="N111" s="81">
        <f t="shared" si="109"/>
        <v>0</v>
      </c>
      <c r="O111" s="81">
        <f t="shared" si="110"/>
        <v>0</v>
      </c>
      <c r="P111" s="81">
        <f t="shared" si="88"/>
        <v>0</v>
      </c>
      <c r="Q111" s="81"/>
      <c r="R111" s="81"/>
      <c r="S111" s="81"/>
      <c r="T111" s="81"/>
      <c r="U111" s="81">
        <f t="shared" si="91"/>
        <v>0</v>
      </c>
      <c r="V111" s="81">
        <f t="shared" si="89"/>
        <v>0</v>
      </c>
      <c r="W111" s="81"/>
      <c r="X111" s="204"/>
      <c r="Z111" s="182"/>
      <c r="AA111" s="182"/>
    </row>
    <row r="112" spans="1:27" x14ac:dyDescent="0.3">
      <c r="A112" s="4">
        <f>A18+A110</f>
        <v>0</v>
      </c>
      <c r="B112" s="4">
        <f t="shared" ref="B112:L112" si="144">B18+B110</f>
        <v>71519.601842973338</v>
      </c>
      <c r="C112" s="4">
        <f t="shared" si="144"/>
        <v>0</v>
      </c>
      <c r="D112" s="4">
        <f t="shared" si="144"/>
        <v>71519.601842973338</v>
      </c>
      <c r="E112" s="4">
        <f t="shared" si="144"/>
        <v>0</v>
      </c>
      <c r="F112" s="4">
        <f t="shared" si="144"/>
        <v>0</v>
      </c>
      <c r="G112" s="4">
        <f t="shared" si="144"/>
        <v>71519.601842973338</v>
      </c>
      <c r="H112" s="4">
        <f t="shared" si="144"/>
        <v>71519.601842973338</v>
      </c>
      <c r="I112" s="4">
        <f t="shared" si="144"/>
        <v>0</v>
      </c>
      <c r="J112" s="4">
        <f t="shared" si="144"/>
        <v>71519.601842973338</v>
      </c>
      <c r="K112" s="4">
        <f t="shared" si="144"/>
        <v>0</v>
      </c>
      <c r="L112" s="4">
        <f t="shared" si="144"/>
        <v>71519.601842973338</v>
      </c>
      <c r="M112" s="13" t="s">
        <v>240</v>
      </c>
      <c r="N112" s="4">
        <f t="shared" ref="N112:O112" si="145">N18+N110</f>
        <v>0</v>
      </c>
      <c r="O112" s="4">
        <f t="shared" si="145"/>
        <v>429117.61105784</v>
      </c>
      <c r="P112" s="4">
        <f t="shared" ref="P112:Q112" si="146">P18+P110</f>
        <v>429117.61105784</v>
      </c>
      <c r="Q112" s="4">
        <f t="shared" si="146"/>
        <v>429117.61105784</v>
      </c>
      <c r="R112" s="4">
        <f t="shared" ref="R112:W112" si="147">R18+R110</f>
        <v>0</v>
      </c>
      <c r="S112" s="4"/>
      <c r="T112" s="224">
        <f t="shared" ref="T112:U112" si="148">T28+T46+T65+T91+T102+T108+T18</f>
        <v>-8.1854523159563541E-12</v>
      </c>
      <c r="U112" s="224">
        <f t="shared" si="148"/>
        <v>429117.61105784</v>
      </c>
      <c r="V112" s="376">
        <f t="shared" si="89"/>
        <v>0</v>
      </c>
      <c r="W112" s="4">
        <f t="shared" si="147"/>
        <v>0</v>
      </c>
      <c r="X112" s="162">
        <f t="shared" si="92"/>
        <v>0</v>
      </c>
      <c r="Z112" s="182"/>
      <c r="AA112" s="182"/>
    </row>
    <row r="113" spans="1:27" x14ac:dyDescent="0.3">
      <c r="A113" s="81"/>
      <c r="B113" s="81"/>
      <c r="C113" s="81"/>
      <c r="D113" s="82"/>
      <c r="E113" s="81"/>
      <c r="F113" s="81"/>
      <c r="G113" s="81"/>
      <c r="H113" s="87"/>
      <c r="I113" s="87"/>
      <c r="J113" s="87"/>
      <c r="K113" s="88"/>
      <c r="L113" s="88"/>
      <c r="M113" s="122"/>
      <c r="N113" s="81">
        <f t="shared" si="109"/>
        <v>0</v>
      </c>
      <c r="O113" s="81">
        <f t="shared" si="110"/>
        <v>0</v>
      </c>
      <c r="P113" s="81">
        <f t="shared" si="88"/>
        <v>0</v>
      </c>
      <c r="Q113" s="81"/>
      <c r="R113" s="81"/>
      <c r="S113" s="81"/>
      <c r="T113" s="81"/>
      <c r="U113" s="81">
        <f t="shared" si="91"/>
        <v>0</v>
      </c>
      <c r="V113" s="81">
        <f t="shared" si="89"/>
        <v>0</v>
      </c>
      <c r="W113" s="81"/>
      <c r="X113" s="204"/>
      <c r="Z113" s="182"/>
      <c r="AA113" s="182"/>
    </row>
    <row r="114" spans="1:27" x14ac:dyDescent="0.3">
      <c r="A114" s="8">
        <f>$Q$114/12</f>
        <v>0</v>
      </c>
      <c r="B114" s="8">
        <f t="shared" ref="B114:L114" si="149">$Q$114/12</f>
        <v>0</v>
      </c>
      <c r="C114" s="8">
        <f t="shared" si="149"/>
        <v>0</v>
      </c>
      <c r="D114" s="8">
        <f t="shared" si="149"/>
        <v>0</v>
      </c>
      <c r="E114" s="8">
        <f t="shared" si="149"/>
        <v>0</v>
      </c>
      <c r="F114" s="8">
        <f t="shared" si="149"/>
        <v>0</v>
      </c>
      <c r="G114" s="8">
        <f t="shared" si="149"/>
        <v>0</v>
      </c>
      <c r="H114" s="8">
        <f t="shared" si="149"/>
        <v>0</v>
      </c>
      <c r="I114" s="8">
        <f t="shared" si="149"/>
        <v>0</v>
      </c>
      <c r="J114" s="8"/>
      <c r="K114" s="8">
        <f t="shared" si="149"/>
        <v>0</v>
      </c>
      <c r="L114" s="8">
        <f t="shared" si="149"/>
        <v>0</v>
      </c>
      <c r="M114" s="238" t="s">
        <v>491</v>
      </c>
      <c r="N114" s="8">
        <f t="shared" ref="N114:N125" si="150">SUM(0)</f>
        <v>0</v>
      </c>
      <c r="O114" s="8">
        <f t="shared" ref="O114:O125" si="151">SUM(A114:L114)</f>
        <v>0</v>
      </c>
      <c r="P114" s="8">
        <f t="shared" si="88"/>
        <v>0</v>
      </c>
      <c r="Q114" s="8">
        <v>0</v>
      </c>
      <c r="R114" s="8">
        <f t="shared" ref="R114:R125" si="152">Q114-P114</f>
        <v>0</v>
      </c>
      <c r="S114" s="8"/>
      <c r="T114" s="8"/>
      <c r="U114" s="8">
        <f t="shared" si="91"/>
        <v>0</v>
      </c>
      <c r="V114" s="8">
        <f t="shared" si="89"/>
        <v>0</v>
      </c>
      <c r="W114" s="8"/>
      <c r="X114" s="158">
        <f t="shared" si="92"/>
        <v>0</v>
      </c>
      <c r="Z114" s="182"/>
      <c r="AA114" s="182"/>
    </row>
    <row r="115" spans="1:27" x14ac:dyDescent="0.3">
      <c r="A115" s="7">
        <f>$Q$115/12</f>
        <v>0</v>
      </c>
      <c r="B115" s="7">
        <f t="shared" ref="B115:L115" si="153">$Q$115/12</f>
        <v>0</v>
      </c>
      <c r="C115" s="7">
        <f t="shared" si="153"/>
        <v>0</v>
      </c>
      <c r="D115" s="7">
        <f t="shared" si="153"/>
        <v>0</v>
      </c>
      <c r="E115" s="7">
        <f t="shared" si="153"/>
        <v>0</v>
      </c>
      <c r="F115" s="7">
        <f t="shared" si="153"/>
        <v>0</v>
      </c>
      <c r="G115" s="7">
        <f t="shared" si="153"/>
        <v>0</v>
      </c>
      <c r="H115" s="7">
        <f t="shared" si="153"/>
        <v>0</v>
      </c>
      <c r="I115" s="7">
        <f t="shared" si="153"/>
        <v>0</v>
      </c>
      <c r="J115" s="7"/>
      <c r="K115" s="7">
        <f t="shared" si="153"/>
        <v>0</v>
      </c>
      <c r="L115" s="7">
        <f t="shared" si="153"/>
        <v>0</v>
      </c>
      <c r="M115" s="13" t="s">
        <v>492</v>
      </c>
      <c r="N115" s="7">
        <f t="shared" si="150"/>
        <v>0</v>
      </c>
      <c r="O115" s="7">
        <f t="shared" si="151"/>
        <v>0</v>
      </c>
      <c r="P115" s="7">
        <f t="shared" si="88"/>
        <v>0</v>
      </c>
      <c r="Q115" s="7">
        <v>0</v>
      </c>
      <c r="R115" s="7">
        <f t="shared" si="152"/>
        <v>0</v>
      </c>
      <c r="S115" s="7"/>
      <c r="T115" s="7"/>
      <c r="U115" s="7">
        <f t="shared" si="91"/>
        <v>0</v>
      </c>
      <c r="V115" s="7">
        <f t="shared" si="89"/>
        <v>0</v>
      </c>
      <c r="W115" s="7"/>
      <c r="X115" s="159">
        <f t="shared" si="92"/>
        <v>0</v>
      </c>
      <c r="Z115" s="182"/>
      <c r="AA115" s="182"/>
    </row>
    <row r="116" spans="1:27" x14ac:dyDescent="0.3">
      <c r="A116" s="7">
        <f>$Q$116/12</f>
        <v>0</v>
      </c>
      <c r="B116" s="7">
        <f t="shared" ref="B116:L116" si="154">$Q$116/12</f>
        <v>0</v>
      </c>
      <c r="C116" s="7">
        <f t="shared" si="154"/>
        <v>0</v>
      </c>
      <c r="D116" s="7">
        <f t="shared" si="154"/>
        <v>0</v>
      </c>
      <c r="E116" s="7">
        <f t="shared" si="154"/>
        <v>0</v>
      </c>
      <c r="F116" s="7">
        <f t="shared" si="154"/>
        <v>0</v>
      </c>
      <c r="G116" s="7">
        <f t="shared" si="154"/>
        <v>0</v>
      </c>
      <c r="H116" s="7">
        <f t="shared" si="154"/>
        <v>0</v>
      </c>
      <c r="I116" s="7">
        <f t="shared" si="154"/>
        <v>0</v>
      </c>
      <c r="J116" s="7"/>
      <c r="K116" s="7">
        <f t="shared" si="154"/>
        <v>0</v>
      </c>
      <c r="L116" s="7">
        <f t="shared" si="154"/>
        <v>0</v>
      </c>
      <c r="M116" s="13" t="s">
        <v>493</v>
      </c>
      <c r="N116" s="7">
        <f t="shared" si="150"/>
        <v>0</v>
      </c>
      <c r="O116" s="7">
        <f t="shared" si="151"/>
        <v>0</v>
      </c>
      <c r="P116" s="7">
        <f t="shared" si="88"/>
        <v>0</v>
      </c>
      <c r="Q116" s="7">
        <v>0</v>
      </c>
      <c r="R116" s="7">
        <f t="shared" si="152"/>
        <v>0</v>
      </c>
      <c r="S116" s="7"/>
      <c r="T116" s="7"/>
      <c r="U116" s="7">
        <f t="shared" si="91"/>
        <v>0</v>
      </c>
      <c r="V116" s="7">
        <f t="shared" si="89"/>
        <v>0</v>
      </c>
      <c r="W116" s="7"/>
      <c r="X116" s="159">
        <f t="shared" si="92"/>
        <v>0</v>
      </c>
      <c r="Z116" s="182"/>
      <c r="AA116" s="182"/>
    </row>
    <row r="117" spans="1:27" x14ac:dyDescent="0.3">
      <c r="A117" s="7">
        <f>$Q$117/12</f>
        <v>0</v>
      </c>
      <c r="B117" s="7">
        <f t="shared" ref="B117:L117" si="155">$Q$117/12</f>
        <v>0</v>
      </c>
      <c r="C117" s="7">
        <f t="shared" si="155"/>
        <v>0</v>
      </c>
      <c r="D117" s="7">
        <f t="shared" si="155"/>
        <v>0</v>
      </c>
      <c r="E117" s="7">
        <f t="shared" si="155"/>
        <v>0</v>
      </c>
      <c r="F117" s="7">
        <f t="shared" si="155"/>
        <v>0</v>
      </c>
      <c r="G117" s="7">
        <f t="shared" si="155"/>
        <v>0</v>
      </c>
      <c r="H117" s="7">
        <f t="shared" si="155"/>
        <v>0</v>
      </c>
      <c r="I117" s="7">
        <f t="shared" si="155"/>
        <v>0</v>
      </c>
      <c r="J117" s="7"/>
      <c r="K117" s="7">
        <f t="shared" si="155"/>
        <v>0</v>
      </c>
      <c r="L117" s="7">
        <f t="shared" si="155"/>
        <v>0</v>
      </c>
      <c r="M117" s="238" t="s">
        <v>494</v>
      </c>
      <c r="N117" s="7">
        <f t="shared" si="150"/>
        <v>0</v>
      </c>
      <c r="O117" s="7">
        <f t="shared" si="151"/>
        <v>0</v>
      </c>
      <c r="P117" s="7">
        <f t="shared" si="88"/>
        <v>0</v>
      </c>
      <c r="Q117" s="7">
        <v>0</v>
      </c>
      <c r="R117" s="7">
        <f t="shared" si="152"/>
        <v>0</v>
      </c>
      <c r="S117" s="7"/>
      <c r="T117" s="7"/>
      <c r="U117" s="7">
        <f t="shared" si="91"/>
        <v>0</v>
      </c>
      <c r="V117" s="7">
        <f t="shared" si="89"/>
        <v>0</v>
      </c>
      <c r="W117" s="7"/>
      <c r="X117" s="159">
        <f t="shared" si="92"/>
        <v>0</v>
      </c>
      <c r="Z117" s="182"/>
      <c r="AA117" s="182"/>
    </row>
    <row r="118" spans="1:27" x14ac:dyDescent="0.3">
      <c r="A118" s="7">
        <f>$Q$118/12</f>
        <v>0</v>
      </c>
      <c r="B118" s="7">
        <f t="shared" ref="B118:L118" si="156">$Q$118/12</f>
        <v>0</v>
      </c>
      <c r="C118" s="7">
        <f t="shared" si="156"/>
        <v>0</v>
      </c>
      <c r="D118" s="7">
        <f t="shared" si="156"/>
        <v>0</v>
      </c>
      <c r="E118" s="7">
        <f t="shared" si="156"/>
        <v>0</v>
      </c>
      <c r="F118" s="7">
        <f t="shared" si="156"/>
        <v>0</v>
      </c>
      <c r="G118" s="7">
        <f t="shared" si="156"/>
        <v>0</v>
      </c>
      <c r="H118" s="7">
        <f t="shared" si="156"/>
        <v>0</v>
      </c>
      <c r="I118" s="7">
        <f t="shared" si="156"/>
        <v>0</v>
      </c>
      <c r="J118" s="7"/>
      <c r="K118" s="7">
        <f t="shared" si="156"/>
        <v>0</v>
      </c>
      <c r="L118" s="7">
        <f t="shared" si="156"/>
        <v>0</v>
      </c>
      <c r="M118" s="13" t="s">
        <v>495</v>
      </c>
      <c r="N118" s="7">
        <f t="shared" si="150"/>
        <v>0</v>
      </c>
      <c r="O118" s="7">
        <f t="shared" si="151"/>
        <v>0</v>
      </c>
      <c r="P118" s="7">
        <f t="shared" si="88"/>
        <v>0</v>
      </c>
      <c r="Q118" s="7">
        <v>0</v>
      </c>
      <c r="R118" s="7">
        <f t="shared" si="152"/>
        <v>0</v>
      </c>
      <c r="S118" s="7"/>
      <c r="T118" s="7"/>
      <c r="U118" s="7">
        <f t="shared" si="91"/>
        <v>0</v>
      </c>
      <c r="V118" s="7">
        <f t="shared" si="89"/>
        <v>0</v>
      </c>
      <c r="W118" s="7"/>
      <c r="X118" s="159">
        <f t="shared" si="92"/>
        <v>0</v>
      </c>
      <c r="Z118" s="182"/>
      <c r="AA118" s="182"/>
    </row>
    <row r="119" spans="1:27" x14ac:dyDescent="0.3">
      <c r="A119" s="7">
        <f>$Q$119/12</f>
        <v>0</v>
      </c>
      <c r="B119" s="7">
        <f t="shared" ref="B119:L119" si="157">$Q$119/12</f>
        <v>0</v>
      </c>
      <c r="C119" s="7">
        <f t="shared" si="157"/>
        <v>0</v>
      </c>
      <c r="D119" s="7">
        <f t="shared" si="157"/>
        <v>0</v>
      </c>
      <c r="E119" s="7">
        <f t="shared" si="157"/>
        <v>0</v>
      </c>
      <c r="F119" s="7">
        <f t="shared" si="157"/>
        <v>0</v>
      </c>
      <c r="G119" s="7">
        <f t="shared" si="157"/>
        <v>0</v>
      </c>
      <c r="H119" s="7">
        <f t="shared" si="157"/>
        <v>0</v>
      </c>
      <c r="I119" s="7">
        <f t="shared" si="157"/>
        <v>0</v>
      </c>
      <c r="J119" s="7"/>
      <c r="K119" s="7">
        <f t="shared" si="157"/>
        <v>0</v>
      </c>
      <c r="L119" s="7">
        <f t="shared" si="157"/>
        <v>0</v>
      </c>
      <c r="M119" s="13" t="s">
        <v>496</v>
      </c>
      <c r="N119" s="7">
        <f t="shared" si="150"/>
        <v>0</v>
      </c>
      <c r="O119" s="7">
        <f t="shared" si="151"/>
        <v>0</v>
      </c>
      <c r="P119" s="7">
        <f t="shared" si="88"/>
        <v>0</v>
      </c>
      <c r="Q119" s="7">
        <v>0</v>
      </c>
      <c r="R119" s="7">
        <f t="shared" si="152"/>
        <v>0</v>
      </c>
      <c r="S119" s="7"/>
      <c r="T119" s="7"/>
      <c r="U119" s="7">
        <f t="shared" si="91"/>
        <v>0</v>
      </c>
      <c r="V119" s="7">
        <f t="shared" si="89"/>
        <v>0</v>
      </c>
      <c r="W119" s="7"/>
      <c r="X119" s="159">
        <f t="shared" si="92"/>
        <v>0</v>
      </c>
      <c r="Z119" s="182"/>
      <c r="AA119" s="182"/>
    </row>
    <row r="120" spans="1:27" x14ac:dyDescent="0.3">
      <c r="A120" s="7">
        <f>$Q$120/12</f>
        <v>0</v>
      </c>
      <c r="B120" s="7">
        <f t="shared" ref="B120:L120" si="158">$Q$120/12</f>
        <v>0</v>
      </c>
      <c r="C120" s="7">
        <f t="shared" si="158"/>
        <v>0</v>
      </c>
      <c r="D120" s="7">
        <f t="shared" si="158"/>
        <v>0</v>
      </c>
      <c r="E120" s="7">
        <f t="shared" si="158"/>
        <v>0</v>
      </c>
      <c r="F120" s="7">
        <f t="shared" si="158"/>
        <v>0</v>
      </c>
      <c r="G120" s="7">
        <f t="shared" si="158"/>
        <v>0</v>
      </c>
      <c r="H120" s="7">
        <f t="shared" si="158"/>
        <v>0</v>
      </c>
      <c r="I120" s="7">
        <f t="shared" si="158"/>
        <v>0</v>
      </c>
      <c r="J120" s="7"/>
      <c r="K120" s="7">
        <f t="shared" si="158"/>
        <v>0</v>
      </c>
      <c r="L120" s="7">
        <f t="shared" si="158"/>
        <v>0</v>
      </c>
      <c r="M120" s="238" t="s">
        <v>497</v>
      </c>
      <c r="N120" s="7">
        <f t="shared" si="150"/>
        <v>0</v>
      </c>
      <c r="O120" s="7">
        <f t="shared" si="151"/>
        <v>0</v>
      </c>
      <c r="P120" s="7">
        <f t="shared" si="88"/>
        <v>0</v>
      </c>
      <c r="Q120" s="7">
        <v>0</v>
      </c>
      <c r="R120" s="7">
        <f t="shared" si="152"/>
        <v>0</v>
      </c>
      <c r="S120" s="7"/>
      <c r="T120" s="7"/>
      <c r="U120" s="7">
        <f t="shared" si="91"/>
        <v>0</v>
      </c>
      <c r="V120" s="7">
        <f t="shared" si="89"/>
        <v>0</v>
      </c>
      <c r="W120" s="7"/>
      <c r="X120" s="159">
        <f t="shared" si="92"/>
        <v>0</v>
      </c>
      <c r="Z120" s="182"/>
      <c r="AA120" s="182"/>
    </row>
    <row r="121" spans="1:27" x14ac:dyDescent="0.3">
      <c r="A121" s="7">
        <f>$Q$121/12</f>
        <v>0</v>
      </c>
      <c r="B121" s="7">
        <f t="shared" ref="B121:L121" si="159">$Q$121/12</f>
        <v>0</v>
      </c>
      <c r="C121" s="7">
        <f t="shared" si="159"/>
        <v>0</v>
      </c>
      <c r="D121" s="7">
        <f t="shared" si="159"/>
        <v>0</v>
      </c>
      <c r="E121" s="7">
        <f t="shared" si="159"/>
        <v>0</v>
      </c>
      <c r="F121" s="7">
        <f t="shared" si="159"/>
        <v>0</v>
      </c>
      <c r="G121" s="7">
        <f t="shared" si="159"/>
        <v>0</v>
      </c>
      <c r="H121" s="7">
        <f t="shared" si="159"/>
        <v>0</v>
      </c>
      <c r="I121" s="7">
        <f t="shared" si="159"/>
        <v>0</v>
      </c>
      <c r="J121" s="7"/>
      <c r="K121" s="7">
        <f t="shared" si="159"/>
        <v>0</v>
      </c>
      <c r="L121" s="7">
        <f t="shared" si="159"/>
        <v>0</v>
      </c>
      <c r="M121" s="13" t="s">
        <v>498</v>
      </c>
      <c r="N121" s="7">
        <f t="shared" si="150"/>
        <v>0</v>
      </c>
      <c r="O121" s="7">
        <f t="shared" si="151"/>
        <v>0</v>
      </c>
      <c r="P121" s="7">
        <f t="shared" si="88"/>
        <v>0</v>
      </c>
      <c r="Q121" s="7">
        <v>0</v>
      </c>
      <c r="R121" s="7">
        <f t="shared" si="152"/>
        <v>0</v>
      </c>
      <c r="S121" s="7"/>
      <c r="T121" s="7"/>
      <c r="U121" s="7">
        <f t="shared" si="91"/>
        <v>0</v>
      </c>
      <c r="V121" s="7">
        <f t="shared" si="89"/>
        <v>0</v>
      </c>
      <c r="W121" s="7"/>
      <c r="X121" s="159">
        <f t="shared" si="92"/>
        <v>0</v>
      </c>
      <c r="Z121" s="182"/>
      <c r="AA121" s="182"/>
    </row>
    <row r="122" spans="1:27" x14ac:dyDescent="0.3">
      <c r="A122" s="7">
        <f>$Q$122/12</f>
        <v>0</v>
      </c>
      <c r="B122" s="7">
        <f t="shared" ref="B122:L122" si="160">$Q$122/12</f>
        <v>0</v>
      </c>
      <c r="C122" s="7">
        <f t="shared" si="160"/>
        <v>0</v>
      </c>
      <c r="D122" s="7">
        <f t="shared" si="160"/>
        <v>0</v>
      </c>
      <c r="E122" s="7">
        <f t="shared" si="160"/>
        <v>0</v>
      </c>
      <c r="F122" s="7">
        <f t="shared" si="160"/>
        <v>0</v>
      </c>
      <c r="G122" s="7">
        <f t="shared" si="160"/>
        <v>0</v>
      </c>
      <c r="H122" s="7">
        <f t="shared" si="160"/>
        <v>0</v>
      </c>
      <c r="I122" s="7">
        <f t="shared" si="160"/>
        <v>0</v>
      </c>
      <c r="J122" s="7"/>
      <c r="K122" s="7">
        <f t="shared" si="160"/>
        <v>0</v>
      </c>
      <c r="L122" s="7">
        <f t="shared" si="160"/>
        <v>0</v>
      </c>
      <c r="M122" s="13" t="s">
        <v>499</v>
      </c>
      <c r="N122" s="7">
        <f t="shared" si="150"/>
        <v>0</v>
      </c>
      <c r="O122" s="7">
        <f t="shared" si="151"/>
        <v>0</v>
      </c>
      <c r="P122" s="7">
        <f t="shared" si="88"/>
        <v>0</v>
      </c>
      <c r="Q122" s="7">
        <v>0</v>
      </c>
      <c r="R122" s="7">
        <f t="shared" si="152"/>
        <v>0</v>
      </c>
      <c r="S122" s="7"/>
      <c r="T122" s="7"/>
      <c r="U122" s="7">
        <f t="shared" si="91"/>
        <v>0</v>
      </c>
      <c r="V122" s="7">
        <f t="shared" si="89"/>
        <v>0</v>
      </c>
      <c r="W122" s="7"/>
      <c r="X122" s="159">
        <f t="shared" si="92"/>
        <v>0</v>
      </c>
      <c r="Z122" s="182"/>
      <c r="AA122" s="182"/>
    </row>
    <row r="123" spans="1:27" x14ac:dyDescent="0.3">
      <c r="A123" s="7">
        <f>$Q$123/12</f>
        <v>0</v>
      </c>
      <c r="B123" s="7">
        <f t="shared" ref="B123:L123" si="161">$Q$123/12</f>
        <v>0</v>
      </c>
      <c r="C123" s="7">
        <f t="shared" si="161"/>
        <v>0</v>
      </c>
      <c r="D123" s="7">
        <f t="shared" si="161"/>
        <v>0</v>
      </c>
      <c r="E123" s="7">
        <f t="shared" si="161"/>
        <v>0</v>
      </c>
      <c r="F123" s="7">
        <f t="shared" si="161"/>
        <v>0</v>
      </c>
      <c r="G123" s="7">
        <f t="shared" si="161"/>
        <v>0</v>
      </c>
      <c r="H123" s="7">
        <f t="shared" si="161"/>
        <v>0</v>
      </c>
      <c r="I123" s="7">
        <f t="shared" si="161"/>
        <v>0</v>
      </c>
      <c r="J123" s="7"/>
      <c r="K123" s="7">
        <f t="shared" si="161"/>
        <v>0</v>
      </c>
      <c r="L123" s="7">
        <f t="shared" si="161"/>
        <v>0</v>
      </c>
      <c r="M123" s="238" t="s">
        <v>500</v>
      </c>
      <c r="N123" s="7">
        <f t="shared" si="150"/>
        <v>0</v>
      </c>
      <c r="O123" s="7">
        <f t="shared" si="151"/>
        <v>0</v>
      </c>
      <c r="P123" s="7">
        <f t="shared" si="88"/>
        <v>0</v>
      </c>
      <c r="Q123" s="7">
        <v>0</v>
      </c>
      <c r="R123" s="7">
        <f t="shared" si="152"/>
        <v>0</v>
      </c>
      <c r="S123" s="7"/>
      <c r="T123" s="7"/>
      <c r="U123" s="7">
        <f t="shared" si="91"/>
        <v>0</v>
      </c>
      <c r="V123" s="7">
        <f t="shared" si="89"/>
        <v>0</v>
      </c>
      <c r="W123" s="7"/>
      <c r="X123" s="159">
        <f t="shared" si="92"/>
        <v>0</v>
      </c>
      <c r="Z123" s="182"/>
      <c r="AA123" s="182"/>
    </row>
    <row r="124" spans="1:27" x14ac:dyDescent="0.3">
      <c r="A124" s="7">
        <f>$Q$124/12</f>
        <v>0</v>
      </c>
      <c r="B124" s="7">
        <f t="shared" ref="B124:L124" si="162">$Q$124/12</f>
        <v>0</v>
      </c>
      <c r="C124" s="7">
        <f t="shared" si="162"/>
        <v>0</v>
      </c>
      <c r="D124" s="7">
        <f t="shared" si="162"/>
        <v>0</v>
      </c>
      <c r="E124" s="7">
        <f t="shared" si="162"/>
        <v>0</v>
      </c>
      <c r="F124" s="7">
        <f t="shared" si="162"/>
        <v>0</v>
      </c>
      <c r="G124" s="7">
        <f t="shared" si="162"/>
        <v>0</v>
      </c>
      <c r="H124" s="7">
        <f t="shared" si="162"/>
        <v>0</v>
      </c>
      <c r="I124" s="7">
        <f t="shared" si="162"/>
        <v>0</v>
      </c>
      <c r="J124" s="7"/>
      <c r="K124" s="7">
        <f t="shared" si="162"/>
        <v>0</v>
      </c>
      <c r="L124" s="7">
        <f t="shared" si="162"/>
        <v>0</v>
      </c>
      <c r="M124" s="13" t="s">
        <v>501</v>
      </c>
      <c r="N124" s="7">
        <f t="shared" si="150"/>
        <v>0</v>
      </c>
      <c r="O124" s="7">
        <f t="shared" si="151"/>
        <v>0</v>
      </c>
      <c r="P124" s="7">
        <f t="shared" si="88"/>
        <v>0</v>
      </c>
      <c r="Q124" s="7">
        <v>0</v>
      </c>
      <c r="R124" s="7">
        <f t="shared" si="152"/>
        <v>0</v>
      </c>
      <c r="S124" s="7"/>
      <c r="T124" s="7"/>
      <c r="U124" s="7">
        <f t="shared" si="91"/>
        <v>0</v>
      </c>
      <c r="V124" s="7">
        <f t="shared" si="89"/>
        <v>0</v>
      </c>
      <c r="W124" s="7"/>
      <c r="X124" s="159">
        <f t="shared" si="92"/>
        <v>0</v>
      </c>
      <c r="Z124" s="182"/>
      <c r="AA124" s="182"/>
    </row>
    <row r="125" spans="1:27" x14ac:dyDescent="0.3">
      <c r="A125" s="11">
        <f>$Q$125/12</f>
        <v>0</v>
      </c>
      <c r="B125" s="11">
        <f t="shared" ref="B125:L125" si="163">$Q$125/12</f>
        <v>0</v>
      </c>
      <c r="C125" s="11">
        <f t="shared" si="163"/>
        <v>0</v>
      </c>
      <c r="D125" s="11">
        <f t="shared" si="163"/>
        <v>0</v>
      </c>
      <c r="E125" s="11">
        <f t="shared" si="163"/>
        <v>0</v>
      </c>
      <c r="F125" s="11">
        <f t="shared" si="163"/>
        <v>0</v>
      </c>
      <c r="G125" s="11">
        <f t="shared" si="163"/>
        <v>0</v>
      </c>
      <c r="H125" s="11">
        <f t="shared" si="163"/>
        <v>0</v>
      </c>
      <c r="I125" s="11">
        <f t="shared" si="163"/>
        <v>0</v>
      </c>
      <c r="J125" s="11"/>
      <c r="K125" s="11">
        <f t="shared" si="163"/>
        <v>0</v>
      </c>
      <c r="L125" s="11">
        <f t="shared" si="163"/>
        <v>0</v>
      </c>
      <c r="M125" s="13" t="s">
        <v>184</v>
      </c>
      <c r="N125" s="11">
        <f t="shared" si="150"/>
        <v>0</v>
      </c>
      <c r="O125" s="11">
        <f t="shared" si="151"/>
        <v>0</v>
      </c>
      <c r="P125" s="11">
        <f t="shared" si="88"/>
        <v>0</v>
      </c>
      <c r="Q125" s="11">
        <v>0</v>
      </c>
      <c r="R125" s="11">
        <f t="shared" si="152"/>
        <v>0</v>
      </c>
      <c r="S125" s="11"/>
      <c r="T125" s="11"/>
      <c r="U125" s="11">
        <f t="shared" si="91"/>
        <v>0</v>
      </c>
      <c r="V125" s="11">
        <f t="shared" si="89"/>
        <v>0</v>
      </c>
      <c r="W125" s="11"/>
      <c r="X125" s="160">
        <f t="shared" si="92"/>
        <v>0</v>
      </c>
      <c r="Z125" s="182"/>
      <c r="AA125" s="182"/>
    </row>
    <row r="126" spans="1:27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13"/>
      <c r="N126" s="7">
        <f t="shared" si="109"/>
        <v>0</v>
      </c>
      <c r="O126" s="7">
        <f t="shared" si="110"/>
        <v>0</v>
      </c>
      <c r="P126" s="7">
        <f t="shared" si="88"/>
        <v>0</v>
      </c>
      <c r="Q126" s="7"/>
      <c r="R126" s="7"/>
      <c r="S126" s="7"/>
      <c r="T126" s="7"/>
      <c r="U126" s="7">
        <f t="shared" si="91"/>
        <v>0</v>
      </c>
      <c r="V126" s="7">
        <f t="shared" si="89"/>
        <v>0</v>
      </c>
      <c r="W126" s="7"/>
      <c r="X126" s="159"/>
      <c r="Z126" s="182"/>
      <c r="AA126" s="182"/>
    </row>
    <row r="127" spans="1:27" x14ac:dyDescent="0.3">
      <c r="A127" s="4">
        <f>SUM(A114:A125)</f>
        <v>0</v>
      </c>
      <c r="B127" s="4">
        <f t="shared" ref="B127:L127" si="164">SUM(B114:B125)</f>
        <v>0</v>
      </c>
      <c r="C127" s="4">
        <f t="shared" si="164"/>
        <v>0</v>
      </c>
      <c r="D127" s="4">
        <f t="shared" si="164"/>
        <v>0</v>
      </c>
      <c r="E127" s="4">
        <f t="shared" si="164"/>
        <v>0</v>
      </c>
      <c r="F127" s="4">
        <f t="shared" si="164"/>
        <v>0</v>
      </c>
      <c r="G127" s="4">
        <f t="shared" si="164"/>
        <v>0</v>
      </c>
      <c r="H127" s="4">
        <f t="shared" si="164"/>
        <v>0</v>
      </c>
      <c r="I127" s="4">
        <f t="shared" si="164"/>
        <v>0</v>
      </c>
      <c r="J127" s="4">
        <f t="shared" si="164"/>
        <v>0</v>
      </c>
      <c r="K127" s="4">
        <f t="shared" si="164"/>
        <v>0</v>
      </c>
      <c r="L127" s="4">
        <f t="shared" si="164"/>
        <v>0</v>
      </c>
      <c r="M127" s="13" t="s">
        <v>185</v>
      </c>
      <c r="N127" s="4">
        <f t="shared" ref="N127:O127" si="165">SUM(N114:N125)</f>
        <v>0</v>
      </c>
      <c r="O127" s="4">
        <f t="shared" si="165"/>
        <v>0</v>
      </c>
      <c r="P127" s="4">
        <f t="shared" ref="P127:Q127" si="166">SUM(P114:P125)</f>
        <v>0</v>
      </c>
      <c r="Q127" s="4">
        <f t="shared" si="166"/>
        <v>0</v>
      </c>
      <c r="R127" s="4">
        <f t="shared" ref="R127:W127" si="167">SUM(R114:R125)</f>
        <v>0</v>
      </c>
      <c r="S127" s="4"/>
      <c r="T127" s="4">
        <f t="shared" ref="T127" si="168">SUM(T114:T125)</f>
        <v>0</v>
      </c>
      <c r="U127" s="4">
        <f t="shared" si="91"/>
        <v>0</v>
      </c>
      <c r="V127" s="4">
        <f t="shared" si="89"/>
        <v>0</v>
      </c>
      <c r="W127" s="4">
        <f t="shared" si="167"/>
        <v>0</v>
      </c>
      <c r="X127" s="162">
        <f t="shared" si="92"/>
        <v>0</v>
      </c>
      <c r="Z127" s="182"/>
      <c r="AA127" s="182"/>
    </row>
    <row r="128" spans="1:27" x14ac:dyDescent="0.3">
      <c r="A128" s="82"/>
      <c r="B128" s="81"/>
      <c r="C128" s="81"/>
      <c r="D128" s="82"/>
      <c r="E128" s="86"/>
      <c r="F128" s="86"/>
      <c r="G128" s="86"/>
      <c r="H128" s="86"/>
      <c r="I128" s="87"/>
      <c r="J128" s="87"/>
      <c r="K128" s="88"/>
      <c r="L128" s="88"/>
      <c r="M128" s="122"/>
      <c r="N128" s="86">
        <f t="shared" si="109"/>
        <v>0</v>
      </c>
      <c r="O128" s="86">
        <f t="shared" si="110"/>
        <v>0</v>
      </c>
      <c r="P128" s="86">
        <f t="shared" si="88"/>
        <v>0</v>
      </c>
      <c r="Q128" s="81"/>
      <c r="R128" s="81"/>
      <c r="S128" s="81"/>
      <c r="T128" s="81"/>
      <c r="U128" s="81">
        <f t="shared" si="91"/>
        <v>0</v>
      </c>
      <c r="V128" s="81">
        <f t="shared" si="89"/>
        <v>0</v>
      </c>
      <c r="W128" s="81"/>
      <c r="X128" s="204"/>
      <c r="Z128" s="182"/>
      <c r="AA128" s="182"/>
    </row>
    <row r="129" spans="1:27" x14ac:dyDescent="0.3">
      <c r="A129" s="4">
        <f>A112+A127</f>
        <v>0</v>
      </c>
      <c r="B129" s="4">
        <f t="shared" ref="B129:L129" si="169">B112+B127</f>
        <v>71519.601842973338</v>
      </c>
      <c r="C129" s="4">
        <f t="shared" si="169"/>
        <v>0</v>
      </c>
      <c r="D129" s="4">
        <f t="shared" si="169"/>
        <v>71519.601842973338</v>
      </c>
      <c r="E129" s="4">
        <f t="shared" si="169"/>
        <v>0</v>
      </c>
      <c r="F129" s="4">
        <f t="shared" si="169"/>
        <v>0</v>
      </c>
      <c r="G129" s="4">
        <f t="shared" si="169"/>
        <v>71519.601842973338</v>
      </c>
      <c r="H129" s="4">
        <f t="shared" si="169"/>
        <v>71519.601842973338</v>
      </c>
      <c r="I129" s="4">
        <f t="shared" si="169"/>
        <v>0</v>
      </c>
      <c r="J129" s="4">
        <f t="shared" si="169"/>
        <v>71519.601842973338</v>
      </c>
      <c r="K129" s="4">
        <f t="shared" si="169"/>
        <v>0</v>
      </c>
      <c r="L129" s="4">
        <f t="shared" si="169"/>
        <v>71519.601842973338</v>
      </c>
      <c r="M129" s="13" t="s">
        <v>186</v>
      </c>
      <c r="N129" s="4">
        <f t="shared" ref="N129:O129" si="170">N112+N127</f>
        <v>0</v>
      </c>
      <c r="O129" s="4">
        <f t="shared" si="170"/>
        <v>429117.61105784</v>
      </c>
      <c r="P129" s="4">
        <f t="shared" ref="P129:Q129" si="171">P112+P127</f>
        <v>429117.61105784</v>
      </c>
      <c r="Q129" s="4">
        <f t="shared" si="171"/>
        <v>429117.61105784</v>
      </c>
      <c r="R129" s="4">
        <f t="shared" ref="R129:W129" si="172">R112+R127</f>
        <v>0</v>
      </c>
      <c r="S129" s="4"/>
      <c r="T129" s="4">
        <f t="shared" si="172"/>
        <v>-8.1854523159563541E-12</v>
      </c>
      <c r="U129" s="4">
        <f>Q129+T129</f>
        <v>429117.61105784</v>
      </c>
      <c r="V129" s="375">
        <f t="shared" si="89"/>
        <v>0</v>
      </c>
      <c r="W129" s="4">
        <f t="shared" si="172"/>
        <v>0</v>
      </c>
      <c r="X129" s="162">
        <f>IFERROR(N129/Q129,0)</f>
        <v>0</v>
      </c>
      <c r="Z129" s="182"/>
      <c r="AA129" s="182"/>
    </row>
    <row r="131" spans="1:27" x14ac:dyDescent="0.3">
      <c r="Q131" s="392"/>
    </row>
    <row r="132" spans="1:27" x14ac:dyDescent="0.3">
      <c r="Q132" s="392"/>
    </row>
    <row r="133" spans="1:27" x14ac:dyDescent="0.3">
      <c r="Q133" s="347"/>
      <c r="R133" s="353"/>
      <c r="S133" s="353"/>
    </row>
  </sheetData>
  <mergeCells count="3">
    <mergeCell ref="A3:L3"/>
    <mergeCell ref="N3:W3"/>
    <mergeCell ref="M4:M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</sheetPr>
  <dimension ref="A1:BK35"/>
  <sheetViews>
    <sheetView topLeftCell="AG1" workbookViewId="0">
      <selection activeCell="AR14" sqref="AR14"/>
    </sheetView>
  </sheetViews>
  <sheetFormatPr defaultRowHeight="14.4" x14ac:dyDescent="0.3"/>
  <cols>
    <col min="1" max="1" width="72.109375" bestFit="1" customWidth="1"/>
    <col min="2" max="2" width="12.109375" bestFit="1" customWidth="1"/>
    <col min="3" max="3" width="11.109375" bestFit="1" customWidth="1"/>
    <col min="4" max="4" width="8.33203125" bestFit="1" customWidth="1"/>
    <col min="5" max="6" width="7.6640625" bestFit="1" customWidth="1"/>
    <col min="7" max="7" width="34.33203125" bestFit="1" customWidth="1"/>
    <col min="8" max="8" width="11.109375" bestFit="1" customWidth="1"/>
    <col min="9" max="9" width="8.33203125" bestFit="1" customWidth="1"/>
    <col min="10" max="11" width="7.6640625" bestFit="1" customWidth="1"/>
    <col min="12" max="12" width="12.109375" bestFit="1" customWidth="1"/>
    <col min="13" max="13" width="11.109375" bestFit="1" customWidth="1"/>
    <col min="14" max="14" width="8.33203125" bestFit="1" customWidth="1"/>
    <col min="15" max="15" width="7.6640625" bestFit="1" customWidth="1"/>
    <col min="16" max="16" width="8.5546875" bestFit="1" customWidth="1"/>
    <col min="17" max="17" width="12.109375" bestFit="1" customWidth="1"/>
    <col min="18" max="18" width="11.109375" bestFit="1" customWidth="1"/>
    <col min="19" max="19" width="8.33203125" bestFit="1" customWidth="1"/>
    <col min="20" max="20" width="7.6640625" bestFit="1" customWidth="1"/>
    <col min="21" max="21" width="8.5546875" bestFit="1" customWidth="1"/>
    <col min="22" max="22" width="12.109375" bestFit="1" customWidth="1"/>
    <col min="23" max="23" width="11.109375" bestFit="1" customWidth="1"/>
    <col min="24" max="24" width="8.33203125" bestFit="1" customWidth="1"/>
    <col min="25" max="25" width="7.6640625" bestFit="1" customWidth="1"/>
    <col min="26" max="26" width="8.5546875" bestFit="1" customWidth="1"/>
    <col min="27" max="27" width="12.109375" bestFit="1" customWidth="1"/>
    <col min="28" max="28" width="11.109375" bestFit="1" customWidth="1"/>
    <col min="29" max="29" width="8.33203125" bestFit="1" customWidth="1"/>
    <col min="30" max="30" width="7.6640625" bestFit="1" customWidth="1"/>
    <col min="31" max="31" width="8.5546875" bestFit="1" customWidth="1"/>
    <col min="32" max="32" width="12.109375" bestFit="1" customWidth="1"/>
    <col min="33" max="33" width="11.109375" bestFit="1" customWidth="1"/>
    <col min="34" max="34" width="8.33203125" bestFit="1" customWidth="1"/>
    <col min="35" max="35" width="8.44140625" bestFit="1" customWidth="1"/>
    <col min="36" max="36" width="8.5546875" bestFit="1" customWidth="1"/>
    <col min="37" max="37" width="7.6640625" bestFit="1" customWidth="1"/>
    <col min="38" max="38" width="12.109375" bestFit="1" customWidth="1"/>
    <col min="39" max="39" width="11.109375" bestFit="1" customWidth="1"/>
    <col min="40" max="40" width="8.33203125" bestFit="1" customWidth="1"/>
    <col min="41" max="41" width="7.6640625" bestFit="1" customWidth="1"/>
    <col min="42" max="42" width="8.5546875" bestFit="1" customWidth="1"/>
    <col min="43" max="43" width="12.109375" bestFit="1" customWidth="1"/>
    <col min="44" max="44" width="11.109375" bestFit="1" customWidth="1"/>
    <col min="45" max="45" width="8.33203125" bestFit="1" customWidth="1"/>
    <col min="46" max="47" width="7.6640625" bestFit="1" customWidth="1"/>
    <col min="48" max="48" width="7.33203125" bestFit="1" customWidth="1"/>
    <col min="49" max="49" width="6.6640625" bestFit="1" customWidth="1"/>
    <col min="50" max="50" width="8.33203125" bestFit="1" customWidth="1"/>
    <col min="51" max="52" width="7.6640625" bestFit="1" customWidth="1"/>
    <col min="53" max="53" width="7.33203125" bestFit="1" customWidth="1"/>
    <col min="54" max="54" width="6.6640625" bestFit="1" customWidth="1"/>
    <col min="55" max="55" width="8.33203125" bestFit="1" customWidth="1"/>
    <col min="56" max="57" width="7.6640625" bestFit="1" customWidth="1"/>
    <col min="58" max="58" width="7.33203125" bestFit="1" customWidth="1"/>
    <col min="59" max="59" width="6.6640625" bestFit="1" customWidth="1"/>
    <col min="60" max="60" width="8.33203125" bestFit="1" customWidth="1"/>
    <col min="61" max="62" width="7.6640625" bestFit="1" customWidth="1"/>
    <col min="63" max="63" width="13.33203125" bestFit="1" customWidth="1"/>
  </cols>
  <sheetData>
    <row r="1" spans="1:63" ht="15" thickBot="1" x14ac:dyDescent="0.35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78"/>
      <c r="BH1" s="78"/>
      <c r="BI1" s="78"/>
      <c r="BJ1" s="259"/>
      <c r="BK1" s="259"/>
    </row>
    <row r="2" spans="1:63" x14ac:dyDescent="0.3">
      <c r="A2" s="436" t="s">
        <v>301</v>
      </c>
      <c r="B2" s="433">
        <v>43556</v>
      </c>
      <c r="C2" s="434"/>
      <c r="D2" s="434"/>
      <c r="E2" s="434"/>
      <c r="F2" s="435"/>
      <c r="G2" s="433">
        <v>43586</v>
      </c>
      <c r="H2" s="434"/>
      <c r="I2" s="434"/>
      <c r="J2" s="434"/>
      <c r="K2" s="435"/>
      <c r="L2" s="433">
        <v>43617</v>
      </c>
      <c r="M2" s="434"/>
      <c r="N2" s="434"/>
      <c r="O2" s="434"/>
      <c r="P2" s="435"/>
      <c r="Q2" s="433">
        <v>43647</v>
      </c>
      <c r="R2" s="434"/>
      <c r="S2" s="434"/>
      <c r="T2" s="434"/>
      <c r="U2" s="435"/>
      <c r="V2" s="433">
        <v>43678</v>
      </c>
      <c r="W2" s="434"/>
      <c r="X2" s="434"/>
      <c r="Y2" s="434"/>
      <c r="Z2" s="435"/>
      <c r="AA2" s="433">
        <v>43709</v>
      </c>
      <c r="AB2" s="434"/>
      <c r="AC2" s="434"/>
      <c r="AD2" s="434"/>
      <c r="AE2" s="435"/>
      <c r="AF2" s="433">
        <v>43739</v>
      </c>
      <c r="AG2" s="434"/>
      <c r="AH2" s="434"/>
      <c r="AI2" s="434"/>
      <c r="AJ2" s="434"/>
      <c r="AK2" s="435"/>
      <c r="AL2" s="433">
        <v>43770</v>
      </c>
      <c r="AM2" s="434"/>
      <c r="AN2" s="434"/>
      <c r="AO2" s="434"/>
      <c r="AP2" s="435"/>
      <c r="AQ2" s="433">
        <v>43800</v>
      </c>
      <c r="AR2" s="434"/>
      <c r="AS2" s="434"/>
      <c r="AT2" s="434"/>
      <c r="AU2" s="435"/>
      <c r="AV2" s="433">
        <v>43831</v>
      </c>
      <c r="AW2" s="434"/>
      <c r="AX2" s="434"/>
      <c r="AY2" s="434"/>
      <c r="AZ2" s="435"/>
      <c r="BA2" s="433">
        <v>43862</v>
      </c>
      <c r="BB2" s="434"/>
      <c r="BC2" s="434"/>
      <c r="BD2" s="434"/>
      <c r="BE2" s="435"/>
      <c r="BF2" s="433">
        <v>43891</v>
      </c>
      <c r="BG2" s="434"/>
      <c r="BH2" s="434"/>
      <c r="BI2" s="434"/>
      <c r="BJ2" s="435"/>
      <c r="BK2" s="438" t="s">
        <v>52</v>
      </c>
    </row>
    <row r="3" spans="1:63" ht="54" thickBot="1" x14ac:dyDescent="0.35">
      <c r="A3" s="437"/>
      <c r="B3" s="260" t="s">
        <v>302</v>
      </c>
      <c r="C3" s="260" t="s">
        <v>303</v>
      </c>
      <c r="D3" s="261" t="s">
        <v>304</v>
      </c>
      <c r="E3" s="260" t="s">
        <v>305</v>
      </c>
      <c r="F3" s="260" t="s">
        <v>306</v>
      </c>
      <c r="G3" s="262" t="s">
        <v>302</v>
      </c>
      <c r="H3" s="262" t="s">
        <v>303</v>
      </c>
      <c r="I3" s="262" t="s">
        <v>304</v>
      </c>
      <c r="J3" s="262" t="s">
        <v>305</v>
      </c>
      <c r="K3" s="262" t="s">
        <v>306</v>
      </c>
      <c r="L3" s="260" t="s">
        <v>307</v>
      </c>
      <c r="M3" s="260" t="s">
        <v>303</v>
      </c>
      <c r="N3" s="260" t="s">
        <v>304</v>
      </c>
      <c r="O3" s="260" t="s">
        <v>305</v>
      </c>
      <c r="P3" s="261" t="s">
        <v>306</v>
      </c>
      <c r="Q3" s="263" t="s">
        <v>307</v>
      </c>
      <c r="R3" s="263" t="s">
        <v>303</v>
      </c>
      <c r="S3" s="263" t="s">
        <v>304</v>
      </c>
      <c r="T3" s="263" t="s">
        <v>305</v>
      </c>
      <c r="U3" s="264" t="s">
        <v>306</v>
      </c>
      <c r="V3" s="263" t="s">
        <v>302</v>
      </c>
      <c r="W3" s="263" t="s">
        <v>303</v>
      </c>
      <c r="X3" s="263" t="s">
        <v>304</v>
      </c>
      <c r="Y3" s="263" t="s">
        <v>305</v>
      </c>
      <c r="Z3" s="264" t="s">
        <v>306</v>
      </c>
      <c r="AA3" s="263" t="s">
        <v>302</v>
      </c>
      <c r="AB3" s="263" t="s">
        <v>303</v>
      </c>
      <c r="AC3" s="263" t="s">
        <v>304</v>
      </c>
      <c r="AD3" s="263" t="s">
        <v>305</v>
      </c>
      <c r="AE3" s="264" t="s">
        <v>306</v>
      </c>
      <c r="AF3" s="263" t="s">
        <v>302</v>
      </c>
      <c r="AG3" s="263" t="s">
        <v>303</v>
      </c>
      <c r="AH3" s="263" t="s">
        <v>304</v>
      </c>
      <c r="AI3" s="265" t="s">
        <v>308</v>
      </c>
      <c r="AJ3" s="263" t="s">
        <v>305</v>
      </c>
      <c r="AK3" s="264" t="s">
        <v>306</v>
      </c>
      <c r="AL3" s="263" t="s">
        <v>302</v>
      </c>
      <c r="AM3" s="263" t="s">
        <v>303</v>
      </c>
      <c r="AN3" s="263" t="s">
        <v>304</v>
      </c>
      <c r="AO3" s="263" t="s">
        <v>305</v>
      </c>
      <c r="AP3" s="264" t="s">
        <v>306</v>
      </c>
      <c r="AQ3" s="263" t="s">
        <v>302</v>
      </c>
      <c r="AR3" s="263" t="s">
        <v>303</v>
      </c>
      <c r="AS3" s="263" t="s">
        <v>304</v>
      </c>
      <c r="AT3" s="263" t="s">
        <v>305</v>
      </c>
      <c r="AU3" s="264" t="s">
        <v>306</v>
      </c>
      <c r="AV3" s="263" t="s">
        <v>302</v>
      </c>
      <c r="AW3" s="263" t="s">
        <v>303</v>
      </c>
      <c r="AX3" s="263" t="s">
        <v>304</v>
      </c>
      <c r="AY3" s="263" t="s">
        <v>305</v>
      </c>
      <c r="AZ3" s="264" t="s">
        <v>306</v>
      </c>
      <c r="BA3" s="263" t="s">
        <v>302</v>
      </c>
      <c r="BB3" s="263" t="s">
        <v>303</v>
      </c>
      <c r="BC3" s="263" t="s">
        <v>304</v>
      </c>
      <c r="BD3" s="263" t="s">
        <v>305</v>
      </c>
      <c r="BE3" s="264" t="s">
        <v>306</v>
      </c>
      <c r="BF3" s="263" t="s">
        <v>302</v>
      </c>
      <c r="BG3" s="263" t="s">
        <v>303</v>
      </c>
      <c r="BH3" s="263" t="s">
        <v>304</v>
      </c>
      <c r="BI3" s="263" t="s">
        <v>305</v>
      </c>
      <c r="BJ3" s="264" t="s">
        <v>306</v>
      </c>
      <c r="BK3" s="439"/>
    </row>
    <row r="4" spans="1:63" x14ac:dyDescent="0.3">
      <c r="A4" s="266" t="s">
        <v>309</v>
      </c>
      <c r="B4" s="267"/>
      <c r="C4" s="267"/>
      <c r="D4" s="267"/>
      <c r="E4" s="267"/>
      <c r="F4" s="267"/>
      <c r="G4" s="268"/>
      <c r="H4" s="268"/>
      <c r="I4" s="268"/>
      <c r="J4" s="268"/>
      <c r="K4" s="268"/>
      <c r="L4" s="267">
        <v>2382</v>
      </c>
      <c r="M4" s="267">
        <v>280.2</v>
      </c>
      <c r="N4" s="267">
        <v>0</v>
      </c>
      <c r="O4" s="267">
        <v>1</v>
      </c>
      <c r="P4" s="267">
        <v>0</v>
      </c>
      <c r="Q4" s="269">
        <v>3352.5</v>
      </c>
      <c r="R4" s="270">
        <v>557.64</v>
      </c>
      <c r="S4" s="270">
        <v>0</v>
      </c>
      <c r="T4" s="270">
        <v>0</v>
      </c>
      <c r="U4" s="270">
        <v>2</v>
      </c>
      <c r="V4" s="270">
        <v>2135.67</v>
      </c>
      <c r="W4" s="270">
        <v>277.14999999999998</v>
      </c>
      <c r="X4" s="270">
        <v>0</v>
      </c>
      <c r="Y4" s="270">
        <v>0</v>
      </c>
      <c r="Z4" s="270">
        <v>1</v>
      </c>
      <c r="AA4" s="270">
        <v>5908.33</v>
      </c>
      <c r="AB4" s="270">
        <v>832.49</v>
      </c>
      <c r="AC4" s="270">
        <v>0</v>
      </c>
      <c r="AD4" s="270">
        <v>1</v>
      </c>
      <c r="AE4" s="270">
        <v>2</v>
      </c>
      <c r="AF4" s="270">
        <v>4666.67</v>
      </c>
      <c r="AG4" s="270">
        <v>273.01</v>
      </c>
      <c r="AH4" s="270">
        <v>0</v>
      </c>
      <c r="AI4" s="270"/>
      <c r="AJ4" s="269">
        <v>2</v>
      </c>
      <c r="AK4" s="270">
        <v>0</v>
      </c>
      <c r="AL4" s="270">
        <v>3456.8</v>
      </c>
      <c r="AM4" s="270">
        <v>566.09</v>
      </c>
      <c r="AN4" s="270">
        <v>0</v>
      </c>
      <c r="AO4" s="270">
        <v>0</v>
      </c>
      <c r="AP4" s="270">
        <v>2</v>
      </c>
      <c r="AQ4" s="270">
        <v>2382</v>
      </c>
      <c r="AR4" s="270">
        <v>282.73</v>
      </c>
      <c r="AS4" s="270"/>
      <c r="AT4" s="270">
        <v>1</v>
      </c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1"/>
      <c r="BI4" s="271"/>
      <c r="BJ4" s="271"/>
      <c r="BK4" s="272">
        <f>SUM(B4:BJ4)</f>
        <v>27365.279999999999</v>
      </c>
    </row>
    <row r="5" spans="1:63" x14ac:dyDescent="0.3">
      <c r="A5" s="266" t="s">
        <v>310</v>
      </c>
      <c r="B5" s="267"/>
      <c r="C5" s="267"/>
      <c r="D5" s="267"/>
      <c r="E5" s="267"/>
      <c r="F5" s="267"/>
      <c r="G5" s="268"/>
      <c r="H5" s="268"/>
      <c r="I5" s="268"/>
      <c r="J5" s="268"/>
      <c r="K5" s="268"/>
      <c r="L5" s="267">
        <v>8000</v>
      </c>
      <c r="M5" s="267">
        <v>0</v>
      </c>
      <c r="N5" s="267">
        <v>0</v>
      </c>
      <c r="O5" s="267">
        <v>0</v>
      </c>
      <c r="P5" s="267">
        <v>2</v>
      </c>
      <c r="Q5" s="269">
        <v>3933.33</v>
      </c>
      <c r="R5" s="270">
        <v>436</v>
      </c>
      <c r="S5" s="270">
        <v>0</v>
      </c>
      <c r="T5" s="270">
        <v>0</v>
      </c>
      <c r="U5" s="270">
        <v>2</v>
      </c>
      <c r="V5" s="270">
        <v>6125</v>
      </c>
      <c r="W5" s="270">
        <v>247.1</v>
      </c>
      <c r="X5" s="270">
        <v>0</v>
      </c>
      <c r="Y5" s="270">
        <v>0</v>
      </c>
      <c r="Z5" s="270">
        <v>2</v>
      </c>
      <c r="AA5" s="270">
        <v>1250</v>
      </c>
      <c r="AB5" s="270">
        <v>212.47</v>
      </c>
      <c r="AC5" s="270">
        <v>0</v>
      </c>
      <c r="AD5" s="270">
        <v>0</v>
      </c>
      <c r="AE5" s="270">
        <v>1</v>
      </c>
      <c r="AF5" s="270">
        <v>1625</v>
      </c>
      <c r="AG5" s="270">
        <v>213.59</v>
      </c>
      <c r="AH5" s="270">
        <v>0</v>
      </c>
      <c r="AI5" s="270"/>
      <c r="AJ5" s="269">
        <v>0</v>
      </c>
      <c r="AK5" s="270">
        <v>1</v>
      </c>
      <c r="AL5" s="270">
        <v>4000</v>
      </c>
      <c r="AM5" s="270">
        <v>0</v>
      </c>
      <c r="AN5" s="270">
        <v>0</v>
      </c>
      <c r="AO5" s="270">
        <v>0</v>
      </c>
      <c r="AP5" s="270">
        <v>1</v>
      </c>
      <c r="AQ5" s="270">
        <v>0</v>
      </c>
      <c r="AR5" s="270">
        <v>0</v>
      </c>
      <c r="AS5" s="270">
        <v>0</v>
      </c>
      <c r="AT5" s="270">
        <v>0</v>
      </c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1"/>
      <c r="BI5" s="271"/>
      <c r="BJ5" s="271"/>
      <c r="BK5" s="272">
        <f t="shared" ref="BK5:BK13" si="0">SUM(B5:BJ5)</f>
        <v>26051.49</v>
      </c>
    </row>
    <row r="6" spans="1:63" x14ac:dyDescent="0.3">
      <c r="A6" s="266" t="s">
        <v>311</v>
      </c>
      <c r="B6" s="268">
        <v>2382</v>
      </c>
      <c r="C6" s="268">
        <v>410.96</v>
      </c>
      <c r="D6" s="268">
        <v>0</v>
      </c>
      <c r="E6" s="268">
        <v>1</v>
      </c>
      <c r="F6" s="268">
        <v>0</v>
      </c>
      <c r="G6" s="268">
        <v>2632.33</v>
      </c>
      <c r="H6" s="268">
        <v>835.14</v>
      </c>
      <c r="I6" s="268">
        <v>0</v>
      </c>
      <c r="J6" s="268">
        <v>0</v>
      </c>
      <c r="K6" s="268">
        <v>2</v>
      </c>
      <c r="L6" s="273">
        <v>5958</v>
      </c>
      <c r="M6" s="268">
        <v>1263.07</v>
      </c>
      <c r="N6" s="268">
        <v>0</v>
      </c>
      <c r="O6" s="268">
        <v>1</v>
      </c>
      <c r="P6" s="268">
        <v>2</v>
      </c>
      <c r="Q6" s="273">
        <v>2086</v>
      </c>
      <c r="R6" s="268">
        <v>415.5</v>
      </c>
      <c r="S6" s="268">
        <v>0</v>
      </c>
      <c r="T6" s="268">
        <v>0</v>
      </c>
      <c r="U6" s="268">
        <v>1</v>
      </c>
      <c r="V6" s="268">
        <v>4147.17</v>
      </c>
      <c r="W6" s="268">
        <v>831.69</v>
      </c>
      <c r="X6" s="268">
        <v>0</v>
      </c>
      <c r="Y6" s="268">
        <v>0</v>
      </c>
      <c r="Z6" s="268">
        <v>2</v>
      </c>
      <c r="AA6" s="268">
        <v>5908.33</v>
      </c>
      <c r="AB6" s="268">
        <v>1248.57</v>
      </c>
      <c r="AC6" s="268">
        <v>0</v>
      </c>
      <c r="AD6" s="268">
        <v>1</v>
      </c>
      <c r="AE6" s="268">
        <v>2</v>
      </c>
      <c r="AF6" s="268">
        <v>4666.67</v>
      </c>
      <c r="AG6" s="268">
        <v>916.69</v>
      </c>
      <c r="AH6" s="268">
        <v>0</v>
      </c>
      <c r="AI6" s="268"/>
      <c r="AJ6" s="273">
        <v>2</v>
      </c>
      <c r="AK6" s="268">
        <v>0</v>
      </c>
      <c r="AL6" s="268">
        <v>5615.3</v>
      </c>
      <c r="AM6" s="268">
        <v>1253.31</v>
      </c>
      <c r="AN6" s="268">
        <v>0</v>
      </c>
      <c r="AO6" s="268">
        <v>0</v>
      </c>
      <c r="AP6" s="268">
        <v>4</v>
      </c>
      <c r="AQ6" s="267">
        <v>2382</v>
      </c>
      <c r="AR6" s="267">
        <v>417.18</v>
      </c>
      <c r="AS6" s="268"/>
      <c r="AT6" s="268">
        <v>1</v>
      </c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74"/>
      <c r="BI6" s="274"/>
      <c r="BJ6" s="274"/>
      <c r="BK6" s="272">
        <f t="shared" si="0"/>
        <v>43388.909999999996</v>
      </c>
    </row>
    <row r="7" spans="1:63" x14ac:dyDescent="0.3">
      <c r="A7" s="266" t="s">
        <v>312</v>
      </c>
      <c r="B7" s="268">
        <v>5559.5</v>
      </c>
      <c r="C7" s="268">
        <v>1008.82</v>
      </c>
      <c r="D7" s="268">
        <v>0</v>
      </c>
      <c r="E7" s="268">
        <v>1</v>
      </c>
      <c r="F7" s="268">
        <v>2</v>
      </c>
      <c r="G7" s="268">
        <v>4218</v>
      </c>
      <c r="H7" s="268">
        <v>691.85</v>
      </c>
      <c r="I7" s="268">
        <v>0</v>
      </c>
      <c r="J7" s="268">
        <v>0</v>
      </c>
      <c r="K7" s="268">
        <v>3</v>
      </c>
      <c r="L7" s="273">
        <v>11761.1</v>
      </c>
      <c r="M7" s="268">
        <v>1745.71</v>
      </c>
      <c r="N7" s="268">
        <v>0</v>
      </c>
      <c r="O7" s="268">
        <v>1</v>
      </c>
      <c r="P7" s="268">
        <v>5</v>
      </c>
      <c r="Q7" s="273">
        <v>3630.9</v>
      </c>
      <c r="R7" s="268">
        <v>1043.3699999999999</v>
      </c>
      <c r="S7" s="268">
        <v>0</v>
      </c>
      <c r="T7" s="268">
        <v>0</v>
      </c>
      <c r="U7" s="268">
        <v>3</v>
      </c>
      <c r="V7" s="268">
        <v>6669</v>
      </c>
      <c r="W7" s="268">
        <v>1032.72</v>
      </c>
      <c r="X7" s="268">
        <v>0</v>
      </c>
      <c r="Y7" s="268">
        <v>0</v>
      </c>
      <c r="Z7" s="268">
        <v>4</v>
      </c>
      <c r="AA7" s="268">
        <v>5132</v>
      </c>
      <c r="AB7" s="268">
        <v>1034.0999999999999</v>
      </c>
      <c r="AC7" s="268">
        <v>0</v>
      </c>
      <c r="AD7" s="268">
        <v>1</v>
      </c>
      <c r="AE7" s="268">
        <v>2</v>
      </c>
      <c r="AF7" s="268">
        <v>6471.5</v>
      </c>
      <c r="AG7" s="268">
        <v>641.96</v>
      </c>
      <c r="AH7" s="268">
        <v>0</v>
      </c>
      <c r="AI7" s="268"/>
      <c r="AJ7" s="273">
        <v>2</v>
      </c>
      <c r="AK7" s="268">
        <v>1</v>
      </c>
      <c r="AL7" s="268">
        <v>9836.5</v>
      </c>
      <c r="AM7" s="268">
        <v>1480.96</v>
      </c>
      <c r="AN7" s="268">
        <v>0</v>
      </c>
      <c r="AO7" s="268">
        <v>0</v>
      </c>
      <c r="AP7" s="268">
        <v>5</v>
      </c>
      <c r="AQ7" s="267">
        <v>2738</v>
      </c>
      <c r="AR7" s="267">
        <v>345.62</v>
      </c>
      <c r="AS7" s="268"/>
      <c r="AT7" s="268">
        <v>1</v>
      </c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74"/>
      <c r="BI7" s="274"/>
      <c r="BJ7" s="274"/>
      <c r="BK7" s="272">
        <f t="shared" si="0"/>
        <v>65072.61</v>
      </c>
    </row>
    <row r="8" spans="1:63" x14ac:dyDescent="0.3">
      <c r="A8" s="266" t="s">
        <v>313</v>
      </c>
      <c r="B8" s="268">
        <v>4532.57</v>
      </c>
      <c r="C8" s="268">
        <v>167.55</v>
      </c>
      <c r="D8" s="268">
        <v>0</v>
      </c>
      <c r="E8" s="268">
        <v>1</v>
      </c>
      <c r="F8" s="268">
        <v>2</v>
      </c>
      <c r="G8" s="268">
        <v>2334.33</v>
      </c>
      <c r="H8" s="268">
        <v>113.5</v>
      </c>
      <c r="I8" s="268">
        <v>0</v>
      </c>
      <c r="J8" s="268">
        <v>0</v>
      </c>
      <c r="K8" s="268">
        <v>2</v>
      </c>
      <c r="L8" s="273">
        <v>6429.83</v>
      </c>
      <c r="M8" s="268">
        <v>171.65</v>
      </c>
      <c r="N8" s="268">
        <v>0</v>
      </c>
      <c r="O8" s="268">
        <v>1</v>
      </c>
      <c r="P8" s="268">
        <v>3</v>
      </c>
      <c r="Q8" s="273">
        <v>1937</v>
      </c>
      <c r="R8" s="268">
        <v>56.47</v>
      </c>
      <c r="S8" s="268">
        <v>0</v>
      </c>
      <c r="T8" s="268">
        <v>0</v>
      </c>
      <c r="U8" s="268">
        <v>1</v>
      </c>
      <c r="V8" s="268">
        <v>2384</v>
      </c>
      <c r="W8" s="268">
        <v>56.47</v>
      </c>
      <c r="X8" s="268">
        <v>0</v>
      </c>
      <c r="Y8" s="268">
        <v>0</v>
      </c>
      <c r="Z8" s="268">
        <v>2</v>
      </c>
      <c r="AA8" s="268">
        <v>2382</v>
      </c>
      <c r="AB8" s="268">
        <v>56.56</v>
      </c>
      <c r="AC8" s="268">
        <v>0</v>
      </c>
      <c r="AD8" s="268">
        <v>1</v>
      </c>
      <c r="AE8" s="268">
        <v>0</v>
      </c>
      <c r="AF8" s="268">
        <v>4666.67</v>
      </c>
      <c r="AG8" s="268">
        <v>652.11</v>
      </c>
      <c r="AH8" s="268">
        <v>0</v>
      </c>
      <c r="AI8" s="268"/>
      <c r="AJ8" s="273">
        <v>2</v>
      </c>
      <c r="AK8" s="268">
        <v>0</v>
      </c>
      <c r="AL8" s="268">
        <v>5362</v>
      </c>
      <c r="AM8" s="268">
        <v>170.45</v>
      </c>
      <c r="AN8" s="268">
        <v>0</v>
      </c>
      <c r="AO8" s="268">
        <v>0</v>
      </c>
      <c r="AP8" s="268">
        <v>4</v>
      </c>
      <c r="AQ8" s="267">
        <v>2382</v>
      </c>
      <c r="AR8" s="267">
        <v>56.7</v>
      </c>
      <c r="AS8" s="268"/>
      <c r="AT8" s="268">
        <v>1</v>
      </c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74"/>
      <c r="BI8" s="274"/>
      <c r="BJ8" s="274"/>
      <c r="BK8" s="272">
        <f t="shared" si="0"/>
        <v>33931.86</v>
      </c>
    </row>
    <row r="9" spans="1:63" x14ac:dyDescent="0.3">
      <c r="A9" s="266" t="s">
        <v>314</v>
      </c>
      <c r="B9" s="268">
        <v>3574</v>
      </c>
      <c r="C9" s="268">
        <v>1327.54</v>
      </c>
      <c r="D9" s="268">
        <v>0</v>
      </c>
      <c r="E9" s="268">
        <v>1</v>
      </c>
      <c r="F9" s="268">
        <v>1</v>
      </c>
      <c r="G9" s="268">
        <v>1291.33</v>
      </c>
      <c r="H9" s="268">
        <v>682.82</v>
      </c>
      <c r="I9" s="268">
        <v>0</v>
      </c>
      <c r="J9" s="268">
        <v>0</v>
      </c>
      <c r="K9" s="268">
        <v>1</v>
      </c>
      <c r="L9" s="273">
        <v>6206.33</v>
      </c>
      <c r="M9" s="268">
        <v>2067.5100000000002</v>
      </c>
      <c r="N9" s="268">
        <v>0</v>
      </c>
      <c r="O9" s="268">
        <v>1</v>
      </c>
      <c r="P9" s="268">
        <v>3</v>
      </c>
      <c r="Q9" s="273">
        <v>2086</v>
      </c>
      <c r="R9" s="268">
        <v>679.04</v>
      </c>
      <c r="S9" s="268">
        <v>0</v>
      </c>
      <c r="T9" s="268">
        <v>0</v>
      </c>
      <c r="U9" s="268">
        <v>1</v>
      </c>
      <c r="V9" s="268">
        <v>3526.33</v>
      </c>
      <c r="W9" s="268">
        <v>1359.44</v>
      </c>
      <c r="X9" s="268">
        <v>0</v>
      </c>
      <c r="Y9" s="268">
        <v>0</v>
      </c>
      <c r="Z9" s="268">
        <v>2</v>
      </c>
      <c r="AA9" s="268">
        <v>5262.67</v>
      </c>
      <c r="AB9" s="268">
        <v>2041.2</v>
      </c>
      <c r="AC9" s="268">
        <v>0</v>
      </c>
      <c r="AD9" s="268">
        <v>1</v>
      </c>
      <c r="AE9" s="268">
        <v>2</v>
      </c>
      <c r="AF9" s="268">
        <v>4666.67</v>
      </c>
      <c r="AG9" s="268">
        <v>1411.77</v>
      </c>
      <c r="AH9" s="268">
        <v>0</v>
      </c>
      <c r="AI9" s="268"/>
      <c r="AJ9" s="273">
        <v>2</v>
      </c>
      <c r="AK9" s="268">
        <v>0</v>
      </c>
      <c r="AL9" s="268">
        <v>5213</v>
      </c>
      <c r="AM9" s="268">
        <v>2049.66</v>
      </c>
      <c r="AN9" s="268">
        <v>0</v>
      </c>
      <c r="AO9" s="268">
        <v>0</v>
      </c>
      <c r="AP9" s="268">
        <v>4</v>
      </c>
      <c r="AQ9" s="267">
        <v>2382</v>
      </c>
      <c r="AR9" s="267">
        <v>682.21</v>
      </c>
      <c r="AS9" s="268"/>
      <c r="AT9" s="268">
        <v>1</v>
      </c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74"/>
      <c r="BI9" s="274"/>
      <c r="BJ9" s="274"/>
      <c r="BK9" s="272">
        <f t="shared" si="0"/>
        <v>46529.52</v>
      </c>
    </row>
    <row r="10" spans="1:63" x14ac:dyDescent="0.3">
      <c r="A10" s="266" t="s">
        <v>315</v>
      </c>
      <c r="B10" s="268">
        <v>3574</v>
      </c>
      <c r="C10" s="268">
        <v>592.74</v>
      </c>
      <c r="D10" s="268">
        <v>0</v>
      </c>
      <c r="E10" s="268">
        <v>1</v>
      </c>
      <c r="F10" s="268">
        <v>1</v>
      </c>
      <c r="G10" s="268">
        <v>0</v>
      </c>
      <c r="H10" s="268">
        <v>0</v>
      </c>
      <c r="I10" s="268">
        <v>0</v>
      </c>
      <c r="J10" s="268">
        <v>0</v>
      </c>
      <c r="K10" s="268">
        <v>0</v>
      </c>
      <c r="L10" s="273">
        <v>6703</v>
      </c>
      <c r="M10" s="268">
        <v>922.22</v>
      </c>
      <c r="N10" s="268">
        <v>0</v>
      </c>
      <c r="O10" s="268">
        <v>1</v>
      </c>
      <c r="P10" s="268">
        <v>3</v>
      </c>
      <c r="Q10" s="273">
        <v>2086</v>
      </c>
      <c r="R10" s="268">
        <v>303.05</v>
      </c>
      <c r="S10" s="268">
        <v>0</v>
      </c>
      <c r="T10" s="268">
        <v>0</v>
      </c>
      <c r="U10" s="268">
        <v>1</v>
      </c>
      <c r="V10" s="268">
        <v>4768</v>
      </c>
      <c r="W10" s="268">
        <v>678.66</v>
      </c>
      <c r="X10" s="268">
        <v>0</v>
      </c>
      <c r="Y10" s="268">
        <v>0</v>
      </c>
      <c r="Z10" s="268">
        <v>4</v>
      </c>
      <c r="AA10" s="268">
        <v>4567.33</v>
      </c>
      <c r="AB10" s="268">
        <v>607.26</v>
      </c>
      <c r="AC10" s="268">
        <v>0</v>
      </c>
      <c r="AD10" s="268">
        <v>1</v>
      </c>
      <c r="AE10" s="268">
        <v>1</v>
      </c>
      <c r="AF10" s="268">
        <v>4666.67</v>
      </c>
      <c r="AG10" s="268">
        <v>1085.9100000000001</v>
      </c>
      <c r="AH10" s="268">
        <v>0</v>
      </c>
      <c r="AI10" s="268"/>
      <c r="AJ10" s="273">
        <v>2</v>
      </c>
      <c r="AK10" s="268">
        <v>0</v>
      </c>
      <c r="AL10" s="268">
        <v>3749.83</v>
      </c>
      <c r="AM10" s="268">
        <v>609.47</v>
      </c>
      <c r="AN10" s="268">
        <v>0</v>
      </c>
      <c r="AO10" s="268">
        <v>0</v>
      </c>
      <c r="AP10" s="268">
        <v>3</v>
      </c>
      <c r="AQ10" s="267">
        <v>2382</v>
      </c>
      <c r="AR10" s="267">
        <v>381.78</v>
      </c>
      <c r="AS10" s="268"/>
      <c r="AT10" s="268">
        <v>1</v>
      </c>
      <c r="AU10" s="268">
        <v>0</v>
      </c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74"/>
      <c r="BI10" s="274"/>
      <c r="BJ10" s="274"/>
      <c r="BK10" s="272">
        <f t="shared" si="0"/>
        <v>37696.92</v>
      </c>
    </row>
    <row r="11" spans="1:63" x14ac:dyDescent="0.3">
      <c r="A11" s="266" t="s">
        <v>316</v>
      </c>
      <c r="B11" s="268">
        <v>3888</v>
      </c>
      <c r="C11" s="268">
        <v>213.4</v>
      </c>
      <c r="D11" s="268">
        <v>0</v>
      </c>
      <c r="E11" s="268">
        <v>1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73">
        <v>3888</v>
      </c>
      <c r="M11" s="268">
        <v>218.62</v>
      </c>
      <c r="N11" s="268">
        <v>0</v>
      </c>
      <c r="O11" s="268">
        <v>1</v>
      </c>
      <c r="P11" s="268">
        <v>0</v>
      </c>
      <c r="Q11" s="273">
        <v>3402</v>
      </c>
      <c r="R11" s="268">
        <v>215.76</v>
      </c>
      <c r="S11" s="268">
        <v>0</v>
      </c>
      <c r="T11" s="268">
        <v>0</v>
      </c>
      <c r="U11" s="268">
        <v>1</v>
      </c>
      <c r="V11" s="268">
        <v>0</v>
      </c>
      <c r="W11" s="268">
        <v>0</v>
      </c>
      <c r="X11" s="268">
        <v>0</v>
      </c>
      <c r="Y11" s="268">
        <v>0</v>
      </c>
      <c r="Z11" s="268">
        <v>0</v>
      </c>
      <c r="AA11" s="268">
        <v>3888</v>
      </c>
      <c r="AB11" s="268">
        <v>216.12</v>
      </c>
      <c r="AC11" s="268">
        <v>0</v>
      </c>
      <c r="AD11" s="268">
        <v>1</v>
      </c>
      <c r="AE11" s="268">
        <v>0</v>
      </c>
      <c r="AF11" s="268">
        <v>7614</v>
      </c>
      <c r="AG11" s="268">
        <v>768.29</v>
      </c>
      <c r="AH11" s="268">
        <v>0</v>
      </c>
      <c r="AI11" s="268"/>
      <c r="AJ11" s="273">
        <v>2</v>
      </c>
      <c r="AK11" s="268">
        <v>0</v>
      </c>
      <c r="AL11" s="268">
        <v>0</v>
      </c>
      <c r="AM11" s="268">
        <v>0</v>
      </c>
      <c r="AN11" s="268">
        <v>0</v>
      </c>
      <c r="AO11" s="268">
        <v>0</v>
      </c>
      <c r="AP11" s="268">
        <v>0</v>
      </c>
      <c r="AQ11" s="267">
        <v>3888</v>
      </c>
      <c r="AR11" s="267">
        <v>216.63</v>
      </c>
      <c r="AS11" s="268"/>
      <c r="AT11" s="268">
        <v>1</v>
      </c>
      <c r="AU11" s="268">
        <v>0</v>
      </c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8"/>
      <c r="BG11" s="268"/>
      <c r="BH11" s="274"/>
      <c r="BI11" s="274"/>
      <c r="BJ11" s="274"/>
      <c r="BK11" s="272">
        <f t="shared" si="0"/>
        <v>28423.820000000003</v>
      </c>
    </row>
    <row r="12" spans="1:63" x14ac:dyDescent="0.3">
      <c r="A12" s="266" t="s">
        <v>317</v>
      </c>
      <c r="B12" s="268">
        <v>4125</v>
      </c>
      <c r="C12" s="268">
        <v>767.75</v>
      </c>
      <c r="D12" s="268">
        <v>0</v>
      </c>
      <c r="E12" s="268">
        <v>0</v>
      </c>
      <c r="F12" s="268">
        <v>2</v>
      </c>
      <c r="G12" s="268">
        <v>0</v>
      </c>
      <c r="H12" s="268">
        <v>0</v>
      </c>
      <c r="I12" s="259">
        <v>0</v>
      </c>
      <c r="J12" s="268">
        <v>0</v>
      </c>
      <c r="K12" s="268">
        <v>0</v>
      </c>
      <c r="L12" s="273">
        <v>9750</v>
      </c>
      <c r="M12" s="268">
        <v>398.82</v>
      </c>
      <c r="N12" s="268">
        <v>0</v>
      </c>
      <c r="O12" s="268">
        <v>1</v>
      </c>
      <c r="P12" s="268">
        <v>2</v>
      </c>
      <c r="Q12" s="273">
        <v>2034.38</v>
      </c>
      <c r="R12" s="268">
        <v>390.31</v>
      </c>
      <c r="S12" s="268">
        <v>0</v>
      </c>
      <c r="T12" s="268">
        <v>0</v>
      </c>
      <c r="U12" s="268">
        <v>1</v>
      </c>
      <c r="V12" s="268">
        <v>6890.63</v>
      </c>
      <c r="W12" s="268">
        <v>388.11</v>
      </c>
      <c r="X12" s="268">
        <v>0</v>
      </c>
      <c r="Y12" s="268">
        <v>0</v>
      </c>
      <c r="Z12" s="268">
        <v>2</v>
      </c>
      <c r="AA12" s="268">
        <v>1406.25</v>
      </c>
      <c r="AB12" s="268">
        <v>388.75</v>
      </c>
      <c r="AC12" s="268">
        <v>0</v>
      </c>
      <c r="AD12" s="268">
        <v>0</v>
      </c>
      <c r="AE12" s="268">
        <v>1</v>
      </c>
      <c r="AF12" s="268">
        <v>1734.38</v>
      </c>
      <c r="AG12" s="268">
        <v>389.4</v>
      </c>
      <c r="AH12" s="268">
        <v>0</v>
      </c>
      <c r="AI12" s="268"/>
      <c r="AJ12" s="273">
        <v>0</v>
      </c>
      <c r="AK12" s="268">
        <v>1</v>
      </c>
      <c r="AL12" s="268">
        <v>8156.25</v>
      </c>
      <c r="AM12" s="268">
        <v>390.5</v>
      </c>
      <c r="AN12" s="268">
        <v>0</v>
      </c>
      <c r="AO12" s="268">
        <v>0</v>
      </c>
      <c r="AP12" s="268">
        <v>2</v>
      </c>
      <c r="AQ12" s="267">
        <v>0</v>
      </c>
      <c r="AR12" s="267">
        <v>0</v>
      </c>
      <c r="AS12" s="268">
        <v>0</v>
      </c>
      <c r="AT12" s="268">
        <v>0</v>
      </c>
      <c r="AU12" s="268">
        <v>0</v>
      </c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74"/>
      <c r="BI12" s="274"/>
      <c r="BJ12" s="274"/>
      <c r="BK12" s="272">
        <f t="shared" si="0"/>
        <v>37222.530000000006</v>
      </c>
    </row>
    <row r="13" spans="1:63" ht="15" thickBot="1" x14ac:dyDescent="0.35">
      <c r="A13" s="275"/>
      <c r="B13" s="276"/>
      <c r="C13" s="276"/>
      <c r="D13" s="276"/>
      <c r="E13" s="276"/>
      <c r="F13" s="276"/>
      <c r="G13" s="276"/>
      <c r="H13" s="276"/>
      <c r="I13" s="276"/>
      <c r="J13" s="276">
        <v>0</v>
      </c>
      <c r="K13" s="276">
        <v>0</v>
      </c>
      <c r="L13" s="277"/>
      <c r="M13" s="276"/>
      <c r="N13" s="276"/>
      <c r="O13" s="276"/>
      <c r="P13" s="276"/>
      <c r="Q13" s="277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67"/>
      <c r="AR13" s="267"/>
      <c r="AS13" s="268"/>
      <c r="AT13" s="268"/>
      <c r="AU13" s="276"/>
      <c r="AV13" s="276">
        <v>0</v>
      </c>
      <c r="AW13" s="276">
        <v>0</v>
      </c>
      <c r="AX13" s="276">
        <v>0</v>
      </c>
      <c r="AY13" s="276">
        <v>0</v>
      </c>
      <c r="AZ13" s="276">
        <v>0</v>
      </c>
      <c r="BA13" s="276">
        <v>0</v>
      </c>
      <c r="BB13" s="276">
        <v>0</v>
      </c>
      <c r="BC13" s="276">
        <v>0</v>
      </c>
      <c r="BD13" s="276">
        <v>0</v>
      </c>
      <c r="BE13" s="276">
        <v>0</v>
      </c>
      <c r="BF13" s="276"/>
      <c r="BG13" s="276"/>
      <c r="BH13" s="278"/>
      <c r="BI13" s="278"/>
      <c r="BJ13" s="278"/>
      <c r="BK13" s="272">
        <f t="shared" si="0"/>
        <v>0</v>
      </c>
    </row>
    <row r="14" spans="1:63" ht="15" thickBot="1" x14ac:dyDescent="0.35">
      <c r="A14" s="279"/>
      <c r="B14" s="253">
        <f t="shared" ref="B14:BK14" si="1">SUM(B4:B13)</f>
        <v>27635.07</v>
      </c>
      <c r="C14" s="253">
        <f t="shared" si="1"/>
        <v>4488.76</v>
      </c>
      <c r="D14" s="253">
        <f t="shared" si="1"/>
        <v>0</v>
      </c>
      <c r="E14" s="253">
        <f t="shared" si="1"/>
        <v>6</v>
      </c>
      <c r="F14" s="253">
        <f t="shared" si="1"/>
        <v>8</v>
      </c>
      <c r="G14" s="253">
        <f t="shared" si="1"/>
        <v>10475.99</v>
      </c>
      <c r="H14" s="253">
        <f t="shared" si="1"/>
        <v>2323.31</v>
      </c>
      <c r="I14" s="253">
        <f t="shared" si="1"/>
        <v>0</v>
      </c>
      <c r="J14" s="253">
        <f t="shared" si="1"/>
        <v>0</v>
      </c>
      <c r="K14" s="253">
        <f t="shared" si="1"/>
        <v>8</v>
      </c>
      <c r="L14" s="253">
        <f t="shared" si="1"/>
        <v>61078.26</v>
      </c>
      <c r="M14" s="253">
        <f t="shared" si="1"/>
        <v>7067.8</v>
      </c>
      <c r="N14" s="253">
        <f t="shared" si="1"/>
        <v>0</v>
      </c>
      <c r="O14" s="253">
        <f t="shared" si="1"/>
        <v>8</v>
      </c>
      <c r="P14" s="253">
        <f t="shared" si="1"/>
        <v>20</v>
      </c>
      <c r="Q14" s="253">
        <f t="shared" si="1"/>
        <v>24548.11</v>
      </c>
      <c r="R14" s="253">
        <f t="shared" si="1"/>
        <v>4097.1400000000003</v>
      </c>
      <c r="S14" s="253">
        <f t="shared" si="1"/>
        <v>0</v>
      </c>
      <c r="T14" s="253">
        <f t="shared" si="1"/>
        <v>0</v>
      </c>
      <c r="U14" s="253">
        <f t="shared" si="1"/>
        <v>13</v>
      </c>
      <c r="V14" s="253">
        <f t="shared" si="1"/>
        <v>36645.799999999996</v>
      </c>
      <c r="W14" s="253">
        <f t="shared" si="1"/>
        <v>4871.3399999999992</v>
      </c>
      <c r="X14" s="253">
        <f t="shared" si="1"/>
        <v>0</v>
      </c>
      <c r="Y14" s="253">
        <f t="shared" si="1"/>
        <v>0</v>
      </c>
      <c r="Z14" s="253">
        <f t="shared" si="1"/>
        <v>19</v>
      </c>
      <c r="AA14" s="253">
        <f t="shared" si="1"/>
        <v>35704.910000000003</v>
      </c>
      <c r="AB14" s="253">
        <f t="shared" si="1"/>
        <v>6637.5199999999995</v>
      </c>
      <c r="AC14" s="253">
        <f t="shared" si="1"/>
        <v>0</v>
      </c>
      <c r="AD14" s="253">
        <f t="shared" si="1"/>
        <v>7</v>
      </c>
      <c r="AE14" s="253">
        <f t="shared" si="1"/>
        <v>11</v>
      </c>
      <c r="AF14" s="253">
        <f t="shared" si="1"/>
        <v>40778.229999999996</v>
      </c>
      <c r="AG14" s="253">
        <f t="shared" si="1"/>
        <v>6352.73</v>
      </c>
      <c r="AH14" s="253">
        <f t="shared" si="1"/>
        <v>0</v>
      </c>
      <c r="AI14" s="253">
        <f t="shared" si="1"/>
        <v>0</v>
      </c>
      <c r="AJ14" s="253">
        <f t="shared" si="1"/>
        <v>14</v>
      </c>
      <c r="AK14" s="253">
        <f t="shared" si="1"/>
        <v>3</v>
      </c>
      <c r="AL14" s="253">
        <f t="shared" si="1"/>
        <v>45389.68</v>
      </c>
      <c r="AM14" s="253">
        <f t="shared" si="1"/>
        <v>6520.44</v>
      </c>
      <c r="AN14" s="253">
        <f t="shared" si="1"/>
        <v>0</v>
      </c>
      <c r="AO14" s="253">
        <f t="shared" si="1"/>
        <v>0</v>
      </c>
      <c r="AP14" s="253">
        <f t="shared" si="1"/>
        <v>25</v>
      </c>
      <c r="AQ14" s="253">
        <f t="shared" si="1"/>
        <v>18536</v>
      </c>
      <c r="AR14" s="253">
        <f t="shared" si="1"/>
        <v>2382.8500000000004</v>
      </c>
      <c r="AS14" s="253">
        <f t="shared" si="1"/>
        <v>0</v>
      </c>
      <c r="AT14" s="253">
        <f t="shared" si="1"/>
        <v>7</v>
      </c>
      <c r="AU14" s="253">
        <f t="shared" si="1"/>
        <v>0</v>
      </c>
      <c r="AV14" s="253">
        <f t="shared" si="1"/>
        <v>0</v>
      </c>
      <c r="AW14" s="253">
        <f t="shared" si="1"/>
        <v>0</v>
      </c>
      <c r="AX14" s="253">
        <f t="shared" si="1"/>
        <v>0</v>
      </c>
      <c r="AY14" s="253">
        <f t="shared" si="1"/>
        <v>0</v>
      </c>
      <c r="AZ14" s="253">
        <f t="shared" si="1"/>
        <v>0</v>
      </c>
      <c r="BA14" s="253">
        <f t="shared" si="1"/>
        <v>0</v>
      </c>
      <c r="BB14" s="253">
        <f t="shared" si="1"/>
        <v>0</v>
      </c>
      <c r="BC14" s="253">
        <f t="shared" si="1"/>
        <v>0</v>
      </c>
      <c r="BD14" s="253">
        <f t="shared" si="1"/>
        <v>0</v>
      </c>
      <c r="BE14" s="253">
        <f t="shared" si="1"/>
        <v>0</v>
      </c>
      <c r="BF14" s="253">
        <f t="shared" si="1"/>
        <v>0</v>
      </c>
      <c r="BG14" s="253">
        <f t="shared" si="1"/>
        <v>0</v>
      </c>
      <c r="BH14" s="253">
        <f t="shared" si="1"/>
        <v>0</v>
      </c>
      <c r="BI14" s="253">
        <f t="shared" si="1"/>
        <v>0</v>
      </c>
      <c r="BJ14" s="253">
        <f t="shared" si="1"/>
        <v>0</v>
      </c>
      <c r="BK14" s="253">
        <f t="shared" si="1"/>
        <v>345682.94</v>
      </c>
    </row>
    <row r="15" spans="1:63" x14ac:dyDescent="0.3">
      <c r="A15" s="279"/>
      <c r="B15" s="280"/>
      <c r="C15" s="281"/>
      <c r="D15" s="281"/>
      <c r="E15" s="281"/>
      <c r="F15" s="281"/>
      <c r="G15" s="281"/>
      <c r="H15" s="281"/>
      <c r="I15" s="281"/>
      <c r="J15" s="281"/>
      <c r="K15" s="281"/>
      <c r="L15" s="282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1"/>
      <c r="BG15" s="98"/>
      <c r="BH15" s="98"/>
      <c r="BI15" s="98"/>
      <c r="BJ15" s="259"/>
      <c r="BK15" s="259"/>
    </row>
    <row r="16" spans="1:63" ht="40.200000000000003" x14ac:dyDescent="0.3">
      <c r="A16" s="283" t="s">
        <v>318</v>
      </c>
      <c r="B16" s="284" t="s">
        <v>319</v>
      </c>
      <c r="C16" s="257" t="s">
        <v>320</v>
      </c>
      <c r="D16" s="284" t="s">
        <v>321</v>
      </c>
      <c r="E16" s="284" t="s">
        <v>305</v>
      </c>
      <c r="F16" s="284" t="s">
        <v>306</v>
      </c>
      <c r="G16" s="284"/>
      <c r="H16" s="284"/>
      <c r="I16" s="284"/>
      <c r="J16" s="284"/>
      <c r="K16" s="28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85"/>
      <c r="BH16" s="285"/>
      <c r="BI16" s="285"/>
      <c r="BJ16" s="254"/>
      <c r="BK16" s="254"/>
    </row>
    <row r="17" spans="1:63" x14ac:dyDescent="0.3">
      <c r="A17" s="254"/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5"/>
      <c r="BH17" s="255"/>
      <c r="BI17" s="255"/>
      <c r="BJ17" s="254"/>
      <c r="BK17" s="254"/>
    </row>
    <row r="18" spans="1:63" x14ac:dyDescent="0.3">
      <c r="A18" s="254" t="s">
        <v>309</v>
      </c>
      <c r="B18" s="279">
        <f>B4+G4+L4+Q4+V4+AA4+AF4+AI4+AL4+AQ4+AV4+BA4+BF4</f>
        <v>24283.969999999998</v>
      </c>
      <c r="C18" s="256">
        <f t="shared" ref="C18:D25" si="2">C4+H4+M4+R4+W4+AB4+AG4+AM4+AR4+AW4+BB4+BG4</f>
        <v>3069.31</v>
      </c>
      <c r="D18" s="256">
        <f t="shared" si="2"/>
        <v>0</v>
      </c>
      <c r="E18" s="256">
        <f t="shared" ref="E18:F26" si="3">E4+J4+O4+T4+Y4+AD4+AJ4+AO4+AT4+AY4+BD4+BI4</f>
        <v>5</v>
      </c>
      <c r="F18" s="256">
        <f t="shared" si="3"/>
        <v>7</v>
      </c>
      <c r="G18" s="255" t="s">
        <v>322</v>
      </c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5"/>
      <c r="BH18" s="255"/>
      <c r="BI18" s="255"/>
      <c r="BJ18" s="254"/>
      <c r="BK18" s="254"/>
    </row>
    <row r="19" spans="1:63" x14ac:dyDescent="0.3">
      <c r="A19" s="254" t="s">
        <v>310</v>
      </c>
      <c r="B19" s="279">
        <f t="shared" ref="B19:B23" si="4">B5+G5+L5+Q5+V5+AA5+AF5+AI5+AL5+AQ5+AV5+BA5+BF5</f>
        <v>24933.33</v>
      </c>
      <c r="C19" s="256">
        <f t="shared" si="2"/>
        <v>1109.1600000000001</v>
      </c>
      <c r="D19" s="256">
        <f t="shared" si="2"/>
        <v>0</v>
      </c>
      <c r="E19" s="256">
        <f t="shared" si="3"/>
        <v>0</v>
      </c>
      <c r="F19" s="256">
        <f t="shared" si="3"/>
        <v>9</v>
      </c>
      <c r="G19" s="255" t="s">
        <v>323</v>
      </c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5"/>
      <c r="BH19" s="255"/>
      <c r="BI19" s="255"/>
      <c r="BJ19" s="254"/>
      <c r="BK19" s="254"/>
    </row>
    <row r="20" spans="1:63" x14ac:dyDescent="0.3">
      <c r="A20" s="279" t="s">
        <v>311</v>
      </c>
      <c r="B20" s="279">
        <f t="shared" si="4"/>
        <v>35777.800000000003</v>
      </c>
      <c r="C20" s="256">
        <f t="shared" si="2"/>
        <v>7592.1100000000006</v>
      </c>
      <c r="D20" s="256">
        <f t="shared" si="2"/>
        <v>0</v>
      </c>
      <c r="E20" s="256">
        <f t="shared" si="3"/>
        <v>6</v>
      </c>
      <c r="F20" s="256">
        <f t="shared" si="3"/>
        <v>13</v>
      </c>
      <c r="G20" s="255" t="s">
        <v>324</v>
      </c>
      <c r="H20" s="254"/>
      <c r="I20" s="254"/>
      <c r="J20" s="254"/>
      <c r="K20" s="254"/>
      <c r="L20" s="254"/>
      <c r="M20" s="254"/>
      <c r="N20" s="254"/>
      <c r="O20" s="254"/>
      <c r="P20" s="254"/>
      <c r="Q20" s="255"/>
      <c r="R20" s="255"/>
      <c r="S20" s="255"/>
      <c r="T20" s="255"/>
      <c r="U20" s="255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</row>
    <row r="21" spans="1:63" x14ac:dyDescent="0.3">
      <c r="A21" s="279" t="s">
        <v>312</v>
      </c>
      <c r="B21" s="279">
        <f t="shared" si="4"/>
        <v>56016.5</v>
      </c>
      <c r="C21" s="256">
        <f t="shared" si="2"/>
        <v>9025.11</v>
      </c>
      <c r="D21" s="256">
        <f t="shared" si="2"/>
        <v>0</v>
      </c>
      <c r="E21" s="256">
        <f t="shared" si="3"/>
        <v>6</v>
      </c>
      <c r="F21" s="256">
        <f t="shared" si="3"/>
        <v>25</v>
      </c>
      <c r="G21" s="254" t="s">
        <v>324</v>
      </c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5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</row>
    <row r="22" spans="1:63" x14ac:dyDescent="0.3">
      <c r="A22" s="279" t="s">
        <v>313</v>
      </c>
      <c r="B22" s="279">
        <f t="shared" si="4"/>
        <v>32410.400000000001</v>
      </c>
      <c r="C22" s="256">
        <f t="shared" si="2"/>
        <v>1501.46</v>
      </c>
      <c r="D22" s="256">
        <f t="shared" si="2"/>
        <v>0</v>
      </c>
      <c r="E22" s="256">
        <f t="shared" si="3"/>
        <v>6</v>
      </c>
      <c r="F22" s="256">
        <f t="shared" si="3"/>
        <v>14</v>
      </c>
      <c r="G22" s="254" t="s">
        <v>324</v>
      </c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5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</row>
    <row r="23" spans="1:63" x14ac:dyDescent="0.3">
      <c r="A23" s="279" t="s">
        <v>314</v>
      </c>
      <c r="B23" s="279">
        <f t="shared" si="4"/>
        <v>34208.329999999994</v>
      </c>
      <c r="C23" s="256">
        <f t="shared" si="2"/>
        <v>12301.189999999999</v>
      </c>
      <c r="D23" s="256">
        <f t="shared" si="2"/>
        <v>0</v>
      </c>
      <c r="E23" s="256">
        <f t="shared" si="3"/>
        <v>6</v>
      </c>
      <c r="F23" s="256">
        <f t="shared" si="3"/>
        <v>14</v>
      </c>
      <c r="G23" s="254" t="s">
        <v>324</v>
      </c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5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</row>
    <row r="24" spans="1:63" x14ac:dyDescent="0.3">
      <c r="A24" s="279" t="s">
        <v>325</v>
      </c>
      <c r="B24" s="279">
        <f>B10+G10+L10+Q10+V10+AA10+AF10+AL10+AI10+AQ10+AV10+BA10+BF10</f>
        <v>32496.83</v>
      </c>
      <c r="C24" s="256">
        <f t="shared" si="2"/>
        <v>5181.09</v>
      </c>
      <c r="D24" s="256">
        <f t="shared" si="2"/>
        <v>0</v>
      </c>
      <c r="E24" s="256">
        <f t="shared" si="3"/>
        <v>6</v>
      </c>
      <c r="F24" s="256">
        <f t="shared" si="3"/>
        <v>13</v>
      </c>
      <c r="G24" s="254" t="s">
        <v>324</v>
      </c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5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</row>
    <row r="25" spans="1:63" x14ac:dyDescent="0.3">
      <c r="A25" s="279" t="s">
        <v>326</v>
      </c>
      <c r="B25" s="279">
        <f>B11+G11+L11+Q11+V11+AA11+AF11+AL11+AI11+AQ11+AV11+BA11+BF11</f>
        <v>26568</v>
      </c>
      <c r="C25" s="256">
        <f t="shared" si="2"/>
        <v>1848.8200000000002</v>
      </c>
      <c r="D25" s="256">
        <f t="shared" si="2"/>
        <v>0</v>
      </c>
      <c r="E25" s="256">
        <f t="shared" si="3"/>
        <v>6</v>
      </c>
      <c r="F25" s="256">
        <f t="shared" si="3"/>
        <v>1</v>
      </c>
      <c r="G25" s="254" t="s">
        <v>324</v>
      </c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5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</row>
    <row r="26" spans="1:63" x14ac:dyDescent="0.3">
      <c r="A26" s="279" t="s">
        <v>317</v>
      </c>
      <c r="B26" s="279">
        <f>B12+G12+L12+Q12+V12+AA12+AF12+AL12+AI12+AQ12+AV12+BA12+BF12</f>
        <v>34096.89</v>
      </c>
      <c r="C26" s="256">
        <f>C12+M12+R12+W12+AB12+AG12+AM12+AR12+AW12+BB12+BG12</f>
        <v>3113.64</v>
      </c>
      <c r="D26" s="256">
        <f>D12+H12+N12+S12+X12+AC12+AH12+AN12+AS12+AX12+BC12+BH12</f>
        <v>0</v>
      </c>
      <c r="E26" s="256">
        <f t="shared" si="3"/>
        <v>1</v>
      </c>
      <c r="F26" s="256">
        <f t="shared" si="3"/>
        <v>11</v>
      </c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5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</row>
    <row r="27" spans="1:63" x14ac:dyDescent="0.3">
      <c r="A27" s="279"/>
      <c r="B27" s="279"/>
      <c r="C27" s="256"/>
      <c r="D27" s="256"/>
      <c r="E27" s="256"/>
      <c r="F27" s="256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5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</row>
    <row r="28" spans="1:63" ht="15" thickBot="1" x14ac:dyDescent="0.35">
      <c r="A28" s="254"/>
      <c r="B28" s="286">
        <f>SUM(B18:B26)</f>
        <v>300792.05</v>
      </c>
      <c r="C28" s="286">
        <f>SUM(C18:C26)</f>
        <v>44741.889999999992</v>
      </c>
      <c r="D28" s="286">
        <f>SUM(D20:D26)</f>
        <v>0</v>
      </c>
      <c r="E28" s="286"/>
      <c r="F28" s="286"/>
      <c r="G28" s="254"/>
      <c r="H28" s="287"/>
      <c r="I28" s="287"/>
      <c r="J28" s="287"/>
      <c r="K28" s="287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</row>
    <row r="29" spans="1:63" x14ac:dyDescent="0.3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</row>
    <row r="30" spans="1:63" ht="15" thickBot="1" x14ac:dyDescent="0.35">
      <c r="A30" s="257" t="s">
        <v>327</v>
      </c>
      <c r="B30" s="288">
        <f>B28+C28+D28</f>
        <v>345533.94</v>
      </c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</row>
    <row r="31" spans="1:63" x14ac:dyDescent="0.3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</row>
    <row r="32" spans="1:63" x14ac:dyDescent="0.3">
      <c r="A32" s="254"/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</row>
    <row r="33" spans="1:63" x14ac:dyDescent="0.3">
      <c r="A33" s="254" t="s">
        <v>328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</row>
    <row r="34" spans="1:63" x14ac:dyDescent="0.3">
      <c r="A34" s="254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</row>
    <row r="35" spans="1:63" x14ac:dyDescent="0.3">
      <c r="A35" s="254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</row>
  </sheetData>
  <mergeCells count="14">
    <mergeCell ref="BF2:BJ2"/>
    <mergeCell ref="BK2:BK3"/>
    <mergeCell ref="AA2:AE2"/>
    <mergeCell ref="AF2:AK2"/>
    <mergeCell ref="AL2:AP2"/>
    <mergeCell ref="AQ2:AU2"/>
    <mergeCell ref="AV2:AZ2"/>
    <mergeCell ref="BA2:BE2"/>
    <mergeCell ref="V2:Z2"/>
    <mergeCell ref="A2:A3"/>
    <mergeCell ref="B2:F2"/>
    <mergeCell ref="G2:K2"/>
    <mergeCell ref="L2:P2"/>
    <mergeCell ref="Q2:U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>
      <selection activeCell="M20" sqref="M20"/>
    </sheetView>
  </sheetViews>
  <sheetFormatPr defaultRowHeight="14.4" x14ac:dyDescent="0.3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>
      <selection activeCell="E14" sqref="E14"/>
    </sheetView>
  </sheetViews>
  <sheetFormatPr defaultRowHeight="14.4" x14ac:dyDescent="0.3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C000"/>
  </sheetPr>
  <dimension ref="A1:R139"/>
  <sheetViews>
    <sheetView zoomScale="84" zoomScaleNormal="84" workbookViewId="0">
      <selection activeCell="M2" sqref="M1:M1048576"/>
    </sheetView>
  </sheetViews>
  <sheetFormatPr defaultColWidth="9.109375" defaultRowHeight="14.4" x14ac:dyDescent="0.3"/>
  <cols>
    <col min="1" max="3" width="11.5546875" style="107" customWidth="1"/>
    <col min="4" max="4" width="11.5546875" style="108" customWidth="1"/>
    <col min="5" max="8" width="11.5546875" style="78" customWidth="1"/>
    <col min="9" max="9" width="11.5546875" style="77" customWidth="1"/>
    <col min="10" max="10" width="11.5546875" style="78" customWidth="1"/>
    <col min="11" max="12" width="11.5546875" style="79" customWidth="1"/>
    <col min="13" max="13" width="59.44140625" style="121" customWidth="1"/>
    <col min="14" max="18" width="20.33203125" style="107" customWidth="1"/>
    <col min="19" max="16384" width="9.109375" style="18"/>
  </cols>
  <sheetData>
    <row r="1" spans="1:18" ht="17.399999999999999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407" t="s">
        <v>67</v>
      </c>
      <c r="N1" s="407"/>
      <c r="O1" s="126"/>
      <c r="P1" s="126"/>
      <c r="Q1" s="126"/>
      <c r="R1" s="126"/>
    </row>
    <row r="2" spans="1:18" ht="24.6" hidden="1" customHeight="1" x14ac:dyDescent="0.4">
      <c r="A2" s="75"/>
      <c r="B2" s="75"/>
      <c r="C2" s="75"/>
      <c r="D2" s="76"/>
      <c r="E2" s="75"/>
      <c r="F2" s="75"/>
      <c r="G2" s="75"/>
      <c r="H2" s="75"/>
      <c r="M2" s="120" t="s">
        <v>68</v>
      </c>
      <c r="N2" s="75"/>
      <c r="O2" s="75"/>
      <c r="P2" s="75"/>
      <c r="Q2" s="75"/>
      <c r="R2" s="75"/>
    </row>
    <row r="3" spans="1:18" ht="17.399999999999999" customHeight="1" x14ac:dyDescent="0.3">
      <c r="A3" s="408" t="s">
        <v>231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14" t="s">
        <v>69</v>
      </c>
      <c r="N3" s="426" t="s">
        <v>226</v>
      </c>
      <c r="O3" s="427"/>
      <c r="P3" s="427"/>
      <c r="Q3" s="427"/>
      <c r="R3" s="428"/>
    </row>
    <row r="4" spans="1:18" ht="18.600000000000001" customHeight="1" x14ac:dyDescent="0.3">
      <c r="A4" s="125">
        <v>43191</v>
      </c>
      <c r="B4" s="125">
        <v>43221</v>
      </c>
      <c r="C4" s="125">
        <v>43252</v>
      </c>
      <c r="D4" s="125">
        <v>43282</v>
      </c>
      <c r="E4" s="125">
        <v>43313</v>
      </c>
      <c r="F4" s="125">
        <v>43344</v>
      </c>
      <c r="G4" s="125">
        <v>43374</v>
      </c>
      <c r="H4" s="125">
        <v>43405</v>
      </c>
      <c r="I4" s="125">
        <v>43435</v>
      </c>
      <c r="J4" s="125">
        <v>43466</v>
      </c>
      <c r="K4" s="125">
        <v>43497</v>
      </c>
      <c r="L4" s="125">
        <v>43525</v>
      </c>
      <c r="M4" s="395" t="s">
        <v>230</v>
      </c>
      <c r="N4" s="125" t="s">
        <v>227</v>
      </c>
      <c r="O4" s="125" t="s">
        <v>233</v>
      </c>
      <c r="P4" s="125" t="s">
        <v>18</v>
      </c>
      <c r="Q4" s="125" t="s">
        <v>228</v>
      </c>
      <c r="R4" s="125" t="s">
        <v>229</v>
      </c>
    </row>
    <row r="5" spans="1:18" ht="32.4" customHeight="1" x14ac:dyDescent="0.3">
      <c r="A5" s="10" t="s">
        <v>2</v>
      </c>
      <c r="B5" s="10" t="s">
        <v>1</v>
      </c>
      <c r="C5" s="10" t="s">
        <v>1</v>
      </c>
      <c r="D5" s="10" t="s">
        <v>1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396"/>
      <c r="N5" s="10" t="s">
        <v>232</v>
      </c>
      <c r="O5" s="10" t="s">
        <v>1</v>
      </c>
      <c r="P5" s="10"/>
      <c r="Q5" s="10"/>
      <c r="R5" s="10"/>
    </row>
    <row r="6" spans="1:18" ht="3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24"/>
      <c r="N6" s="1"/>
      <c r="O6" s="1"/>
      <c r="P6" s="1"/>
      <c r="Q6" s="1"/>
      <c r="R6" s="1"/>
    </row>
    <row r="7" spans="1:18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27" t="s">
        <v>77</v>
      </c>
      <c r="N7" s="8">
        <v>247194.68</v>
      </c>
      <c r="O7" s="8"/>
      <c r="P7" s="8"/>
      <c r="Q7" s="8"/>
      <c r="R7" s="8"/>
    </row>
    <row r="8" spans="1:18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3" t="s">
        <v>78</v>
      </c>
      <c r="N8" s="7">
        <v>18351187.780000001</v>
      </c>
      <c r="O8" s="7"/>
      <c r="P8" s="7"/>
      <c r="Q8" s="7"/>
      <c r="R8" s="7"/>
    </row>
    <row r="9" spans="1:18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3" t="s">
        <v>80</v>
      </c>
      <c r="N9" s="7">
        <v>0</v>
      </c>
      <c r="O9" s="7"/>
      <c r="P9" s="7"/>
      <c r="Q9" s="7"/>
      <c r="R9" s="7"/>
    </row>
    <row r="10" spans="1:18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3" t="s">
        <v>81</v>
      </c>
      <c r="N10" s="7">
        <v>35309.89</v>
      </c>
      <c r="O10" s="7"/>
      <c r="P10" s="7"/>
      <c r="Q10" s="7"/>
      <c r="R10" s="7"/>
    </row>
    <row r="11" spans="1:18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3" t="s">
        <v>82</v>
      </c>
      <c r="N11" s="7">
        <v>174</v>
      </c>
      <c r="O11" s="7"/>
      <c r="P11" s="7"/>
      <c r="Q11" s="7"/>
      <c r="R11" s="7"/>
    </row>
    <row r="12" spans="1:18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3" t="s">
        <v>83</v>
      </c>
      <c r="N12" s="7">
        <v>184829.23</v>
      </c>
      <c r="O12" s="7"/>
      <c r="P12" s="7"/>
      <c r="Q12" s="7"/>
      <c r="R12" s="7"/>
    </row>
    <row r="13" spans="1:18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3" t="s">
        <v>84</v>
      </c>
      <c r="N13" s="7">
        <v>82147.75</v>
      </c>
      <c r="O13" s="7"/>
      <c r="P13" s="7"/>
      <c r="Q13" s="7"/>
      <c r="R13" s="7"/>
    </row>
    <row r="14" spans="1:18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3" t="s">
        <v>86</v>
      </c>
      <c r="N14" s="7">
        <v>1470781.6199999999</v>
      </c>
      <c r="O14" s="7"/>
      <c r="P14" s="7"/>
      <c r="Q14" s="7"/>
      <c r="R14" s="7"/>
    </row>
    <row r="15" spans="1:18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3" t="s">
        <v>87</v>
      </c>
      <c r="N15" s="7">
        <v>48000</v>
      </c>
      <c r="O15" s="7"/>
      <c r="P15" s="7"/>
      <c r="Q15" s="7"/>
      <c r="R15" s="7"/>
    </row>
    <row r="16" spans="1:18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3" t="s">
        <v>88</v>
      </c>
      <c r="N16" s="11">
        <v>281080.78999999998</v>
      </c>
      <c r="O16" s="11"/>
      <c r="P16" s="11"/>
      <c r="Q16" s="11"/>
      <c r="R16" s="11"/>
    </row>
    <row r="17" spans="1:18" ht="5.4" customHeight="1" x14ac:dyDescent="0.3">
      <c r="A17" s="81"/>
      <c r="B17" s="81"/>
      <c r="C17" s="81"/>
      <c r="D17" s="85"/>
      <c r="E17" s="83"/>
      <c r="F17" s="83"/>
      <c r="G17" s="83"/>
      <c r="H17" s="83"/>
      <c r="I17" s="83"/>
      <c r="J17" s="83"/>
      <c r="K17" s="84"/>
      <c r="L17" s="84"/>
      <c r="M17" s="13"/>
      <c r="N17" s="81"/>
      <c r="O17" s="81"/>
      <c r="P17" s="81"/>
      <c r="Q17" s="81"/>
      <c r="R17" s="81"/>
    </row>
    <row r="18" spans="1:18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3" t="s">
        <v>89</v>
      </c>
      <c r="N18" s="4">
        <v>20700705.740000002</v>
      </c>
      <c r="O18" s="4"/>
      <c r="P18" s="4"/>
      <c r="Q18" s="4"/>
      <c r="R18" s="4"/>
    </row>
    <row r="19" spans="1:18" ht="5.4" customHeight="1" x14ac:dyDescent="0.3">
      <c r="A19" s="81"/>
      <c r="B19" s="81"/>
      <c r="C19" s="81"/>
      <c r="D19" s="82"/>
      <c r="E19" s="86"/>
      <c r="F19" s="86"/>
      <c r="G19" s="86"/>
      <c r="H19" s="87"/>
      <c r="I19" s="87"/>
      <c r="J19" s="87"/>
      <c r="K19" s="88"/>
      <c r="L19" s="88"/>
      <c r="M19" s="122"/>
      <c r="N19" s="81"/>
      <c r="O19" s="81"/>
      <c r="P19" s="81"/>
      <c r="Q19" s="81"/>
      <c r="R19" s="81"/>
    </row>
    <row r="20" spans="1:18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27" t="s">
        <v>90</v>
      </c>
      <c r="N20" s="8">
        <v>391971.13000000006</v>
      </c>
      <c r="O20" s="8"/>
      <c r="P20" s="8"/>
      <c r="Q20" s="8"/>
      <c r="R20" s="8"/>
    </row>
    <row r="21" spans="1:18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13" t="s">
        <v>91</v>
      </c>
      <c r="N21" s="7">
        <v>3531804.56</v>
      </c>
      <c r="O21" s="7"/>
      <c r="P21" s="7"/>
      <c r="Q21" s="7"/>
      <c r="R21" s="7"/>
    </row>
    <row r="22" spans="1:18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13" t="s">
        <v>92</v>
      </c>
      <c r="N22" s="7">
        <v>631870.44999999995</v>
      </c>
      <c r="O22" s="7"/>
      <c r="P22" s="7"/>
      <c r="Q22" s="7"/>
      <c r="R22" s="7"/>
    </row>
    <row r="23" spans="1:18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25" t="s">
        <v>93</v>
      </c>
      <c r="N23" s="7">
        <v>0</v>
      </c>
      <c r="O23" s="7"/>
      <c r="P23" s="7"/>
      <c r="Q23" s="7"/>
      <c r="R23" s="7"/>
    </row>
    <row r="24" spans="1:18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125" t="s">
        <v>94</v>
      </c>
      <c r="N24" s="7">
        <v>219761.13</v>
      </c>
      <c r="O24" s="7"/>
      <c r="P24" s="7"/>
      <c r="Q24" s="7"/>
      <c r="R24" s="7"/>
    </row>
    <row r="25" spans="1:18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13" t="s">
        <v>95</v>
      </c>
      <c r="N25" s="7">
        <v>3674.2500000000005</v>
      </c>
      <c r="O25" s="7"/>
      <c r="P25" s="7"/>
      <c r="Q25" s="7"/>
      <c r="R25" s="7"/>
    </row>
    <row r="26" spans="1:18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3" t="s">
        <v>96</v>
      </c>
      <c r="N26" s="11">
        <v>0</v>
      </c>
      <c r="O26" s="11"/>
      <c r="P26" s="11"/>
      <c r="Q26" s="11"/>
      <c r="R26" s="11"/>
    </row>
    <row r="27" spans="1:18" ht="5.4" customHeight="1" x14ac:dyDescent="0.3">
      <c r="A27" s="81"/>
      <c r="B27" s="81"/>
      <c r="C27" s="81"/>
      <c r="D27" s="85"/>
      <c r="E27" s="83"/>
      <c r="F27" s="83"/>
      <c r="G27" s="83"/>
      <c r="H27" s="83"/>
      <c r="I27" s="83"/>
      <c r="J27" s="83"/>
      <c r="K27" s="84"/>
      <c r="L27" s="84"/>
      <c r="M27" s="13"/>
      <c r="N27" s="81"/>
      <c r="O27" s="81"/>
      <c r="P27" s="81"/>
      <c r="Q27" s="81"/>
      <c r="R27" s="81"/>
    </row>
    <row r="28" spans="1:18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13" t="s">
        <v>97</v>
      </c>
      <c r="N28" s="4">
        <v>4779081.5199999996</v>
      </c>
      <c r="O28" s="4"/>
      <c r="P28" s="4"/>
      <c r="Q28" s="4"/>
      <c r="R28" s="4"/>
    </row>
    <row r="29" spans="1:18" ht="3.6" customHeight="1" x14ac:dyDescent="0.3">
      <c r="A29" s="81"/>
      <c r="B29" s="81"/>
      <c r="C29" s="81"/>
      <c r="D29" s="82"/>
      <c r="E29" s="86"/>
      <c r="F29" s="86"/>
      <c r="G29" s="86"/>
      <c r="H29" s="87"/>
      <c r="I29" s="87"/>
      <c r="J29" s="87"/>
      <c r="K29" s="84"/>
      <c r="L29" s="84"/>
      <c r="M29" s="80"/>
      <c r="N29" s="81"/>
      <c r="O29" s="81"/>
      <c r="P29" s="81"/>
      <c r="Q29" s="81"/>
      <c r="R29" s="81"/>
    </row>
    <row r="30" spans="1:18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127" t="s">
        <v>98</v>
      </c>
      <c r="N30" s="8">
        <v>1809427.19</v>
      </c>
      <c r="O30" s="8"/>
      <c r="P30" s="8"/>
      <c r="Q30" s="8"/>
      <c r="R30" s="8"/>
    </row>
    <row r="31" spans="1:18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3" t="s">
        <v>99</v>
      </c>
      <c r="N31" s="7">
        <v>27196.67</v>
      </c>
      <c r="O31" s="7"/>
      <c r="P31" s="7"/>
      <c r="Q31" s="7"/>
      <c r="R31" s="7"/>
    </row>
    <row r="32" spans="1:18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13" t="s">
        <v>100</v>
      </c>
      <c r="N32" s="7">
        <v>1144264.2</v>
      </c>
      <c r="O32" s="7"/>
      <c r="P32" s="7"/>
      <c r="Q32" s="7"/>
      <c r="R32" s="7"/>
    </row>
    <row r="33" spans="1:18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13" t="s">
        <v>101</v>
      </c>
      <c r="N33" s="7">
        <v>40365</v>
      </c>
      <c r="O33" s="7"/>
      <c r="P33" s="7"/>
      <c r="Q33" s="7"/>
      <c r="R33" s="7"/>
    </row>
    <row r="34" spans="1:18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13" t="s">
        <v>102</v>
      </c>
      <c r="N34" s="7">
        <v>362923.05</v>
      </c>
      <c r="O34" s="7"/>
      <c r="P34" s="7"/>
      <c r="Q34" s="7"/>
      <c r="R34" s="7"/>
    </row>
    <row r="35" spans="1:18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13" t="s">
        <v>104</v>
      </c>
      <c r="N35" s="7">
        <v>0</v>
      </c>
      <c r="O35" s="7"/>
      <c r="P35" s="7"/>
      <c r="Q35" s="7"/>
      <c r="R35" s="7"/>
    </row>
    <row r="36" spans="1:18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13" t="s">
        <v>105</v>
      </c>
      <c r="N36" s="7">
        <v>16976.2</v>
      </c>
      <c r="O36" s="7"/>
      <c r="P36" s="7"/>
      <c r="Q36" s="7"/>
      <c r="R36" s="7"/>
    </row>
    <row r="37" spans="1:18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27" t="s">
        <v>106</v>
      </c>
      <c r="N37" s="7">
        <v>287796.95</v>
      </c>
      <c r="O37" s="7"/>
      <c r="P37" s="7"/>
      <c r="Q37" s="7"/>
      <c r="R37" s="7"/>
    </row>
    <row r="38" spans="1:18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13" t="s">
        <v>107</v>
      </c>
      <c r="N38" s="7">
        <v>1997181.9049999998</v>
      </c>
      <c r="O38" s="7"/>
      <c r="P38" s="7"/>
      <c r="Q38" s="7"/>
      <c r="R38" s="7"/>
    </row>
    <row r="39" spans="1:18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13" t="s">
        <v>108</v>
      </c>
      <c r="N39" s="7">
        <v>518684.53</v>
      </c>
      <c r="O39" s="7"/>
      <c r="P39" s="7"/>
      <c r="Q39" s="7"/>
      <c r="R39" s="7"/>
    </row>
    <row r="40" spans="1:18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13" t="s">
        <v>109</v>
      </c>
      <c r="N40" s="7">
        <v>8933.61</v>
      </c>
      <c r="O40" s="7"/>
      <c r="P40" s="7"/>
      <c r="Q40" s="7"/>
      <c r="R40" s="7"/>
    </row>
    <row r="41" spans="1:18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13" t="s">
        <v>110</v>
      </c>
      <c r="N41" s="7">
        <v>159408.61000000002</v>
      </c>
      <c r="O41" s="7"/>
      <c r="P41" s="7"/>
      <c r="Q41" s="7"/>
      <c r="R41" s="7"/>
    </row>
    <row r="42" spans="1:18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13" t="s">
        <v>111</v>
      </c>
      <c r="N42" s="7">
        <v>108082.3</v>
      </c>
      <c r="O42" s="7"/>
      <c r="P42" s="7"/>
      <c r="Q42" s="7"/>
      <c r="R42" s="7"/>
    </row>
    <row r="43" spans="1:18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13" t="s">
        <v>112</v>
      </c>
      <c r="N43" s="7">
        <v>101009.75000000001</v>
      </c>
      <c r="O43" s="7"/>
      <c r="P43" s="7"/>
      <c r="Q43" s="7"/>
      <c r="R43" s="7"/>
    </row>
    <row r="44" spans="1:18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27" t="s">
        <v>113</v>
      </c>
      <c r="N44" s="11">
        <v>0</v>
      </c>
      <c r="O44" s="11"/>
      <c r="P44" s="11"/>
      <c r="Q44" s="11"/>
      <c r="R44" s="11"/>
    </row>
    <row r="45" spans="1:18" ht="4.2" customHeight="1" x14ac:dyDescent="0.3">
      <c r="A45" s="86"/>
      <c r="B45" s="86"/>
      <c r="C45" s="86"/>
      <c r="D45" s="85"/>
      <c r="E45" s="83"/>
      <c r="F45" s="83"/>
      <c r="G45" s="83"/>
      <c r="H45" s="83"/>
      <c r="I45" s="83"/>
      <c r="J45" s="83"/>
      <c r="K45" s="84"/>
      <c r="L45" s="84"/>
      <c r="M45" s="13"/>
      <c r="N45" s="86"/>
      <c r="O45" s="86"/>
      <c r="P45" s="86"/>
      <c r="Q45" s="86"/>
      <c r="R45" s="86"/>
    </row>
    <row r="46" spans="1:18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13" t="s">
        <v>114</v>
      </c>
      <c r="N46" s="4">
        <v>6582249.9649999999</v>
      </c>
      <c r="O46" s="4"/>
      <c r="P46" s="4"/>
      <c r="Q46" s="4"/>
      <c r="R46" s="4"/>
    </row>
    <row r="47" spans="1:18" x14ac:dyDescent="0.3">
      <c r="A47" s="81"/>
      <c r="B47" s="81"/>
      <c r="C47" s="81"/>
      <c r="D47" s="82"/>
      <c r="E47" s="86"/>
      <c r="F47" s="86"/>
      <c r="G47" s="86"/>
      <c r="H47" s="87"/>
      <c r="I47" s="87"/>
      <c r="J47" s="87"/>
      <c r="K47" s="84"/>
      <c r="L47" s="84"/>
      <c r="M47" s="80"/>
      <c r="N47" s="81"/>
      <c r="O47" s="81"/>
      <c r="P47" s="81"/>
      <c r="Q47" s="81"/>
      <c r="R47" s="81"/>
    </row>
    <row r="48" spans="1:18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127" t="s">
        <v>115</v>
      </c>
      <c r="N48" s="8">
        <v>0</v>
      </c>
      <c r="O48" s="8"/>
      <c r="P48" s="8"/>
      <c r="Q48" s="8"/>
      <c r="R48" s="8"/>
    </row>
    <row r="49" spans="1:18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13" t="s">
        <v>116</v>
      </c>
      <c r="N49" s="7">
        <v>14560.18</v>
      </c>
      <c r="O49" s="7"/>
      <c r="P49" s="7"/>
      <c r="Q49" s="7"/>
      <c r="R49" s="7"/>
    </row>
    <row r="50" spans="1:18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13" t="s">
        <v>117</v>
      </c>
      <c r="N50" s="7">
        <v>3407.03</v>
      </c>
      <c r="O50" s="7"/>
      <c r="P50" s="7"/>
      <c r="Q50" s="7"/>
      <c r="R50" s="7"/>
    </row>
    <row r="51" spans="1:18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13" t="s">
        <v>118</v>
      </c>
      <c r="N51" s="7">
        <v>1693.18</v>
      </c>
      <c r="O51" s="7"/>
      <c r="P51" s="7"/>
      <c r="Q51" s="7"/>
      <c r="R51" s="7"/>
    </row>
    <row r="52" spans="1:18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13" t="s">
        <v>119</v>
      </c>
      <c r="N52" s="7">
        <v>358</v>
      </c>
      <c r="O52" s="7"/>
      <c r="P52" s="7"/>
      <c r="Q52" s="7"/>
      <c r="R52" s="7"/>
    </row>
    <row r="53" spans="1:18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13" t="s">
        <v>120</v>
      </c>
      <c r="N53" s="7">
        <v>41004.07</v>
      </c>
      <c r="O53" s="7"/>
      <c r="P53" s="7"/>
      <c r="Q53" s="7"/>
      <c r="R53" s="7"/>
    </row>
    <row r="54" spans="1:18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13" t="s">
        <v>121</v>
      </c>
      <c r="N54" s="7">
        <v>0</v>
      </c>
      <c r="O54" s="7"/>
      <c r="P54" s="7"/>
      <c r="Q54" s="7"/>
      <c r="R54" s="7"/>
    </row>
    <row r="55" spans="1:18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127" t="s">
        <v>122</v>
      </c>
      <c r="N55" s="7">
        <v>49595.12</v>
      </c>
      <c r="O55" s="7"/>
      <c r="P55" s="7"/>
      <c r="Q55" s="7"/>
      <c r="R55" s="7"/>
    </row>
    <row r="56" spans="1:18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13" t="s">
        <v>123</v>
      </c>
      <c r="N56" s="7">
        <v>0</v>
      </c>
      <c r="O56" s="7"/>
      <c r="P56" s="7"/>
      <c r="Q56" s="7"/>
      <c r="R56" s="7"/>
    </row>
    <row r="57" spans="1:18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13" t="s">
        <v>124</v>
      </c>
      <c r="N57" s="7">
        <v>54800</v>
      </c>
      <c r="O57" s="7"/>
      <c r="P57" s="7"/>
      <c r="Q57" s="7"/>
      <c r="R57" s="7"/>
    </row>
    <row r="58" spans="1:18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13" t="s">
        <v>125</v>
      </c>
      <c r="N58" s="7">
        <v>69627.395095238084</v>
      </c>
      <c r="O58" s="7"/>
      <c r="P58" s="7"/>
      <c r="Q58" s="7"/>
      <c r="R58" s="7"/>
    </row>
    <row r="59" spans="1:18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13" t="s">
        <v>126</v>
      </c>
      <c r="N59" s="7">
        <v>2300</v>
      </c>
      <c r="O59" s="7"/>
      <c r="P59" s="7"/>
      <c r="Q59" s="7"/>
      <c r="R59" s="7"/>
    </row>
    <row r="60" spans="1:18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13" t="s">
        <v>128</v>
      </c>
      <c r="N60" s="7">
        <v>6000</v>
      </c>
      <c r="O60" s="7"/>
      <c r="P60" s="7"/>
      <c r="Q60" s="7"/>
      <c r="R60" s="7"/>
    </row>
    <row r="61" spans="1:18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13" t="s">
        <v>129</v>
      </c>
      <c r="N61" s="7">
        <v>6056.45</v>
      </c>
      <c r="O61" s="7"/>
      <c r="P61" s="7"/>
      <c r="Q61" s="7"/>
      <c r="R61" s="7"/>
    </row>
    <row r="62" spans="1:18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127" t="s">
        <v>130</v>
      </c>
      <c r="N62" s="7">
        <v>1268</v>
      </c>
      <c r="O62" s="7"/>
      <c r="P62" s="7"/>
      <c r="Q62" s="7"/>
      <c r="R62" s="7"/>
    </row>
    <row r="63" spans="1:18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27" t="s">
        <v>131</v>
      </c>
      <c r="N63" s="11">
        <v>69133.290000000008</v>
      </c>
      <c r="O63" s="11"/>
      <c r="P63" s="11"/>
      <c r="Q63" s="11"/>
      <c r="R63" s="11"/>
    </row>
    <row r="64" spans="1:18" ht="4.95" customHeight="1" thickBot="1" x14ac:dyDescent="0.35">
      <c r="A64" s="89"/>
      <c r="B64" s="89"/>
      <c r="C64" s="89"/>
      <c r="D64" s="90"/>
      <c r="E64" s="91"/>
      <c r="F64" s="91"/>
      <c r="G64" s="91"/>
      <c r="H64" s="91"/>
      <c r="I64" s="91"/>
      <c r="J64" s="91"/>
      <c r="K64" s="92"/>
      <c r="L64" s="92"/>
      <c r="M64" s="13"/>
      <c r="N64" s="89"/>
      <c r="O64" s="89"/>
      <c r="P64" s="89"/>
      <c r="Q64" s="89"/>
      <c r="R64" s="89"/>
    </row>
    <row r="65" spans="1:18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13" t="s">
        <v>132</v>
      </c>
      <c r="N65" s="4">
        <v>319802.71509523812</v>
      </c>
      <c r="O65" s="4"/>
      <c r="P65" s="4"/>
      <c r="Q65" s="4"/>
      <c r="R65" s="4"/>
    </row>
    <row r="66" spans="1:18" x14ac:dyDescent="0.3">
      <c r="A66" s="81"/>
      <c r="B66" s="81"/>
      <c r="C66" s="81"/>
      <c r="D66" s="82"/>
      <c r="E66" s="86"/>
      <c r="F66" s="86"/>
      <c r="G66" s="86"/>
      <c r="H66" s="87"/>
      <c r="I66" s="87"/>
      <c r="J66" s="87"/>
      <c r="K66" s="84"/>
      <c r="L66" s="84"/>
      <c r="M66" s="80"/>
      <c r="N66" s="81"/>
      <c r="O66" s="81"/>
      <c r="P66" s="81"/>
      <c r="Q66" s="81"/>
      <c r="R66" s="81"/>
    </row>
    <row r="67" spans="1:18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127" t="s">
        <v>133</v>
      </c>
      <c r="N67" s="8">
        <v>7549.43</v>
      </c>
      <c r="O67" s="8"/>
      <c r="P67" s="8"/>
      <c r="Q67" s="8"/>
      <c r="R67" s="8"/>
    </row>
    <row r="68" spans="1:18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13" t="s">
        <v>134</v>
      </c>
      <c r="N68" s="7">
        <v>216070.09</v>
      </c>
      <c r="O68" s="7"/>
      <c r="P68" s="7"/>
      <c r="Q68" s="7"/>
      <c r="R68" s="7"/>
    </row>
    <row r="69" spans="1:18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13" t="s">
        <v>135</v>
      </c>
      <c r="N69" s="7">
        <v>0</v>
      </c>
      <c r="O69" s="7"/>
      <c r="P69" s="7"/>
      <c r="Q69" s="7"/>
      <c r="R69" s="7"/>
    </row>
    <row r="70" spans="1:18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13" t="s">
        <v>136</v>
      </c>
      <c r="N70" s="7">
        <v>0</v>
      </c>
      <c r="O70" s="7"/>
      <c r="P70" s="7"/>
      <c r="Q70" s="7"/>
      <c r="R70" s="7"/>
    </row>
    <row r="71" spans="1:18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13" t="s">
        <v>137</v>
      </c>
      <c r="N71" s="7">
        <v>919385.80999999994</v>
      </c>
      <c r="O71" s="7"/>
      <c r="P71" s="7"/>
      <c r="Q71" s="7"/>
      <c r="R71" s="7"/>
    </row>
    <row r="72" spans="1:18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13" t="s">
        <v>138</v>
      </c>
      <c r="N72" s="7">
        <v>25467</v>
      </c>
      <c r="O72" s="7"/>
      <c r="P72" s="7"/>
      <c r="Q72" s="7"/>
      <c r="R72" s="7"/>
    </row>
    <row r="73" spans="1:18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13" t="s">
        <v>123</v>
      </c>
      <c r="N73" s="7">
        <v>0</v>
      </c>
      <c r="O73" s="7"/>
      <c r="P73" s="7"/>
      <c r="Q73" s="7"/>
      <c r="R73" s="7"/>
    </row>
    <row r="74" spans="1:18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127" t="s">
        <v>139</v>
      </c>
      <c r="N74" s="7">
        <v>2259647.36</v>
      </c>
      <c r="O74" s="7"/>
      <c r="P74" s="7"/>
      <c r="Q74" s="7"/>
      <c r="R74" s="7"/>
    </row>
    <row r="75" spans="1:18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13" t="s">
        <v>140</v>
      </c>
      <c r="N75" s="7">
        <v>77073.72</v>
      </c>
      <c r="O75" s="7"/>
      <c r="P75" s="7"/>
      <c r="Q75" s="7"/>
      <c r="R75" s="7"/>
    </row>
    <row r="76" spans="1:18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13" t="s">
        <v>141</v>
      </c>
      <c r="N76" s="7">
        <v>5928</v>
      </c>
      <c r="O76" s="7"/>
      <c r="P76" s="7"/>
      <c r="Q76" s="7"/>
      <c r="R76" s="7"/>
    </row>
    <row r="77" spans="1:18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13" t="s">
        <v>142</v>
      </c>
      <c r="N77" s="7">
        <v>0</v>
      </c>
      <c r="O77" s="7"/>
      <c r="P77" s="7"/>
      <c r="Q77" s="7"/>
      <c r="R77" s="7"/>
    </row>
    <row r="78" spans="1:18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13" t="s">
        <v>143</v>
      </c>
      <c r="N78" s="7">
        <v>0</v>
      </c>
      <c r="O78" s="7"/>
      <c r="P78" s="7"/>
      <c r="Q78" s="7"/>
      <c r="R78" s="7"/>
    </row>
    <row r="79" spans="1:18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13" t="s">
        <v>144</v>
      </c>
      <c r="N79" s="7">
        <v>57048.039999999994</v>
      </c>
      <c r="O79" s="7"/>
      <c r="P79" s="7"/>
      <c r="Q79" s="7"/>
      <c r="R79" s="7"/>
    </row>
    <row r="80" spans="1:18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13" t="s">
        <v>145</v>
      </c>
      <c r="N80" s="7">
        <v>0</v>
      </c>
      <c r="O80" s="7"/>
      <c r="P80" s="7"/>
      <c r="Q80" s="7"/>
      <c r="R80" s="7"/>
    </row>
    <row r="81" spans="1:18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127" t="s">
        <v>146</v>
      </c>
      <c r="N81" s="7">
        <v>109627.5</v>
      </c>
      <c r="O81" s="7"/>
      <c r="P81" s="7"/>
      <c r="Q81" s="7"/>
      <c r="R81" s="7"/>
    </row>
    <row r="82" spans="1:18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127" t="s">
        <v>147</v>
      </c>
      <c r="N82" s="7">
        <v>105978.04</v>
      </c>
      <c r="O82" s="7"/>
      <c r="P82" s="7"/>
      <c r="Q82" s="7"/>
      <c r="R82" s="7"/>
    </row>
    <row r="83" spans="1:18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127" t="s">
        <v>148</v>
      </c>
      <c r="N83" s="7">
        <v>0</v>
      </c>
      <c r="O83" s="7"/>
      <c r="P83" s="7"/>
      <c r="Q83" s="7"/>
      <c r="R83" s="7"/>
    </row>
    <row r="84" spans="1:18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13" t="s">
        <v>149</v>
      </c>
      <c r="N84" s="7">
        <v>0</v>
      </c>
      <c r="O84" s="7"/>
      <c r="P84" s="7"/>
      <c r="Q84" s="7"/>
      <c r="R84" s="7"/>
    </row>
    <row r="85" spans="1:18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13" t="s">
        <v>150</v>
      </c>
      <c r="N85" s="7">
        <v>0</v>
      </c>
      <c r="O85" s="7"/>
      <c r="P85" s="7"/>
      <c r="Q85" s="7"/>
      <c r="R85" s="7"/>
    </row>
    <row r="86" spans="1:18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13" t="s">
        <v>151</v>
      </c>
      <c r="N86" s="7">
        <v>0</v>
      </c>
      <c r="O86" s="7"/>
      <c r="P86" s="7"/>
      <c r="Q86" s="7"/>
      <c r="R86" s="7"/>
    </row>
    <row r="87" spans="1:18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13" t="s">
        <v>152</v>
      </c>
      <c r="N87" s="7">
        <v>32970.080000000002</v>
      </c>
      <c r="O87" s="7"/>
      <c r="P87" s="7"/>
      <c r="Q87" s="7"/>
      <c r="R87" s="7"/>
    </row>
    <row r="88" spans="1:18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13" t="s">
        <v>153</v>
      </c>
      <c r="N88" s="7">
        <v>0</v>
      </c>
      <c r="O88" s="7"/>
      <c r="P88" s="7"/>
      <c r="Q88" s="7"/>
      <c r="R88" s="7"/>
    </row>
    <row r="89" spans="1:18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27" t="s">
        <v>154</v>
      </c>
      <c r="N89" s="11">
        <v>0</v>
      </c>
      <c r="O89" s="11"/>
      <c r="P89" s="11"/>
      <c r="Q89" s="11"/>
      <c r="R89" s="11"/>
    </row>
    <row r="90" spans="1:18" ht="4.2" customHeight="1" thickBot="1" x14ac:dyDescent="0.35">
      <c r="A90" s="93"/>
      <c r="B90" s="93"/>
      <c r="C90" s="93"/>
      <c r="D90" s="94"/>
      <c r="E90" s="91"/>
      <c r="F90" s="91"/>
      <c r="G90" s="91"/>
      <c r="H90" s="91"/>
      <c r="I90" s="91"/>
      <c r="J90" s="91"/>
      <c r="K90" s="92"/>
      <c r="L90" s="92"/>
      <c r="M90" s="13"/>
      <c r="N90" s="93"/>
      <c r="O90" s="93"/>
      <c r="P90" s="93"/>
      <c r="Q90" s="93"/>
      <c r="R90" s="93"/>
    </row>
    <row r="91" spans="1:18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3" t="s">
        <v>155</v>
      </c>
      <c r="N91" s="4">
        <v>3816745.07</v>
      </c>
      <c r="O91" s="4"/>
      <c r="P91" s="4"/>
      <c r="Q91" s="4"/>
      <c r="R91" s="4"/>
    </row>
    <row r="92" spans="1:18" x14ac:dyDescent="0.3">
      <c r="A92" s="81"/>
      <c r="B92" s="81"/>
      <c r="C92" s="81"/>
      <c r="D92" s="82"/>
      <c r="E92" s="86"/>
      <c r="F92" s="86"/>
      <c r="G92" s="86"/>
      <c r="H92" s="87"/>
      <c r="I92" s="87"/>
      <c r="J92" s="87"/>
      <c r="K92" s="84"/>
      <c r="L92" s="84"/>
      <c r="M92" s="80"/>
      <c r="N92" s="81"/>
      <c r="O92" s="81"/>
      <c r="P92" s="81"/>
      <c r="Q92" s="81"/>
      <c r="R92" s="81"/>
    </row>
    <row r="93" spans="1:18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127" t="s">
        <v>156</v>
      </c>
      <c r="N93" s="8">
        <v>109413.16</v>
      </c>
      <c r="O93" s="8"/>
      <c r="P93" s="8"/>
      <c r="Q93" s="8"/>
      <c r="R93" s="8"/>
    </row>
    <row r="94" spans="1:18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13" t="s">
        <v>158</v>
      </c>
      <c r="N94" s="7">
        <v>50619</v>
      </c>
      <c r="O94" s="7"/>
      <c r="P94" s="7"/>
      <c r="Q94" s="7"/>
      <c r="R94" s="7"/>
    </row>
    <row r="95" spans="1:18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13" t="s">
        <v>159</v>
      </c>
      <c r="N95" s="7">
        <v>48.4</v>
      </c>
      <c r="O95" s="7"/>
      <c r="P95" s="7"/>
      <c r="Q95" s="7"/>
      <c r="R95" s="7"/>
    </row>
    <row r="96" spans="1:18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13" t="s">
        <v>160</v>
      </c>
      <c r="N96" s="7">
        <v>6220.31</v>
      </c>
      <c r="O96" s="7"/>
      <c r="P96" s="7"/>
      <c r="Q96" s="7"/>
      <c r="R96" s="7"/>
    </row>
    <row r="97" spans="1:18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13" t="s">
        <v>161</v>
      </c>
      <c r="N97" s="7">
        <v>117114.48000000001</v>
      </c>
      <c r="O97" s="7"/>
      <c r="P97" s="7"/>
      <c r="Q97" s="7"/>
      <c r="R97" s="7"/>
    </row>
    <row r="98" spans="1:18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13" t="s">
        <v>162</v>
      </c>
      <c r="N98" s="7">
        <v>6229.3</v>
      </c>
      <c r="O98" s="7"/>
      <c r="P98" s="7"/>
      <c r="Q98" s="7"/>
      <c r="R98" s="7"/>
    </row>
    <row r="99" spans="1:18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13" t="s">
        <v>163</v>
      </c>
      <c r="N99" s="7">
        <v>379565.91</v>
      </c>
      <c r="O99" s="7"/>
      <c r="P99" s="7"/>
      <c r="Q99" s="7"/>
      <c r="R99" s="7"/>
    </row>
    <row r="100" spans="1:18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27" t="s">
        <v>164</v>
      </c>
      <c r="N100" s="11">
        <v>10469.14</v>
      </c>
      <c r="O100" s="11"/>
      <c r="P100" s="11"/>
      <c r="Q100" s="11"/>
      <c r="R100" s="11"/>
    </row>
    <row r="101" spans="1:18" ht="6" customHeight="1" thickBot="1" x14ac:dyDescent="0.35">
      <c r="A101" s="89"/>
      <c r="B101" s="89"/>
      <c r="C101" s="89"/>
      <c r="D101" s="90"/>
      <c r="E101" s="91"/>
      <c r="F101" s="91"/>
      <c r="G101" s="91"/>
      <c r="H101" s="91"/>
      <c r="I101" s="91"/>
      <c r="J101" s="91"/>
      <c r="K101" s="92"/>
      <c r="L101" s="92"/>
      <c r="M101" s="13"/>
      <c r="N101" s="89"/>
      <c r="O101" s="89"/>
      <c r="P101" s="89"/>
      <c r="Q101" s="89"/>
      <c r="R101" s="89"/>
    </row>
    <row r="102" spans="1:18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13" t="s">
        <v>166</v>
      </c>
      <c r="N102" s="4">
        <v>679679.7</v>
      </c>
      <c r="O102" s="4"/>
      <c r="P102" s="4"/>
      <c r="Q102" s="4"/>
      <c r="R102" s="4"/>
    </row>
    <row r="103" spans="1:18" ht="6" customHeight="1" x14ac:dyDescent="0.3">
      <c r="A103" s="81"/>
      <c r="B103" s="81"/>
      <c r="C103" s="81"/>
      <c r="D103" s="82"/>
      <c r="E103" s="86"/>
      <c r="F103" s="86"/>
      <c r="G103" s="86"/>
      <c r="H103" s="87"/>
      <c r="I103" s="87"/>
      <c r="J103" s="87"/>
      <c r="K103" s="84"/>
      <c r="L103" s="84"/>
      <c r="M103" s="80"/>
      <c r="N103" s="81"/>
      <c r="O103" s="81"/>
      <c r="P103" s="81"/>
      <c r="Q103" s="81"/>
      <c r="R103" s="81"/>
    </row>
    <row r="104" spans="1:18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127" t="s">
        <v>167</v>
      </c>
      <c r="N104" s="8">
        <v>334</v>
      </c>
      <c r="O104" s="8"/>
      <c r="P104" s="8"/>
      <c r="Q104" s="8"/>
      <c r="R104" s="8"/>
    </row>
    <row r="105" spans="1:18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13" t="s">
        <v>168</v>
      </c>
      <c r="N105" s="7">
        <v>10228.4</v>
      </c>
      <c r="O105" s="7"/>
      <c r="P105" s="7"/>
      <c r="Q105" s="7"/>
      <c r="R105" s="7"/>
    </row>
    <row r="106" spans="1:18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3" t="s">
        <v>169</v>
      </c>
      <c r="N106" s="11">
        <v>0</v>
      </c>
      <c r="O106" s="11"/>
      <c r="P106" s="11"/>
      <c r="Q106" s="11"/>
      <c r="R106" s="11"/>
    </row>
    <row r="107" spans="1:18" ht="3.6" customHeight="1" thickBot="1" x14ac:dyDescent="0.35">
      <c r="A107" s="89"/>
      <c r="B107" s="89"/>
      <c r="C107" s="89"/>
      <c r="D107" s="90"/>
      <c r="E107" s="91"/>
      <c r="F107" s="91"/>
      <c r="G107" s="91"/>
      <c r="H107" s="91"/>
      <c r="I107" s="91"/>
      <c r="J107" s="91"/>
      <c r="K107" s="92"/>
      <c r="L107" s="92"/>
      <c r="M107" s="13"/>
      <c r="N107" s="89"/>
      <c r="O107" s="89"/>
      <c r="P107" s="89"/>
      <c r="Q107" s="89"/>
      <c r="R107" s="89"/>
    </row>
    <row r="108" spans="1:18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13" t="s">
        <v>170</v>
      </c>
      <c r="N108" s="4">
        <v>10562.4</v>
      </c>
      <c r="O108" s="4"/>
      <c r="P108" s="4"/>
      <c r="Q108" s="4"/>
      <c r="R108" s="4"/>
    </row>
    <row r="109" spans="1:18" ht="6" customHeight="1" x14ac:dyDescent="0.3">
      <c r="A109" s="81"/>
      <c r="B109" s="81"/>
      <c r="C109" s="81"/>
      <c r="D109" s="82"/>
      <c r="E109" s="81"/>
      <c r="F109" s="81"/>
      <c r="G109" s="81"/>
      <c r="H109" s="87"/>
      <c r="I109" s="87"/>
      <c r="J109" s="87"/>
      <c r="K109" s="88"/>
      <c r="L109" s="88"/>
      <c r="M109" s="80"/>
      <c r="N109" s="81"/>
      <c r="O109" s="81"/>
      <c r="P109" s="81"/>
      <c r="Q109" s="81"/>
      <c r="R109" s="81"/>
    </row>
    <row r="110" spans="1:18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127" t="s">
        <v>171</v>
      </c>
      <c r="N110" s="4">
        <v>16188121.370095238</v>
      </c>
      <c r="O110" s="4"/>
      <c r="P110" s="4"/>
      <c r="Q110" s="4"/>
      <c r="R110" s="4"/>
    </row>
    <row r="111" spans="1:18" ht="5.4" customHeight="1" x14ac:dyDescent="0.3">
      <c r="A111" s="81"/>
      <c r="B111" s="81"/>
      <c r="C111" s="81"/>
      <c r="D111" s="82"/>
      <c r="E111" s="81"/>
      <c r="F111" s="81"/>
      <c r="G111" s="81"/>
      <c r="H111" s="87"/>
      <c r="I111" s="87"/>
      <c r="J111" s="87"/>
      <c r="K111" s="88"/>
      <c r="L111" s="88"/>
      <c r="M111" s="122"/>
      <c r="N111" s="81"/>
      <c r="O111" s="81"/>
      <c r="P111" s="81"/>
      <c r="Q111" s="81"/>
      <c r="R111" s="81"/>
    </row>
    <row r="112" spans="1:18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13" t="s">
        <v>172</v>
      </c>
      <c r="N112" s="4">
        <v>36888827.11009524</v>
      </c>
      <c r="O112" s="4"/>
      <c r="P112" s="4"/>
      <c r="Q112" s="4"/>
      <c r="R112" s="4"/>
    </row>
    <row r="113" spans="1:18" ht="6.6" customHeight="1" x14ac:dyDescent="0.3">
      <c r="A113" s="81"/>
      <c r="B113" s="81"/>
      <c r="C113" s="81"/>
      <c r="D113" s="82"/>
      <c r="E113" s="81"/>
      <c r="F113" s="81"/>
      <c r="G113" s="81"/>
      <c r="H113" s="87"/>
      <c r="I113" s="87"/>
      <c r="J113" s="87"/>
      <c r="K113" s="88"/>
      <c r="L113" s="88"/>
      <c r="M113" s="122"/>
      <c r="N113" s="81"/>
      <c r="O113" s="81"/>
      <c r="P113" s="81"/>
      <c r="Q113" s="81"/>
      <c r="R113" s="81"/>
    </row>
    <row r="114" spans="1:18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127" t="s">
        <v>173</v>
      </c>
      <c r="N114" s="8">
        <v>32936</v>
      </c>
      <c r="O114" s="8"/>
      <c r="P114" s="8"/>
      <c r="Q114" s="8"/>
      <c r="R114" s="8"/>
    </row>
    <row r="115" spans="1:18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13" t="s">
        <v>174</v>
      </c>
      <c r="N115" s="7">
        <v>5700</v>
      </c>
      <c r="O115" s="7"/>
      <c r="P115" s="7"/>
      <c r="Q115" s="7"/>
      <c r="R115" s="7"/>
    </row>
    <row r="116" spans="1:18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13" t="s">
        <v>175</v>
      </c>
      <c r="N116" s="7">
        <v>0</v>
      </c>
      <c r="O116" s="7"/>
      <c r="P116" s="7"/>
      <c r="Q116" s="7"/>
      <c r="R116" s="7"/>
    </row>
    <row r="117" spans="1:18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127" t="s">
        <v>176</v>
      </c>
      <c r="N117" s="7">
        <v>147337.47</v>
      </c>
      <c r="O117" s="7"/>
      <c r="P117" s="7"/>
      <c r="Q117" s="7"/>
      <c r="R117" s="7"/>
    </row>
    <row r="118" spans="1:18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13" t="s">
        <v>177</v>
      </c>
      <c r="N118" s="7">
        <v>24505</v>
      </c>
      <c r="O118" s="7"/>
      <c r="P118" s="7"/>
      <c r="Q118" s="7"/>
      <c r="R118" s="7"/>
    </row>
    <row r="119" spans="1:18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13" t="s">
        <v>178</v>
      </c>
      <c r="N119" s="7">
        <v>884823.20000000019</v>
      </c>
      <c r="O119" s="7"/>
      <c r="P119" s="7"/>
      <c r="Q119" s="7"/>
      <c r="R119" s="7"/>
    </row>
    <row r="120" spans="1:18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127" t="s">
        <v>179</v>
      </c>
      <c r="N120" s="7">
        <v>0</v>
      </c>
      <c r="O120" s="7"/>
      <c r="P120" s="7"/>
      <c r="Q120" s="7"/>
      <c r="R120" s="7"/>
    </row>
    <row r="121" spans="1:18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13" t="s">
        <v>180</v>
      </c>
      <c r="N121" s="7">
        <v>0</v>
      </c>
      <c r="O121" s="7"/>
      <c r="P121" s="7"/>
      <c r="Q121" s="7"/>
      <c r="R121" s="7"/>
    </row>
    <row r="122" spans="1:18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13" t="s">
        <v>181</v>
      </c>
      <c r="N122" s="7">
        <v>120637.92</v>
      </c>
      <c r="O122" s="7"/>
      <c r="P122" s="7"/>
      <c r="Q122" s="7"/>
      <c r="R122" s="7"/>
    </row>
    <row r="123" spans="1:18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127" t="s">
        <v>182</v>
      </c>
      <c r="N123" s="7">
        <v>880847.82000000007</v>
      </c>
      <c r="O123" s="7"/>
      <c r="P123" s="7"/>
      <c r="Q123" s="7"/>
      <c r="R123" s="7"/>
    </row>
    <row r="124" spans="1:18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13" t="s">
        <v>183</v>
      </c>
      <c r="N124" s="7">
        <v>0</v>
      </c>
      <c r="O124" s="7"/>
      <c r="P124" s="7"/>
      <c r="Q124" s="7"/>
      <c r="R124" s="7"/>
    </row>
    <row r="125" spans="1:18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3" t="s">
        <v>184</v>
      </c>
      <c r="N125" s="11">
        <v>0</v>
      </c>
      <c r="O125" s="11"/>
      <c r="P125" s="11"/>
      <c r="Q125" s="11"/>
      <c r="R125" s="11"/>
    </row>
    <row r="126" spans="1:18" ht="5.4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13"/>
      <c r="N126" s="7"/>
      <c r="O126" s="7"/>
      <c r="P126" s="7"/>
      <c r="Q126" s="7"/>
      <c r="R126" s="7"/>
    </row>
    <row r="127" spans="1:18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13" t="s">
        <v>185</v>
      </c>
      <c r="N127" s="4">
        <v>2096787.4100000001</v>
      </c>
      <c r="O127" s="4"/>
      <c r="P127" s="4"/>
      <c r="Q127" s="4"/>
      <c r="R127" s="4"/>
    </row>
    <row r="128" spans="1:18" ht="5.4" customHeight="1" x14ac:dyDescent="0.3">
      <c r="A128" s="81"/>
      <c r="B128" s="81"/>
      <c r="C128" s="81"/>
      <c r="D128" s="82"/>
      <c r="E128" s="86"/>
      <c r="F128" s="86"/>
      <c r="G128" s="86"/>
      <c r="H128" s="86"/>
      <c r="I128" s="87"/>
      <c r="J128" s="87"/>
      <c r="K128" s="88"/>
      <c r="L128" s="88"/>
      <c r="M128" s="122"/>
      <c r="N128" s="81"/>
      <c r="O128" s="81"/>
      <c r="P128" s="81"/>
      <c r="Q128" s="81"/>
      <c r="R128" s="81"/>
    </row>
    <row r="129" spans="1:18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13" t="s">
        <v>186</v>
      </c>
      <c r="N129" s="4">
        <v>38985614.520095244</v>
      </c>
      <c r="O129" s="4"/>
      <c r="P129" s="4"/>
      <c r="Q129" s="4"/>
      <c r="R129" s="4"/>
    </row>
    <row r="130" spans="1:18" ht="5.4" customHeight="1" x14ac:dyDescent="0.3">
      <c r="A130" s="81"/>
      <c r="B130" s="81"/>
      <c r="C130" s="81"/>
      <c r="D130" s="82"/>
      <c r="E130" s="81"/>
      <c r="F130" s="81"/>
      <c r="G130" s="81"/>
      <c r="H130" s="81"/>
      <c r="I130" s="87"/>
      <c r="J130" s="87"/>
      <c r="K130" s="88"/>
      <c r="L130" s="88"/>
      <c r="M130" s="122"/>
      <c r="N130" s="81"/>
      <c r="O130" s="81"/>
      <c r="P130" s="81"/>
      <c r="Q130" s="81"/>
      <c r="R130" s="81"/>
    </row>
    <row r="131" spans="1:18" ht="7.95" customHeight="1" x14ac:dyDescent="0.3">
      <c r="A131" s="99"/>
      <c r="B131" s="99"/>
      <c r="C131" s="99"/>
      <c r="D131" s="100"/>
      <c r="E131" s="98"/>
      <c r="M131" s="13"/>
      <c r="N131" s="99"/>
      <c r="O131" s="99"/>
      <c r="P131" s="99"/>
      <c r="Q131" s="99"/>
      <c r="R131" s="99"/>
    </row>
    <row r="132" spans="1:18" x14ac:dyDescent="0.3">
      <c r="A132" s="101"/>
      <c r="B132" s="101"/>
      <c r="C132" s="101"/>
      <c r="D132" s="102"/>
      <c r="E132" s="98"/>
      <c r="M132" s="123"/>
      <c r="N132" s="101"/>
      <c r="O132" s="101"/>
      <c r="P132" s="101"/>
      <c r="Q132" s="101"/>
      <c r="R132" s="101"/>
    </row>
    <row r="133" spans="1:18" x14ac:dyDescent="0.3">
      <c r="A133" s="103"/>
      <c r="B133" s="103"/>
      <c r="C133" s="103"/>
      <c r="D133" s="104"/>
      <c r="M133" s="123"/>
      <c r="N133" s="103"/>
      <c r="O133" s="103"/>
      <c r="P133" s="103"/>
      <c r="Q133" s="103"/>
      <c r="R133" s="103"/>
    </row>
    <row r="134" spans="1:18" x14ac:dyDescent="0.3">
      <c r="A134" s="103"/>
      <c r="B134" s="103"/>
      <c r="C134" s="103"/>
      <c r="D134" s="104"/>
      <c r="M134" s="123"/>
      <c r="N134" s="103"/>
      <c r="O134" s="103"/>
      <c r="P134" s="103"/>
      <c r="Q134" s="103"/>
      <c r="R134" s="103"/>
    </row>
    <row r="135" spans="1:18" x14ac:dyDescent="0.3">
      <c r="A135" s="105"/>
      <c r="B135" s="105"/>
      <c r="C135" s="105"/>
      <c r="D135" s="104"/>
      <c r="M135" s="123"/>
      <c r="N135" s="105"/>
      <c r="O135" s="105"/>
      <c r="P135" s="105"/>
      <c r="Q135" s="105"/>
      <c r="R135" s="105"/>
    </row>
    <row r="136" spans="1:18" x14ac:dyDescent="0.3">
      <c r="A136" s="103"/>
      <c r="B136" s="103"/>
      <c r="C136" s="103"/>
      <c r="D136" s="104"/>
      <c r="M136" s="123"/>
      <c r="N136" s="103"/>
      <c r="O136" s="103"/>
      <c r="P136" s="103"/>
      <c r="Q136" s="103"/>
      <c r="R136" s="103"/>
    </row>
    <row r="137" spans="1:18" x14ac:dyDescent="0.3">
      <c r="A137" s="105"/>
      <c r="B137" s="105"/>
      <c r="C137" s="105"/>
      <c r="D137" s="104"/>
      <c r="M137" s="123"/>
      <c r="N137" s="105"/>
      <c r="O137" s="105"/>
      <c r="P137" s="105"/>
      <c r="Q137" s="105"/>
      <c r="R137" s="105"/>
    </row>
    <row r="138" spans="1:18" x14ac:dyDescent="0.3">
      <c r="A138" s="15"/>
      <c r="B138" s="15"/>
      <c r="C138" s="15"/>
      <c r="D138" s="106"/>
      <c r="M138" s="123"/>
      <c r="N138" s="15"/>
      <c r="O138" s="15"/>
      <c r="P138" s="15"/>
      <c r="Q138" s="15"/>
      <c r="R138" s="15"/>
    </row>
    <row r="139" spans="1:18" x14ac:dyDescent="0.3">
      <c r="A139" s="15"/>
      <c r="B139" s="15"/>
      <c r="C139" s="15"/>
      <c r="D139" s="106"/>
      <c r="M139" s="123"/>
      <c r="N139" s="15"/>
      <c r="O139" s="15"/>
      <c r="P139" s="15"/>
      <c r="Q139" s="15"/>
      <c r="R139" s="15"/>
    </row>
  </sheetData>
  <mergeCells count="4">
    <mergeCell ref="M1:N1"/>
    <mergeCell ref="A3:L3"/>
    <mergeCell ref="N3:R3"/>
    <mergeCell ref="M4:M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B1:T139"/>
  <sheetViews>
    <sheetView topLeftCell="D1" zoomScale="84" zoomScaleNormal="84" workbookViewId="0">
      <selection activeCell="R21" sqref="R21"/>
    </sheetView>
  </sheetViews>
  <sheetFormatPr defaultColWidth="9.109375" defaultRowHeight="14.4" x14ac:dyDescent="0.3"/>
  <cols>
    <col min="1" max="1" width="1.88671875" style="18" customWidth="1"/>
    <col min="2" max="4" width="11.5546875" style="107" customWidth="1"/>
    <col min="5" max="5" width="11.5546875" style="108" customWidth="1"/>
    <col min="6" max="9" width="11.5546875" style="78" customWidth="1"/>
    <col min="10" max="10" width="11.5546875" style="77" customWidth="1"/>
    <col min="11" max="11" width="11.5546875" style="78" customWidth="1"/>
    <col min="12" max="13" width="11.5546875" style="79" customWidth="1"/>
    <col min="14" max="14" width="26.5546875" style="107" customWidth="1"/>
    <col min="15" max="15" width="20.33203125" style="107" customWidth="1"/>
    <col min="16" max="16" width="59.44140625" style="121" customWidth="1"/>
    <col min="17" max="17" width="15.88671875" style="154" customWidth="1"/>
    <col min="18" max="19" width="20.33203125" style="154" customWidth="1"/>
    <col min="20" max="20" width="20.33203125" style="107" customWidth="1"/>
    <col min="21" max="16384" width="9.109375" style="18"/>
  </cols>
  <sheetData>
    <row r="1" spans="2:20" ht="17.399999999999999" x14ac:dyDescent="0.3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28"/>
      <c r="P1" s="128" t="s">
        <v>67</v>
      </c>
      <c r="Q1" s="143"/>
      <c r="R1" s="143"/>
      <c r="S1" s="143"/>
      <c r="T1" s="128"/>
    </row>
    <row r="2" spans="2:20" ht="24.6" hidden="1" customHeight="1" x14ac:dyDescent="0.4">
      <c r="B2" s="75"/>
      <c r="C2" s="75"/>
      <c r="D2" s="75"/>
      <c r="E2" s="76"/>
      <c r="F2" s="75"/>
      <c r="G2" s="75"/>
      <c r="H2" s="75"/>
      <c r="I2" s="75"/>
      <c r="N2" s="75"/>
      <c r="O2" s="75"/>
      <c r="P2" s="120" t="s">
        <v>68</v>
      </c>
      <c r="Q2" s="144"/>
      <c r="R2" s="144"/>
      <c r="S2" s="144"/>
      <c r="T2" s="75"/>
    </row>
    <row r="3" spans="2:20" ht="17.399999999999999" customHeight="1" x14ac:dyDescent="0.3">
      <c r="B3" s="408" t="s">
        <v>231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129"/>
      <c r="O3" s="129"/>
      <c r="P3" s="17" t="s">
        <v>69</v>
      </c>
      <c r="Q3" s="427"/>
      <c r="R3" s="427"/>
      <c r="S3" s="427"/>
      <c r="T3" s="428"/>
    </row>
    <row r="4" spans="2:20" ht="58.5" customHeight="1" x14ac:dyDescent="0.3">
      <c r="B4" s="125">
        <v>43556</v>
      </c>
      <c r="C4" s="125">
        <v>43586</v>
      </c>
      <c r="D4" s="125">
        <v>43617</v>
      </c>
      <c r="E4" s="125">
        <v>43647</v>
      </c>
      <c r="F4" s="125">
        <v>43678</v>
      </c>
      <c r="G4" s="125">
        <v>43709</v>
      </c>
      <c r="H4" s="125">
        <v>43739</v>
      </c>
      <c r="I4" s="125">
        <v>43770</v>
      </c>
      <c r="J4" s="125">
        <v>43800</v>
      </c>
      <c r="K4" s="125">
        <v>43831</v>
      </c>
      <c r="L4" s="125">
        <v>43862</v>
      </c>
      <c r="M4" s="125">
        <v>43891</v>
      </c>
      <c r="N4" s="125" t="s">
        <v>3</v>
      </c>
      <c r="O4" s="125" t="s">
        <v>1</v>
      </c>
      <c r="P4" s="440" t="s">
        <v>230</v>
      </c>
      <c r="Q4" s="132" t="s">
        <v>234</v>
      </c>
      <c r="R4" s="132" t="s">
        <v>238</v>
      </c>
      <c r="S4" s="132" t="s">
        <v>228</v>
      </c>
      <c r="T4" s="137" t="s">
        <v>229</v>
      </c>
    </row>
    <row r="5" spans="2:20" ht="32.25" customHeight="1" x14ac:dyDescent="0.3">
      <c r="B5" s="10" t="s">
        <v>2</v>
      </c>
      <c r="C5" s="10" t="s">
        <v>1</v>
      </c>
      <c r="D5" s="10" t="s">
        <v>1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10" t="s">
        <v>1</v>
      </c>
      <c r="N5" s="10" t="s">
        <v>232</v>
      </c>
      <c r="O5" s="10" t="s">
        <v>239</v>
      </c>
      <c r="P5" s="441"/>
      <c r="Q5" s="133" t="s">
        <v>2</v>
      </c>
      <c r="R5" s="133" t="s">
        <v>235</v>
      </c>
      <c r="S5" s="133" t="s">
        <v>236</v>
      </c>
      <c r="T5" s="138" t="s">
        <v>237</v>
      </c>
    </row>
    <row r="6" spans="2:20" ht="3" customHeigh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35"/>
      <c r="Q6" s="145"/>
      <c r="R6" s="145"/>
      <c r="S6" s="145"/>
      <c r="T6" s="1"/>
    </row>
    <row r="7" spans="2:20" x14ac:dyDescent="0.3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>
        <v>247194.68</v>
      </c>
      <c r="O7" s="8"/>
      <c r="P7" s="131" t="s">
        <v>77</v>
      </c>
      <c r="Q7" s="146"/>
      <c r="R7" s="146"/>
      <c r="S7" s="146"/>
      <c r="T7" s="139"/>
    </row>
    <row r="8" spans="2:20" x14ac:dyDescent="0.3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>
        <v>18351187.780000001</v>
      </c>
      <c r="O8" s="7"/>
      <c r="P8" s="130" t="s">
        <v>78</v>
      </c>
      <c r="Q8" s="146"/>
      <c r="R8" s="146"/>
      <c r="S8" s="146"/>
      <c r="T8" s="140"/>
    </row>
    <row r="9" spans="2:20" x14ac:dyDescent="0.3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>
        <v>0</v>
      </c>
      <c r="O9" s="7"/>
      <c r="P9" s="130" t="s">
        <v>80</v>
      </c>
      <c r="Q9" s="146"/>
      <c r="R9" s="146"/>
      <c r="S9" s="146"/>
      <c r="T9" s="140"/>
    </row>
    <row r="10" spans="2:20" x14ac:dyDescent="0.3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>
        <v>35309.89</v>
      </c>
      <c r="O10" s="7"/>
      <c r="P10" s="130" t="s">
        <v>81</v>
      </c>
      <c r="Q10" s="146"/>
      <c r="R10" s="146"/>
      <c r="S10" s="146"/>
      <c r="T10" s="140"/>
    </row>
    <row r="11" spans="2:20" x14ac:dyDescent="0.3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v>174</v>
      </c>
      <c r="O11" s="7"/>
      <c r="P11" s="130" t="s">
        <v>82</v>
      </c>
      <c r="Q11" s="146"/>
      <c r="R11" s="146"/>
      <c r="S11" s="146"/>
      <c r="T11" s="140"/>
    </row>
    <row r="12" spans="2:20" x14ac:dyDescent="0.3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>
        <v>184829.23</v>
      </c>
      <c r="O12" s="7"/>
      <c r="P12" s="130" t="s">
        <v>83</v>
      </c>
      <c r="Q12" s="146"/>
      <c r="R12" s="146"/>
      <c r="S12" s="146"/>
      <c r="T12" s="140"/>
    </row>
    <row r="13" spans="2:20" x14ac:dyDescent="0.3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>
        <v>82147.75</v>
      </c>
      <c r="O13" s="7"/>
      <c r="P13" s="130" t="s">
        <v>84</v>
      </c>
      <c r="Q13" s="146"/>
      <c r="R13" s="146"/>
      <c r="S13" s="146"/>
      <c r="T13" s="140"/>
    </row>
    <row r="14" spans="2:20" x14ac:dyDescent="0.3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>
        <v>1470781.6199999999</v>
      </c>
      <c r="O14" s="7"/>
      <c r="P14" s="130" t="s">
        <v>86</v>
      </c>
      <c r="Q14" s="146"/>
      <c r="R14" s="146"/>
      <c r="S14" s="146"/>
      <c r="T14" s="140"/>
    </row>
    <row r="15" spans="2:20" x14ac:dyDescent="0.3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48000</v>
      </c>
      <c r="O15" s="7"/>
      <c r="P15" s="130" t="s">
        <v>87</v>
      </c>
      <c r="Q15" s="146"/>
      <c r="R15" s="146"/>
      <c r="S15" s="146"/>
      <c r="T15" s="140"/>
    </row>
    <row r="16" spans="2:20" x14ac:dyDescent="0.3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v>281080.78999999998</v>
      </c>
      <c r="O16" s="11"/>
      <c r="P16" s="130" t="s">
        <v>88</v>
      </c>
      <c r="Q16" s="146"/>
      <c r="R16" s="146"/>
      <c r="S16" s="146"/>
      <c r="T16" s="141"/>
    </row>
    <row r="17" spans="2:20" ht="5.4" customHeight="1" x14ac:dyDescent="0.3">
      <c r="B17" s="81"/>
      <c r="C17" s="81"/>
      <c r="D17" s="81"/>
      <c r="E17" s="85"/>
      <c r="F17" s="83"/>
      <c r="G17" s="83"/>
      <c r="H17" s="83"/>
      <c r="I17" s="83"/>
      <c r="J17" s="83"/>
      <c r="K17" s="83"/>
      <c r="L17" s="84"/>
      <c r="M17" s="84"/>
      <c r="N17" s="81"/>
      <c r="O17" s="81"/>
      <c r="P17" s="130"/>
      <c r="Q17" s="147"/>
      <c r="R17" s="147"/>
      <c r="S17" s="147"/>
      <c r="T17" s="81"/>
    </row>
    <row r="18" spans="2:20" x14ac:dyDescent="0.3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>
        <v>20700705.740000002</v>
      </c>
      <c r="O18" s="4"/>
      <c r="P18" s="130" t="s">
        <v>89</v>
      </c>
      <c r="Q18" s="134"/>
      <c r="R18" s="134"/>
      <c r="S18" s="134"/>
      <c r="T18" s="142"/>
    </row>
    <row r="19" spans="2:20" ht="5.4" customHeight="1" x14ac:dyDescent="0.3">
      <c r="B19" s="81"/>
      <c r="C19" s="81"/>
      <c r="D19" s="81"/>
      <c r="E19" s="82"/>
      <c r="F19" s="86"/>
      <c r="G19" s="86"/>
      <c r="H19" s="86"/>
      <c r="I19" s="87"/>
      <c r="J19" s="87"/>
      <c r="K19" s="87"/>
      <c r="L19" s="88"/>
      <c r="M19" s="88"/>
      <c r="N19" s="81"/>
      <c r="O19" s="81"/>
      <c r="P19" s="122"/>
      <c r="Q19" s="147"/>
      <c r="R19" s="147"/>
      <c r="S19" s="147"/>
      <c r="T19" s="81"/>
    </row>
    <row r="20" spans="2:20" x14ac:dyDescent="0.3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>
        <v>391971.13000000006</v>
      </c>
      <c r="O20" s="8"/>
      <c r="P20" s="131" t="s">
        <v>90</v>
      </c>
      <c r="Q20" s="146"/>
      <c r="R20" s="146"/>
      <c r="S20" s="146"/>
      <c r="T20" s="139"/>
    </row>
    <row r="21" spans="2:20" x14ac:dyDescent="0.3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>
        <v>3531804.56</v>
      </c>
      <c r="O21" s="7"/>
      <c r="P21" s="130" t="s">
        <v>91</v>
      </c>
      <c r="Q21" s="146"/>
      <c r="R21" s="146"/>
      <c r="S21" s="146"/>
      <c r="T21" s="140"/>
    </row>
    <row r="22" spans="2:20" x14ac:dyDescent="0.3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>
        <v>631870.44999999995</v>
      </c>
      <c r="O22" s="7"/>
      <c r="P22" s="130" t="s">
        <v>92</v>
      </c>
      <c r="Q22" s="146"/>
      <c r="R22" s="146"/>
      <c r="S22" s="146"/>
      <c r="T22" s="140"/>
    </row>
    <row r="23" spans="2:20" x14ac:dyDescent="0.3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>
        <v>0</v>
      </c>
      <c r="O23" s="7"/>
      <c r="P23" s="136" t="s">
        <v>93</v>
      </c>
      <c r="Q23" s="146"/>
      <c r="R23" s="146"/>
      <c r="S23" s="146"/>
      <c r="T23" s="140"/>
    </row>
    <row r="24" spans="2:20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>
        <v>219761.13</v>
      </c>
      <c r="O24" s="7"/>
      <c r="P24" s="136" t="s">
        <v>94</v>
      </c>
      <c r="Q24" s="146"/>
      <c r="R24" s="146"/>
      <c r="S24" s="146"/>
      <c r="T24" s="140"/>
    </row>
    <row r="25" spans="2:20" x14ac:dyDescent="0.3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>
        <v>3674.2500000000005</v>
      </c>
      <c r="O25" s="7"/>
      <c r="P25" s="130" t="s">
        <v>95</v>
      </c>
      <c r="Q25" s="146"/>
      <c r="R25" s="146"/>
      <c r="S25" s="146"/>
      <c r="T25" s="140"/>
    </row>
    <row r="26" spans="2:20" x14ac:dyDescent="0.3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>
        <v>0</v>
      </c>
      <c r="O26" s="11"/>
      <c r="P26" s="130" t="s">
        <v>96</v>
      </c>
      <c r="Q26" s="146"/>
      <c r="R26" s="146"/>
      <c r="S26" s="146"/>
      <c r="T26" s="141"/>
    </row>
    <row r="27" spans="2:20" ht="5.4" customHeight="1" x14ac:dyDescent="0.3">
      <c r="B27" s="81"/>
      <c r="C27" s="81"/>
      <c r="D27" s="81"/>
      <c r="E27" s="85"/>
      <c r="F27" s="83"/>
      <c r="G27" s="83"/>
      <c r="H27" s="83"/>
      <c r="I27" s="83"/>
      <c r="J27" s="83"/>
      <c r="K27" s="83"/>
      <c r="L27" s="84"/>
      <c r="M27" s="84"/>
      <c r="N27" s="81"/>
      <c r="O27" s="81"/>
      <c r="P27" s="130"/>
      <c r="Q27" s="147"/>
      <c r="R27" s="147"/>
      <c r="S27" s="147"/>
      <c r="T27" s="81"/>
    </row>
    <row r="28" spans="2:20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>
        <v>4779081.5199999996</v>
      </c>
      <c r="O28" s="4"/>
      <c r="P28" s="130" t="s">
        <v>97</v>
      </c>
      <c r="Q28" s="134"/>
      <c r="R28" s="134"/>
      <c r="S28" s="134"/>
      <c r="T28" s="142"/>
    </row>
    <row r="29" spans="2:20" ht="3.6" customHeight="1" x14ac:dyDescent="0.3">
      <c r="B29" s="81"/>
      <c r="C29" s="81"/>
      <c r="D29" s="81"/>
      <c r="E29" s="82"/>
      <c r="F29" s="86"/>
      <c r="G29" s="86"/>
      <c r="H29" s="86"/>
      <c r="I29" s="87"/>
      <c r="J29" s="87"/>
      <c r="K29" s="87"/>
      <c r="L29" s="84"/>
      <c r="M29" s="84"/>
      <c r="N29" s="81"/>
      <c r="O29" s="81"/>
      <c r="P29" s="80"/>
      <c r="Q29" s="147"/>
      <c r="R29" s="147"/>
      <c r="S29" s="147"/>
      <c r="T29" s="81"/>
    </row>
    <row r="30" spans="2:20" x14ac:dyDescent="0.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>
        <v>1809427.19</v>
      </c>
      <c r="O30" s="8"/>
      <c r="P30" s="131" t="s">
        <v>98</v>
      </c>
      <c r="Q30" s="146"/>
      <c r="R30" s="146"/>
      <c r="S30" s="146"/>
      <c r="T30" s="139"/>
    </row>
    <row r="31" spans="2:20" x14ac:dyDescent="0.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>
        <v>27196.67</v>
      </c>
      <c r="O31" s="7"/>
      <c r="P31" s="130" t="s">
        <v>99</v>
      </c>
      <c r="Q31" s="146"/>
      <c r="R31" s="146"/>
      <c r="S31" s="146"/>
      <c r="T31" s="140"/>
    </row>
    <row r="32" spans="2:20" x14ac:dyDescent="0.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v>1144264.2</v>
      </c>
      <c r="O32" s="7"/>
      <c r="P32" s="130" t="s">
        <v>100</v>
      </c>
      <c r="Q32" s="146"/>
      <c r="R32" s="146"/>
      <c r="S32" s="146"/>
      <c r="T32" s="140"/>
    </row>
    <row r="33" spans="2:20" x14ac:dyDescent="0.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>
        <v>40365</v>
      </c>
      <c r="O33" s="7"/>
      <c r="P33" s="130" t="s">
        <v>101</v>
      </c>
      <c r="Q33" s="146"/>
      <c r="R33" s="146"/>
      <c r="S33" s="146"/>
      <c r="T33" s="140"/>
    </row>
    <row r="34" spans="2:20" x14ac:dyDescent="0.3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>
        <v>362923.05</v>
      </c>
      <c r="O34" s="7"/>
      <c r="P34" s="130" t="s">
        <v>102</v>
      </c>
      <c r="Q34" s="146"/>
      <c r="R34" s="146"/>
      <c r="S34" s="146"/>
      <c r="T34" s="140"/>
    </row>
    <row r="35" spans="2:20" x14ac:dyDescent="0.3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>
        <v>0</v>
      </c>
      <c r="O35" s="7"/>
      <c r="P35" s="130" t="s">
        <v>104</v>
      </c>
      <c r="Q35" s="146"/>
      <c r="R35" s="146"/>
      <c r="S35" s="146"/>
      <c r="T35" s="140"/>
    </row>
    <row r="36" spans="2:20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>
        <v>16976.2</v>
      </c>
      <c r="O36" s="7"/>
      <c r="P36" s="130" t="s">
        <v>105</v>
      </c>
      <c r="Q36" s="146"/>
      <c r="R36" s="146"/>
      <c r="S36" s="146"/>
      <c r="T36" s="140"/>
    </row>
    <row r="37" spans="2:20" x14ac:dyDescent="0.3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>
        <v>287796.95</v>
      </c>
      <c r="O37" s="7"/>
      <c r="P37" s="131" t="s">
        <v>106</v>
      </c>
      <c r="Q37" s="146"/>
      <c r="R37" s="146"/>
      <c r="S37" s="146"/>
      <c r="T37" s="140"/>
    </row>
    <row r="38" spans="2:20" x14ac:dyDescent="0.3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>
        <v>1997181.9049999998</v>
      </c>
      <c r="O38" s="7"/>
      <c r="P38" s="130" t="s">
        <v>107</v>
      </c>
      <c r="Q38" s="146"/>
      <c r="R38" s="146"/>
      <c r="S38" s="146"/>
      <c r="T38" s="140"/>
    </row>
    <row r="39" spans="2:20" x14ac:dyDescent="0.3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>
        <v>518684.53</v>
      </c>
      <c r="O39" s="7"/>
      <c r="P39" s="130" t="s">
        <v>108</v>
      </c>
      <c r="Q39" s="146"/>
      <c r="R39" s="146"/>
      <c r="S39" s="146"/>
      <c r="T39" s="140"/>
    </row>
    <row r="40" spans="2:20" x14ac:dyDescent="0.3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>
        <v>8933.61</v>
      </c>
      <c r="O40" s="7"/>
      <c r="P40" s="130" t="s">
        <v>109</v>
      </c>
      <c r="Q40" s="146"/>
      <c r="R40" s="146"/>
      <c r="S40" s="146"/>
      <c r="T40" s="140"/>
    </row>
    <row r="41" spans="2:20" x14ac:dyDescent="0.3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>
        <v>159408.61000000002</v>
      </c>
      <c r="O41" s="7"/>
      <c r="P41" s="130" t="s">
        <v>110</v>
      </c>
      <c r="Q41" s="146"/>
      <c r="R41" s="146"/>
      <c r="S41" s="146"/>
      <c r="T41" s="140"/>
    </row>
    <row r="42" spans="2:20" x14ac:dyDescent="0.3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>
        <v>108082.3</v>
      </c>
      <c r="O42" s="7"/>
      <c r="P42" s="130" t="s">
        <v>111</v>
      </c>
      <c r="Q42" s="146"/>
      <c r="R42" s="146"/>
      <c r="S42" s="146"/>
      <c r="T42" s="140"/>
    </row>
    <row r="43" spans="2:20" x14ac:dyDescent="0.3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>
        <v>101009.75000000001</v>
      </c>
      <c r="O43" s="7"/>
      <c r="P43" s="130" t="s">
        <v>112</v>
      </c>
      <c r="Q43" s="146"/>
      <c r="R43" s="146"/>
      <c r="S43" s="146"/>
      <c r="T43" s="140"/>
    </row>
    <row r="44" spans="2:20" x14ac:dyDescent="0.3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>
        <v>0</v>
      </c>
      <c r="O44" s="11"/>
      <c r="P44" s="131" t="s">
        <v>113</v>
      </c>
      <c r="Q44" s="146"/>
      <c r="R44" s="146"/>
      <c r="S44" s="146"/>
      <c r="T44" s="141"/>
    </row>
    <row r="45" spans="2:20" ht="4.2" customHeight="1" x14ac:dyDescent="0.3">
      <c r="B45" s="86"/>
      <c r="C45" s="86"/>
      <c r="D45" s="86"/>
      <c r="E45" s="85"/>
      <c r="F45" s="83"/>
      <c r="G45" s="83"/>
      <c r="H45" s="83"/>
      <c r="I45" s="83"/>
      <c r="J45" s="83"/>
      <c r="K45" s="83"/>
      <c r="L45" s="84"/>
      <c r="M45" s="84"/>
      <c r="N45" s="86"/>
      <c r="O45" s="86"/>
      <c r="P45" s="130"/>
      <c r="Q45" s="147"/>
      <c r="R45" s="147"/>
      <c r="S45" s="147"/>
      <c r="T45" s="86"/>
    </row>
    <row r="46" spans="2:20" x14ac:dyDescent="0.3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>
        <v>6582249.9649999999</v>
      </c>
      <c r="O46" s="4"/>
      <c r="P46" s="130" t="s">
        <v>114</v>
      </c>
      <c r="Q46" s="134"/>
      <c r="R46" s="134"/>
      <c r="S46" s="134"/>
      <c r="T46" s="142"/>
    </row>
    <row r="47" spans="2:20" x14ac:dyDescent="0.3">
      <c r="B47" s="81"/>
      <c r="C47" s="81"/>
      <c r="D47" s="81"/>
      <c r="E47" s="82"/>
      <c r="F47" s="86"/>
      <c r="G47" s="86"/>
      <c r="H47" s="86"/>
      <c r="I47" s="87"/>
      <c r="J47" s="87"/>
      <c r="K47" s="87"/>
      <c r="L47" s="84"/>
      <c r="M47" s="84"/>
      <c r="N47" s="81"/>
      <c r="O47" s="81"/>
      <c r="P47" s="80"/>
      <c r="Q47" s="147"/>
      <c r="R47" s="147"/>
      <c r="S47" s="147"/>
      <c r="T47" s="81"/>
    </row>
    <row r="48" spans="2:20" x14ac:dyDescent="0.3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>
        <v>0</v>
      </c>
      <c r="O48" s="8"/>
      <c r="P48" s="131" t="s">
        <v>115</v>
      </c>
      <c r="Q48" s="146"/>
      <c r="R48" s="146"/>
      <c r="S48" s="146"/>
      <c r="T48" s="139"/>
    </row>
    <row r="49" spans="2:20" x14ac:dyDescent="0.3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>
        <v>14560.18</v>
      </c>
      <c r="O49" s="7"/>
      <c r="P49" s="130" t="s">
        <v>116</v>
      </c>
      <c r="Q49" s="146"/>
      <c r="R49" s="146"/>
      <c r="S49" s="146"/>
      <c r="T49" s="140"/>
    </row>
    <row r="50" spans="2:20" x14ac:dyDescent="0.3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>
        <v>3407.03</v>
      </c>
      <c r="O50" s="7"/>
      <c r="P50" s="130" t="s">
        <v>117</v>
      </c>
      <c r="Q50" s="146"/>
      <c r="R50" s="146"/>
      <c r="S50" s="146"/>
      <c r="T50" s="140"/>
    </row>
    <row r="51" spans="2:20" x14ac:dyDescent="0.3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>
        <v>1693.18</v>
      </c>
      <c r="O51" s="7"/>
      <c r="P51" s="130" t="s">
        <v>118</v>
      </c>
      <c r="Q51" s="146"/>
      <c r="R51" s="146"/>
      <c r="S51" s="146"/>
      <c r="T51" s="140"/>
    </row>
    <row r="52" spans="2:20" x14ac:dyDescent="0.3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>
        <v>358</v>
      </c>
      <c r="O52" s="7"/>
      <c r="P52" s="130" t="s">
        <v>119</v>
      </c>
      <c r="Q52" s="146"/>
      <c r="R52" s="146"/>
      <c r="S52" s="146"/>
      <c r="T52" s="140"/>
    </row>
    <row r="53" spans="2:20" x14ac:dyDescent="0.3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>
        <v>41004.07</v>
      </c>
      <c r="O53" s="7"/>
      <c r="P53" s="130" t="s">
        <v>120</v>
      </c>
      <c r="Q53" s="146"/>
      <c r="R53" s="146"/>
      <c r="S53" s="146"/>
      <c r="T53" s="140"/>
    </row>
    <row r="54" spans="2:20" x14ac:dyDescent="0.3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>
        <v>0</v>
      </c>
      <c r="O54" s="7"/>
      <c r="P54" s="130" t="s">
        <v>121</v>
      </c>
      <c r="Q54" s="146"/>
      <c r="R54" s="146"/>
      <c r="S54" s="146"/>
      <c r="T54" s="140"/>
    </row>
    <row r="55" spans="2:20" x14ac:dyDescent="0.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>
        <v>49595.12</v>
      </c>
      <c r="O55" s="7"/>
      <c r="P55" s="131" t="s">
        <v>122</v>
      </c>
      <c r="Q55" s="146"/>
      <c r="R55" s="146"/>
      <c r="S55" s="146"/>
      <c r="T55" s="140"/>
    </row>
    <row r="56" spans="2:20" x14ac:dyDescent="0.3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>
        <v>0</v>
      </c>
      <c r="O56" s="7"/>
      <c r="P56" s="130" t="s">
        <v>123</v>
      </c>
      <c r="Q56" s="146"/>
      <c r="R56" s="146"/>
      <c r="S56" s="146"/>
      <c r="T56" s="140"/>
    </row>
    <row r="57" spans="2:20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>
        <v>54800</v>
      </c>
      <c r="O57" s="7"/>
      <c r="P57" s="130" t="s">
        <v>124</v>
      </c>
      <c r="Q57" s="146"/>
      <c r="R57" s="146"/>
      <c r="S57" s="146"/>
      <c r="T57" s="140"/>
    </row>
    <row r="58" spans="2:20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>
        <v>69627.395095238084</v>
      </c>
      <c r="O58" s="7"/>
      <c r="P58" s="130" t="s">
        <v>125</v>
      </c>
      <c r="Q58" s="146"/>
      <c r="R58" s="146"/>
      <c r="S58" s="146"/>
      <c r="T58" s="140"/>
    </row>
    <row r="59" spans="2:20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>
        <v>2300</v>
      </c>
      <c r="O59" s="7"/>
      <c r="P59" s="130" t="s">
        <v>126</v>
      </c>
      <c r="Q59" s="146"/>
      <c r="R59" s="146"/>
      <c r="S59" s="146"/>
      <c r="T59" s="140"/>
    </row>
    <row r="60" spans="2:20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>
        <v>6000</v>
      </c>
      <c r="O60" s="7"/>
      <c r="P60" s="130" t="s">
        <v>128</v>
      </c>
      <c r="Q60" s="146"/>
      <c r="R60" s="146"/>
      <c r="S60" s="146"/>
      <c r="T60" s="140"/>
    </row>
    <row r="61" spans="2:20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>
        <v>6056.45</v>
      </c>
      <c r="O61" s="7"/>
      <c r="P61" s="130" t="s">
        <v>129</v>
      </c>
      <c r="Q61" s="146"/>
      <c r="R61" s="146"/>
      <c r="S61" s="146"/>
      <c r="T61" s="140"/>
    </row>
    <row r="62" spans="2:20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>
        <v>1268</v>
      </c>
      <c r="O62" s="7"/>
      <c r="P62" s="131" t="s">
        <v>130</v>
      </c>
      <c r="Q62" s="146"/>
      <c r="R62" s="146"/>
      <c r="S62" s="146"/>
      <c r="T62" s="140"/>
    </row>
    <row r="63" spans="2:20" x14ac:dyDescent="0.3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>
        <v>69133.290000000008</v>
      </c>
      <c r="O63" s="11"/>
      <c r="P63" s="131" t="s">
        <v>131</v>
      </c>
      <c r="Q63" s="146"/>
      <c r="R63" s="146"/>
      <c r="S63" s="146"/>
      <c r="T63" s="141"/>
    </row>
    <row r="64" spans="2:20" ht="4.95" customHeight="1" thickBot="1" x14ac:dyDescent="0.35">
      <c r="B64" s="89"/>
      <c r="C64" s="89"/>
      <c r="D64" s="89"/>
      <c r="E64" s="90"/>
      <c r="F64" s="91"/>
      <c r="G64" s="91"/>
      <c r="H64" s="91"/>
      <c r="I64" s="91"/>
      <c r="J64" s="91"/>
      <c r="K64" s="91"/>
      <c r="L64" s="92"/>
      <c r="M64" s="92"/>
      <c r="N64" s="89"/>
      <c r="O64" s="89"/>
      <c r="P64" s="130"/>
      <c r="Q64" s="147"/>
      <c r="R64" s="147"/>
      <c r="S64" s="147"/>
      <c r="T64" s="89"/>
    </row>
    <row r="65" spans="2:20" x14ac:dyDescent="0.3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>
        <v>319802.71509523812</v>
      </c>
      <c r="O65" s="4"/>
      <c r="P65" s="130" t="s">
        <v>132</v>
      </c>
      <c r="Q65" s="134"/>
      <c r="R65" s="134"/>
      <c r="S65" s="134"/>
      <c r="T65" s="142"/>
    </row>
    <row r="66" spans="2:20" x14ac:dyDescent="0.3">
      <c r="B66" s="81"/>
      <c r="C66" s="81"/>
      <c r="D66" s="81"/>
      <c r="E66" s="82"/>
      <c r="F66" s="86"/>
      <c r="G66" s="86"/>
      <c r="H66" s="86"/>
      <c r="I66" s="87"/>
      <c r="J66" s="87"/>
      <c r="K66" s="87"/>
      <c r="L66" s="84"/>
      <c r="M66" s="84"/>
      <c r="N66" s="81"/>
      <c r="O66" s="81"/>
      <c r="P66" s="80"/>
      <c r="Q66" s="147"/>
      <c r="R66" s="147"/>
      <c r="S66" s="147"/>
      <c r="T66" s="81"/>
    </row>
    <row r="67" spans="2:20" x14ac:dyDescent="0.3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>
        <v>7549.43</v>
      </c>
      <c r="O67" s="8"/>
      <c r="P67" s="131" t="s">
        <v>133</v>
      </c>
      <c r="Q67" s="146"/>
      <c r="R67" s="146"/>
      <c r="S67" s="146"/>
      <c r="T67" s="139"/>
    </row>
    <row r="68" spans="2:20" x14ac:dyDescent="0.3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>
        <v>216070.09</v>
      </c>
      <c r="O68" s="7"/>
      <c r="P68" s="130" t="s">
        <v>134</v>
      </c>
      <c r="Q68" s="146"/>
      <c r="R68" s="146"/>
      <c r="S68" s="146"/>
      <c r="T68" s="140"/>
    </row>
    <row r="69" spans="2:20" x14ac:dyDescent="0.3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>
        <v>0</v>
      </c>
      <c r="O69" s="7"/>
      <c r="P69" s="130" t="s">
        <v>135</v>
      </c>
      <c r="Q69" s="146"/>
      <c r="R69" s="146"/>
      <c r="S69" s="146"/>
      <c r="T69" s="140"/>
    </row>
    <row r="70" spans="2:20" x14ac:dyDescent="0.3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>
        <v>0</v>
      </c>
      <c r="O70" s="7"/>
      <c r="P70" s="130" t="s">
        <v>136</v>
      </c>
      <c r="Q70" s="146"/>
      <c r="R70" s="146"/>
      <c r="S70" s="146"/>
      <c r="T70" s="140"/>
    </row>
    <row r="71" spans="2:20" x14ac:dyDescent="0.3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>
        <v>919385.80999999994</v>
      </c>
      <c r="O71" s="7"/>
      <c r="P71" s="130" t="s">
        <v>137</v>
      </c>
      <c r="Q71" s="146"/>
      <c r="R71" s="146"/>
      <c r="S71" s="146"/>
      <c r="T71" s="140"/>
    </row>
    <row r="72" spans="2:20" x14ac:dyDescent="0.3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>
        <v>25467</v>
      </c>
      <c r="O72" s="7"/>
      <c r="P72" s="130" t="s">
        <v>138</v>
      </c>
      <c r="Q72" s="146"/>
      <c r="R72" s="146"/>
      <c r="S72" s="146"/>
      <c r="T72" s="140"/>
    </row>
    <row r="73" spans="2:20" x14ac:dyDescent="0.3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>
        <v>0</v>
      </c>
      <c r="O73" s="7"/>
      <c r="P73" s="130" t="s">
        <v>123</v>
      </c>
      <c r="Q73" s="146"/>
      <c r="R73" s="146"/>
      <c r="S73" s="146"/>
      <c r="T73" s="140"/>
    </row>
    <row r="74" spans="2:20" x14ac:dyDescent="0.3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>
        <v>2259647.36</v>
      </c>
      <c r="O74" s="7"/>
      <c r="P74" s="131" t="s">
        <v>139</v>
      </c>
      <c r="Q74" s="146"/>
      <c r="R74" s="146"/>
      <c r="S74" s="146"/>
      <c r="T74" s="140"/>
    </row>
    <row r="75" spans="2:20" x14ac:dyDescent="0.3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>
        <v>77073.72</v>
      </c>
      <c r="O75" s="7"/>
      <c r="P75" s="130" t="s">
        <v>140</v>
      </c>
      <c r="Q75" s="146"/>
      <c r="R75" s="146"/>
      <c r="S75" s="146"/>
      <c r="T75" s="140"/>
    </row>
    <row r="76" spans="2:20" x14ac:dyDescent="0.3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>
        <v>5928</v>
      </c>
      <c r="O76" s="7"/>
      <c r="P76" s="130" t="s">
        <v>141</v>
      </c>
      <c r="Q76" s="146"/>
      <c r="R76" s="146"/>
      <c r="S76" s="146"/>
      <c r="T76" s="140"/>
    </row>
    <row r="77" spans="2:20" x14ac:dyDescent="0.3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>
        <v>0</v>
      </c>
      <c r="O77" s="7"/>
      <c r="P77" s="130" t="s">
        <v>142</v>
      </c>
      <c r="Q77" s="146"/>
      <c r="R77" s="146"/>
      <c r="S77" s="146"/>
      <c r="T77" s="140"/>
    </row>
    <row r="78" spans="2:20" x14ac:dyDescent="0.3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>
        <v>0</v>
      </c>
      <c r="O78" s="7"/>
      <c r="P78" s="130" t="s">
        <v>143</v>
      </c>
      <c r="Q78" s="146"/>
      <c r="R78" s="146"/>
      <c r="S78" s="146"/>
      <c r="T78" s="140"/>
    </row>
    <row r="79" spans="2:20" x14ac:dyDescent="0.3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>
        <v>57048.039999999994</v>
      </c>
      <c r="O79" s="7"/>
      <c r="P79" s="130" t="s">
        <v>144</v>
      </c>
      <c r="Q79" s="146"/>
      <c r="R79" s="146"/>
      <c r="S79" s="146"/>
      <c r="T79" s="140"/>
    </row>
    <row r="80" spans="2:20" x14ac:dyDescent="0.3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>
        <v>0</v>
      </c>
      <c r="O80" s="7"/>
      <c r="P80" s="130" t="s">
        <v>145</v>
      </c>
      <c r="Q80" s="146"/>
      <c r="R80" s="146"/>
      <c r="S80" s="146"/>
      <c r="T80" s="140"/>
    </row>
    <row r="81" spans="2:20" x14ac:dyDescent="0.3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>
        <v>109627.5</v>
      </c>
      <c r="O81" s="7"/>
      <c r="P81" s="131" t="s">
        <v>146</v>
      </c>
      <c r="Q81" s="146"/>
      <c r="R81" s="146"/>
      <c r="S81" s="146"/>
      <c r="T81" s="140"/>
    </row>
    <row r="82" spans="2:20" x14ac:dyDescent="0.3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>
        <v>105978.04</v>
      </c>
      <c r="O82" s="7"/>
      <c r="P82" s="131" t="s">
        <v>147</v>
      </c>
      <c r="Q82" s="146"/>
      <c r="R82" s="146"/>
      <c r="S82" s="146"/>
      <c r="T82" s="140"/>
    </row>
    <row r="83" spans="2:20" x14ac:dyDescent="0.3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>
        <v>0</v>
      </c>
      <c r="O83" s="7"/>
      <c r="P83" s="131" t="s">
        <v>148</v>
      </c>
      <c r="Q83" s="146"/>
      <c r="R83" s="146"/>
      <c r="S83" s="146"/>
      <c r="T83" s="140"/>
    </row>
    <row r="84" spans="2:20" x14ac:dyDescent="0.3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>
        <v>0</v>
      </c>
      <c r="O84" s="7"/>
      <c r="P84" s="130" t="s">
        <v>149</v>
      </c>
      <c r="Q84" s="146"/>
      <c r="R84" s="146"/>
      <c r="S84" s="146"/>
      <c r="T84" s="140"/>
    </row>
    <row r="85" spans="2:20" x14ac:dyDescent="0.3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>
        <v>0</v>
      </c>
      <c r="O85" s="7"/>
      <c r="P85" s="130" t="s">
        <v>150</v>
      </c>
      <c r="Q85" s="146"/>
      <c r="R85" s="146"/>
      <c r="S85" s="146"/>
      <c r="T85" s="140"/>
    </row>
    <row r="86" spans="2:20" x14ac:dyDescent="0.3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>
        <v>0</v>
      </c>
      <c r="O86" s="7"/>
      <c r="P86" s="130" t="s">
        <v>151</v>
      </c>
      <c r="Q86" s="146"/>
      <c r="R86" s="146"/>
      <c r="S86" s="146"/>
      <c r="T86" s="140"/>
    </row>
    <row r="87" spans="2:20" x14ac:dyDescent="0.3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>
        <v>32970.080000000002</v>
      </c>
      <c r="O87" s="7"/>
      <c r="P87" s="130" t="s">
        <v>152</v>
      </c>
      <c r="Q87" s="146"/>
      <c r="R87" s="146"/>
      <c r="S87" s="146"/>
      <c r="T87" s="140"/>
    </row>
    <row r="88" spans="2:20" x14ac:dyDescent="0.3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>
        <v>0</v>
      </c>
      <c r="O88" s="7"/>
      <c r="P88" s="130" t="s">
        <v>153</v>
      </c>
      <c r="Q88" s="146"/>
      <c r="R88" s="146"/>
      <c r="S88" s="146"/>
      <c r="T88" s="140"/>
    </row>
    <row r="89" spans="2:20" x14ac:dyDescent="0.3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>
        <v>0</v>
      </c>
      <c r="O89" s="11"/>
      <c r="P89" s="131" t="s">
        <v>154</v>
      </c>
      <c r="Q89" s="146"/>
      <c r="R89" s="146"/>
      <c r="S89" s="146"/>
      <c r="T89" s="141"/>
    </row>
    <row r="90" spans="2:20" ht="4.2" customHeight="1" thickBot="1" x14ac:dyDescent="0.35">
      <c r="B90" s="93"/>
      <c r="C90" s="93"/>
      <c r="D90" s="93"/>
      <c r="E90" s="94"/>
      <c r="F90" s="91"/>
      <c r="G90" s="91"/>
      <c r="H90" s="91"/>
      <c r="I90" s="91"/>
      <c r="J90" s="91"/>
      <c r="K90" s="91"/>
      <c r="L90" s="92"/>
      <c r="M90" s="92"/>
      <c r="N90" s="93"/>
      <c r="O90" s="93"/>
      <c r="P90" s="130"/>
      <c r="Q90" s="148"/>
      <c r="R90" s="148"/>
      <c r="S90" s="148"/>
      <c r="T90" s="93"/>
    </row>
    <row r="91" spans="2:20" x14ac:dyDescent="0.3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>
        <v>3816745.07</v>
      </c>
      <c r="O91" s="4"/>
      <c r="P91" s="130" t="s">
        <v>155</v>
      </c>
      <c r="Q91" s="134"/>
      <c r="R91" s="134"/>
      <c r="S91" s="134"/>
      <c r="T91" s="142"/>
    </row>
    <row r="92" spans="2:20" x14ac:dyDescent="0.3">
      <c r="B92" s="81"/>
      <c r="C92" s="81"/>
      <c r="D92" s="81"/>
      <c r="E92" s="82"/>
      <c r="F92" s="86"/>
      <c r="G92" s="86"/>
      <c r="H92" s="86"/>
      <c r="I92" s="87"/>
      <c r="J92" s="87"/>
      <c r="K92" s="87"/>
      <c r="L92" s="84"/>
      <c r="M92" s="84"/>
      <c r="N92" s="81"/>
      <c r="O92" s="81"/>
      <c r="P92" s="80"/>
      <c r="Q92" s="147"/>
      <c r="R92" s="147"/>
      <c r="S92" s="147"/>
      <c r="T92" s="81"/>
    </row>
    <row r="93" spans="2:20" x14ac:dyDescent="0.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>
        <v>109413.16</v>
      </c>
      <c r="O93" s="8"/>
      <c r="P93" s="131" t="s">
        <v>156</v>
      </c>
      <c r="Q93" s="146"/>
      <c r="R93" s="146"/>
      <c r="S93" s="146"/>
      <c r="T93" s="139"/>
    </row>
    <row r="94" spans="2:20" x14ac:dyDescent="0.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>
        <v>50619</v>
      </c>
      <c r="O94" s="7"/>
      <c r="P94" s="130" t="s">
        <v>158</v>
      </c>
      <c r="Q94" s="146"/>
      <c r="R94" s="146"/>
      <c r="S94" s="146"/>
      <c r="T94" s="140"/>
    </row>
    <row r="95" spans="2:20" x14ac:dyDescent="0.3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>
        <v>48.4</v>
      </c>
      <c r="O95" s="7"/>
      <c r="P95" s="130" t="s">
        <v>159</v>
      </c>
      <c r="Q95" s="146"/>
      <c r="R95" s="146"/>
      <c r="S95" s="146"/>
      <c r="T95" s="140"/>
    </row>
    <row r="96" spans="2:20" x14ac:dyDescent="0.3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>
        <v>6220.31</v>
      </c>
      <c r="O96" s="7"/>
      <c r="P96" s="130" t="s">
        <v>160</v>
      </c>
      <c r="Q96" s="146"/>
      <c r="R96" s="146"/>
      <c r="S96" s="146"/>
      <c r="T96" s="140"/>
    </row>
    <row r="97" spans="2:20" x14ac:dyDescent="0.3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>
        <v>117114.48000000001</v>
      </c>
      <c r="O97" s="7"/>
      <c r="P97" s="130" t="s">
        <v>161</v>
      </c>
      <c r="Q97" s="146"/>
      <c r="R97" s="146"/>
      <c r="S97" s="146"/>
      <c r="T97" s="140"/>
    </row>
    <row r="98" spans="2:20" x14ac:dyDescent="0.3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>
        <v>6229.3</v>
      </c>
      <c r="O98" s="7"/>
      <c r="P98" s="130" t="s">
        <v>162</v>
      </c>
      <c r="Q98" s="146"/>
      <c r="R98" s="146"/>
      <c r="S98" s="146"/>
      <c r="T98" s="140"/>
    </row>
    <row r="99" spans="2:20" x14ac:dyDescent="0.3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>
        <v>379565.91</v>
      </c>
      <c r="O99" s="7"/>
      <c r="P99" s="130" t="s">
        <v>163</v>
      </c>
      <c r="Q99" s="146"/>
      <c r="R99" s="146"/>
      <c r="S99" s="146"/>
      <c r="T99" s="140"/>
    </row>
    <row r="100" spans="2:20" x14ac:dyDescent="0.3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>
        <v>10469.14</v>
      </c>
      <c r="O100" s="11"/>
      <c r="P100" s="131" t="s">
        <v>164</v>
      </c>
      <c r="Q100" s="146"/>
      <c r="R100" s="146"/>
      <c r="S100" s="146"/>
      <c r="T100" s="141"/>
    </row>
    <row r="101" spans="2:20" ht="6" customHeight="1" thickBot="1" x14ac:dyDescent="0.35">
      <c r="B101" s="89"/>
      <c r="C101" s="89"/>
      <c r="D101" s="89"/>
      <c r="E101" s="90"/>
      <c r="F101" s="91"/>
      <c r="G101" s="91"/>
      <c r="H101" s="91"/>
      <c r="I101" s="91"/>
      <c r="J101" s="91"/>
      <c r="K101" s="91"/>
      <c r="L101" s="92"/>
      <c r="M101" s="92"/>
      <c r="N101" s="89"/>
      <c r="O101" s="89"/>
      <c r="P101" s="130"/>
      <c r="Q101" s="147"/>
      <c r="R101" s="147"/>
      <c r="S101" s="147"/>
      <c r="T101" s="89"/>
    </row>
    <row r="102" spans="2:20" x14ac:dyDescent="0.3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>
        <v>679679.7</v>
      </c>
      <c r="O102" s="4"/>
      <c r="P102" s="130" t="s">
        <v>166</v>
      </c>
      <c r="Q102" s="134"/>
      <c r="R102" s="134"/>
      <c r="S102" s="134"/>
      <c r="T102" s="142"/>
    </row>
    <row r="103" spans="2:20" ht="6" customHeight="1" x14ac:dyDescent="0.3">
      <c r="B103" s="81"/>
      <c r="C103" s="81"/>
      <c r="D103" s="81"/>
      <c r="E103" s="82"/>
      <c r="F103" s="86"/>
      <c r="G103" s="86"/>
      <c r="H103" s="86"/>
      <c r="I103" s="87"/>
      <c r="J103" s="87"/>
      <c r="K103" s="87"/>
      <c r="L103" s="84"/>
      <c r="M103" s="84"/>
      <c r="N103" s="81"/>
      <c r="O103" s="81"/>
      <c r="P103" s="80"/>
      <c r="Q103" s="147"/>
      <c r="R103" s="147"/>
      <c r="S103" s="147"/>
      <c r="T103" s="81"/>
    </row>
    <row r="104" spans="2:20" x14ac:dyDescent="0.3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>
        <v>334</v>
      </c>
      <c r="O104" s="8"/>
      <c r="P104" s="131" t="s">
        <v>167</v>
      </c>
      <c r="Q104" s="146"/>
      <c r="R104" s="146"/>
      <c r="S104" s="146"/>
      <c r="T104" s="139"/>
    </row>
    <row r="105" spans="2:20" x14ac:dyDescent="0.3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>
        <v>10228.4</v>
      </c>
      <c r="O105" s="7"/>
      <c r="P105" s="130" t="s">
        <v>168</v>
      </c>
      <c r="Q105" s="146"/>
      <c r="R105" s="146"/>
      <c r="S105" s="146"/>
      <c r="T105" s="140"/>
    </row>
    <row r="106" spans="2:20" x14ac:dyDescent="0.3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>
        <v>0</v>
      </c>
      <c r="O106" s="11"/>
      <c r="P106" s="130" t="s">
        <v>169</v>
      </c>
      <c r="Q106" s="146"/>
      <c r="R106" s="146"/>
      <c r="S106" s="146"/>
      <c r="T106" s="141"/>
    </row>
    <row r="107" spans="2:20" ht="3.6" customHeight="1" thickBot="1" x14ac:dyDescent="0.35">
      <c r="B107" s="89"/>
      <c r="C107" s="89"/>
      <c r="D107" s="89"/>
      <c r="E107" s="90"/>
      <c r="F107" s="91"/>
      <c r="G107" s="91"/>
      <c r="H107" s="91"/>
      <c r="I107" s="91"/>
      <c r="J107" s="91"/>
      <c r="K107" s="91"/>
      <c r="L107" s="92"/>
      <c r="M107" s="92"/>
      <c r="N107" s="89"/>
      <c r="O107" s="89"/>
      <c r="P107" s="130"/>
      <c r="Q107" s="147"/>
      <c r="R107" s="147"/>
      <c r="S107" s="147"/>
      <c r="T107" s="89"/>
    </row>
    <row r="108" spans="2:20" x14ac:dyDescent="0.3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>
        <v>10562.4</v>
      </c>
      <c r="O108" s="4"/>
      <c r="P108" s="130" t="s">
        <v>170</v>
      </c>
      <c r="Q108" s="134"/>
      <c r="R108" s="134"/>
      <c r="S108" s="134"/>
      <c r="T108" s="142"/>
    </row>
    <row r="109" spans="2:20" ht="6" customHeight="1" x14ac:dyDescent="0.3">
      <c r="B109" s="81"/>
      <c r="C109" s="81"/>
      <c r="D109" s="81"/>
      <c r="E109" s="82"/>
      <c r="F109" s="81"/>
      <c r="G109" s="81"/>
      <c r="H109" s="81"/>
      <c r="I109" s="87"/>
      <c r="J109" s="87"/>
      <c r="K109" s="87"/>
      <c r="L109" s="88"/>
      <c r="M109" s="88"/>
      <c r="N109" s="81"/>
      <c r="O109" s="81"/>
      <c r="P109" s="80"/>
      <c r="Q109" s="147"/>
      <c r="R109" s="147"/>
      <c r="S109" s="147"/>
      <c r="T109" s="81"/>
    </row>
    <row r="110" spans="2:20" x14ac:dyDescent="0.3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>
        <v>16188121.370095238</v>
      </c>
      <c r="O110" s="4"/>
      <c r="P110" s="131" t="s">
        <v>171</v>
      </c>
      <c r="Q110" s="134"/>
      <c r="R110" s="134"/>
      <c r="S110" s="134"/>
      <c r="T110" s="142"/>
    </row>
    <row r="111" spans="2:20" ht="5.4" customHeight="1" x14ac:dyDescent="0.3">
      <c r="B111" s="81"/>
      <c r="C111" s="81"/>
      <c r="D111" s="81"/>
      <c r="E111" s="82"/>
      <c r="F111" s="81"/>
      <c r="G111" s="81"/>
      <c r="H111" s="81"/>
      <c r="I111" s="87"/>
      <c r="J111" s="87"/>
      <c r="K111" s="87"/>
      <c r="L111" s="88"/>
      <c r="M111" s="88"/>
      <c r="N111" s="81"/>
      <c r="O111" s="81"/>
      <c r="P111" s="122"/>
      <c r="Q111" s="147"/>
      <c r="R111" s="147"/>
      <c r="S111" s="147"/>
      <c r="T111" s="81"/>
    </row>
    <row r="112" spans="2:20" x14ac:dyDescent="0.3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>
        <v>36888827.11009524</v>
      </c>
      <c r="O112" s="4"/>
      <c r="P112" s="130" t="s">
        <v>172</v>
      </c>
      <c r="Q112" s="134"/>
      <c r="R112" s="134"/>
      <c r="S112" s="134"/>
      <c r="T112" s="142"/>
    </row>
    <row r="113" spans="2:20" ht="6.6" customHeight="1" x14ac:dyDescent="0.3">
      <c r="B113" s="81"/>
      <c r="C113" s="81"/>
      <c r="D113" s="81"/>
      <c r="E113" s="82"/>
      <c r="F113" s="81"/>
      <c r="G113" s="81"/>
      <c r="H113" s="81"/>
      <c r="I113" s="87"/>
      <c r="J113" s="87"/>
      <c r="K113" s="87"/>
      <c r="L113" s="88"/>
      <c r="M113" s="88"/>
      <c r="N113" s="81"/>
      <c r="O113" s="81"/>
      <c r="P113" s="122"/>
      <c r="Q113" s="147"/>
      <c r="R113" s="147"/>
      <c r="S113" s="147"/>
      <c r="T113" s="81"/>
    </row>
    <row r="114" spans="2:20" x14ac:dyDescent="0.3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>
        <v>32936</v>
      </c>
      <c r="O114" s="8"/>
      <c r="P114" s="131" t="s">
        <v>173</v>
      </c>
      <c r="Q114" s="146"/>
      <c r="R114" s="146"/>
      <c r="S114" s="146"/>
      <c r="T114" s="139"/>
    </row>
    <row r="115" spans="2:20" x14ac:dyDescent="0.3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>
        <v>5700</v>
      </c>
      <c r="O115" s="7"/>
      <c r="P115" s="130" t="s">
        <v>174</v>
      </c>
      <c r="Q115" s="146"/>
      <c r="R115" s="146"/>
      <c r="S115" s="146"/>
      <c r="T115" s="140"/>
    </row>
    <row r="116" spans="2:20" x14ac:dyDescent="0.3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>
        <v>0</v>
      </c>
      <c r="O116" s="7"/>
      <c r="P116" s="130" t="s">
        <v>175</v>
      </c>
      <c r="Q116" s="146"/>
      <c r="R116" s="146"/>
      <c r="S116" s="146"/>
      <c r="T116" s="140"/>
    </row>
    <row r="117" spans="2:20" x14ac:dyDescent="0.3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>
        <v>147337.47</v>
      </c>
      <c r="O117" s="7"/>
      <c r="P117" s="131" t="s">
        <v>176</v>
      </c>
      <c r="Q117" s="146"/>
      <c r="R117" s="146"/>
      <c r="S117" s="146"/>
      <c r="T117" s="140"/>
    </row>
    <row r="118" spans="2:20" x14ac:dyDescent="0.3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>
        <v>24505</v>
      </c>
      <c r="O118" s="7"/>
      <c r="P118" s="130" t="s">
        <v>177</v>
      </c>
      <c r="Q118" s="146"/>
      <c r="R118" s="146"/>
      <c r="S118" s="146"/>
      <c r="T118" s="140"/>
    </row>
    <row r="119" spans="2:20" x14ac:dyDescent="0.3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>
        <v>884823.20000000019</v>
      </c>
      <c r="O119" s="7"/>
      <c r="P119" s="130" t="s">
        <v>178</v>
      </c>
      <c r="Q119" s="146"/>
      <c r="R119" s="146"/>
      <c r="S119" s="146"/>
      <c r="T119" s="140"/>
    </row>
    <row r="120" spans="2:20" x14ac:dyDescent="0.3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>
        <v>0</v>
      </c>
      <c r="O120" s="7"/>
      <c r="P120" s="131" t="s">
        <v>179</v>
      </c>
      <c r="Q120" s="146"/>
      <c r="R120" s="146"/>
      <c r="S120" s="146"/>
      <c r="T120" s="140"/>
    </row>
    <row r="121" spans="2:20" x14ac:dyDescent="0.3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>
        <v>0</v>
      </c>
      <c r="O121" s="7"/>
      <c r="P121" s="130" t="s">
        <v>180</v>
      </c>
      <c r="Q121" s="146"/>
      <c r="R121" s="146"/>
      <c r="S121" s="146"/>
      <c r="T121" s="140"/>
    </row>
    <row r="122" spans="2:20" x14ac:dyDescent="0.3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>
        <v>120637.92</v>
      </c>
      <c r="O122" s="7"/>
      <c r="P122" s="130" t="s">
        <v>181</v>
      </c>
      <c r="Q122" s="146"/>
      <c r="R122" s="146"/>
      <c r="S122" s="146"/>
      <c r="T122" s="140"/>
    </row>
    <row r="123" spans="2:20" x14ac:dyDescent="0.3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>
        <v>880847.82000000007</v>
      </c>
      <c r="O123" s="7"/>
      <c r="P123" s="131" t="s">
        <v>182</v>
      </c>
      <c r="Q123" s="146"/>
      <c r="R123" s="146"/>
      <c r="S123" s="146"/>
      <c r="T123" s="140"/>
    </row>
    <row r="124" spans="2:20" x14ac:dyDescent="0.3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>
        <v>0</v>
      </c>
      <c r="O124" s="7"/>
      <c r="P124" s="130" t="s">
        <v>183</v>
      </c>
      <c r="Q124" s="146"/>
      <c r="R124" s="146"/>
      <c r="S124" s="146"/>
      <c r="T124" s="140"/>
    </row>
    <row r="125" spans="2:20" x14ac:dyDescent="0.3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>
        <v>0</v>
      </c>
      <c r="O125" s="11"/>
      <c r="P125" s="130" t="s">
        <v>184</v>
      </c>
      <c r="Q125" s="146"/>
      <c r="R125" s="146"/>
      <c r="S125" s="146"/>
      <c r="T125" s="141"/>
    </row>
    <row r="126" spans="2:20" ht="5.4" customHeight="1" x14ac:dyDescent="0.3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130"/>
      <c r="Q126" s="146"/>
      <c r="R126" s="146"/>
      <c r="S126" s="146"/>
      <c r="T126" s="140"/>
    </row>
    <row r="127" spans="2:20" x14ac:dyDescent="0.3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>
        <v>2096787.4100000001</v>
      </c>
      <c r="O127" s="4"/>
      <c r="P127" s="130" t="s">
        <v>185</v>
      </c>
      <c r="Q127" s="134"/>
      <c r="R127" s="134"/>
      <c r="S127" s="134"/>
      <c r="T127" s="142"/>
    </row>
    <row r="128" spans="2:20" ht="5.4" customHeight="1" x14ac:dyDescent="0.3">
      <c r="B128" s="81"/>
      <c r="C128" s="81"/>
      <c r="D128" s="81"/>
      <c r="E128" s="82"/>
      <c r="F128" s="86"/>
      <c r="G128" s="86"/>
      <c r="H128" s="86"/>
      <c r="I128" s="86"/>
      <c r="J128" s="87"/>
      <c r="K128" s="87"/>
      <c r="L128" s="88"/>
      <c r="M128" s="88"/>
      <c r="N128" s="81"/>
      <c r="O128" s="81"/>
      <c r="P128" s="122"/>
      <c r="Q128" s="147"/>
      <c r="R128" s="147"/>
      <c r="S128" s="147"/>
      <c r="T128" s="81"/>
    </row>
    <row r="129" spans="2:20" x14ac:dyDescent="0.3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>
        <v>38985614.520095244</v>
      </c>
      <c r="O129" s="4"/>
      <c r="P129" s="130" t="s">
        <v>186</v>
      </c>
      <c r="Q129" s="134"/>
      <c r="R129" s="134"/>
      <c r="S129" s="134"/>
      <c r="T129" s="142"/>
    </row>
    <row r="130" spans="2:20" ht="5.4" customHeight="1" x14ac:dyDescent="0.3">
      <c r="B130" s="81"/>
      <c r="C130" s="81"/>
      <c r="D130" s="81"/>
      <c r="E130" s="82"/>
      <c r="F130" s="81"/>
      <c r="G130" s="81"/>
      <c r="H130" s="81"/>
      <c r="I130" s="81"/>
      <c r="J130" s="87"/>
      <c r="K130" s="87"/>
      <c r="L130" s="88"/>
      <c r="M130" s="88"/>
      <c r="N130" s="81"/>
      <c r="O130" s="81"/>
      <c r="P130" s="122"/>
      <c r="Q130" s="147"/>
      <c r="R130" s="147"/>
      <c r="S130" s="147"/>
      <c r="T130" s="81"/>
    </row>
    <row r="131" spans="2:20" ht="7.95" customHeight="1" x14ac:dyDescent="0.3">
      <c r="B131" s="99"/>
      <c r="C131" s="99"/>
      <c r="D131" s="99"/>
      <c r="E131" s="100"/>
      <c r="F131" s="98"/>
      <c r="N131" s="99"/>
      <c r="O131" s="99"/>
      <c r="P131" s="130"/>
      <c r="Q131" s="149"/>
      <c r="R131" s="149"/>
      <c r="S131" s="149"/>
      <c r="T131" s="99"/>
    </row>
    <row r="132" spans="2:20" x14ac:dyDescent="0.3">
      <c r="B132" s="101"/>
      <c r="C132" s="101"/>
      <c r="D132" s="101"/>
      <c r="E132" s="102"/>
      <c r="F132" s="98"/>
      <c r="N132" s="101"/>
      <c r="O132" s="101"/>
      <c r="P132" s="123"/>
      <c r="Q132" s="150"/>
      <c r="R132" s="150"/>
      <c r="S132" s="150"/>
      <c r="T132" s="101"/>
    </row>
    <row r="133" spans="2:20" x14ac:dyDescent="0.3">
      <c r="B133" s="103"/>
      <c r="C133" s="103"/>
      <c r="D133" s="103"/>
      <c r="E133" s="104"/>
      <c r="N133" s="103"/>
      <c r="O133" s="103"/>
      <c r="P133" s="123"/>
      <c r="Q133" s="151"/>
      <c r="R133" s="151"/>
      <c r="S133" s="151"/>
      <c r="T133" s="103"/>
    </row>
    <row r="134" spans="2:20" x14ac:dyDescent="0.3">
      <c r="B134" s="103"/>
      <c r="C134" s="103"/>
      <c r="D134" s="103"/>
      <c r="E134" s="104"/>
      <c r="N134" s="103"/>
      <c r="O134" s="103"/>
      <c r="P134" s="123"/>
      <c r="Q134" s="151"/>
      <c r="R134" s="151"/>
      <c r="S134" s="151"/>
      <c r="T134" s="103"/>
    </row>
    <row r="135" spans="2:20" x14ac:dyDescent="0.3">
      <c r="B135" s="105"/>
      <c r="C135" s="105"/>
      <c r="D135" s="105"/>
      <c r="E135" s="104"/>
      <c r="N135" s="105"/>
      <c r="O135" s="105"/>
      <c r="P135" s="123"/>
      <c r="Q135" s="152"/>
      <c r="R135" s="152"/>
      <c r="S135" s="152"/>
      <c r="T135" s="105"/>
    </row>
    <row r="136" spans="2:20" x14ac:dyDescent="0.3">
      <c r="B136" s="103"/>
      <c r="C136" s="103"/>
      <c r="D136" s="103"/>
      <c r="E136" s="104"/>
      <c r="N136" s="103"/>
      <c r="O136" s="103"/>
      <c r="P136" s="123"/>
      <c r="Q136" s="151"/>
      <c r="R136" s="151"/>
      <c r="S136" s="151"/>
      <c r="T136" s="103"/>
    </row>
    <row r="137" spans="2:20" x14ac:dyDescent="0.3">
      <c r="B137" s="105"/>
      <c r="C137" s="105"/>
      <c r="D137" s="105"/>
      <c r="E137" s="104"/>
      <c r="N137" s="105"/>
      <c r="O137" s="105"/>
      <c r="P137" s="123"/>
      <c r="Q137" s="152"/>
      <c r="R137" s="152"/>
      <c r="S137" s="152"/>
      <c r="T137" s="105"/>
    </row>
    <row r="138" spans="2:20" x14ac:dyDescent="0.3">
      <c r="B138" s="15"/>
      <c r="C138" s="15"/>
      <c r="D138" s="15"/>
      <c r="E138" s="106"/>
      <c r="N138" s="15"/>
      <c r="O138" s="15"/>
      <c r="P138" s="123"/>
      <c r="Q138" s="153"/>
      <c r="R138" s="153"/>
      <c r="S138" s="153"/>
      <c r="T138" s="15"/>
    </row>
    <row r="139" spans="2:20" x14ac:dyDescent="0.3">
      <c r="B139" s="15"/>
      <c r="C139" s="15"/>
      <c r="D139" s="15"/>
      <c r="E139" s="106"/>
      <c r="N139" s="15"/>
      <c r="O139" s="15"/>
      <c r="P139" s="123"/>
      <c r="Q139" s="153"/>
      <c r="R139" s="153"/>
      <c r="S139" s="153"/>
      <c r="T139" s="15"/>
    </row>
  </sheetData>
  <mergeCells count="3">
    <mergeCell ref="B3:M3"/>
    <mergeCell ref="Q3:T3"/>
    <mergeCell ref="P4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</vt:i4>
      </vt:variant>
    </vt:vector>
  </HeadingPairs>
  <TitlesOfParts>
    <vt:vector size="32" baseType="lpstr">
      <vt:lpstr>IS Flex</vt:lpstr>
      <vt:lpstr>CEO info</vt:lpstr>
      <vt:lpstr>WCLA Report</vt:lpstr>
      <vt:lpstr>Summary per Component</vt:lpstr>
      <vt:lpstr>Summary per Component (2)</vt:lpstr>
      <vt:lpstr>Financial Performance</vt:lpstr>
      <vt:lpstr>Monthly Operating Exp</vt:lpstr>
      <vt:lpstr>Budget Report DOCs</vt:lpstr>
      <vt:lpstr>Variance vs Component summary</vt:lpstr>
      <vt:lpstr>Sheet10</vt:lpstr>
      <vt:lpstr>WCLA Consolidated MTEF Budg (4)</vt:lpstr>
      <vt:lpstr>WCLA Consolidated MTEF Budg (3)</vt:lpstr>
      <vt:lpstr>WCLA Consolidated MTEF Budget</vt:lpstr>
      <vt:lpstr>WCLA Consolidated MTEF Budg (2)</vt:lpstr>
      <vt:lpstr>Cost centre consolidation</vt:lpstr>
      <vt:lpstr>CC summary</vt:lpstr>
      <vt:lpstr>Summary per department</vt:lpstr>
      <vt:lpstr>CEO</vt:lpstr>
      <vt:lpstr>CS</vt:lpstr>
      <vt:lpstr>CFO</vt:lpstr>
      <vt:lpstr>LLA</vt:lpstr>
      <vt:lpstr>C&amp;E</vt:lpstr>
      <vt:lpstr>CES</vt:lpstr>
      <vt:lpstr>LLT</vt:lpstr>
      <vt:lpstr>GB</vt:lpstr>
      <vt:lpstr>Governing Board Schedule</vt:lpstr>
      <vt:lpstr>LLT Summary</vt:lpstr>
      <vt:lpstr>Salary schedule</vt:lpstr>
      <vt:lpstr>CEO </vt:lpstr>
      <vt:lpstr>CEO  (2)</vt:lpstr>
      <vt:lpstr>'IS Flex'!Print_Area</vt:lpstr>
      <vt:lpstr>'WCLA Consolidated MTEF Budg (2)'!Print_Area</vt:lpstr>
    </vt:vector>
  </TitlesOfParts>
  <Company>AVI PTY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Selwyn Adams</dc:creator>
  <cp:lastModifiedBy>Linde Govender</cp:lastModifiedBy>
  <cp:lastPrinted>2021-09-22T11:08:09Z</cp:lastPrinted>
  <dcterms:created xsi:type="dcterms:W3CDTF">2015-02-02T09:04:12Z</dcterms:created>
  <dcterms:modified xsi:type="dcterms:W3CDTF">2021-09-22T11:08:12Z</dcterms:modified>
</cp:coreProperties>
</file>